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<sst xmlns="http://schemas.openxmlformats.org/spreadsheetml/2006/main" count="34232" uniqueCount="416">
  <si>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</si>
  <si>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</si>
  <si>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</si>
  <si>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</si>
  <si>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</si>
  <si>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</si>
  <si>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</si>
  <si>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</si>
  <si>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</si>
  <si>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</si>
  <si>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</si>
  <si>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</si>
  <si>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</si>
  <si>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</si>
  <si>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</si>
  <si>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</si>
  <si>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</si>
  <si>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</si>
  <si>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</si>
  <si>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</si>
  <si>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</si>
  <si>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</si>
  <si>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</si>
  <si>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</si>
  <si>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</si>
  <si>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</si>
  <si>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</si>
  <si>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</si>
  <si>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</si>
  <si>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</si>
  <si>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</si>
  <si>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</si>
  <si>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</si>
  <si>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</si>
  <si>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</si>
  <si>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</si>
  <si>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</si>
  <si>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</si>
  <si>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</si>
  <si>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</si>
  <si>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</si>
  <si>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</si>
  <si>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</si>
  <si>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</si>
  <si>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</si>
  <si>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</si>
  <si>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</si>
  <si>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</si>
  <si>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</si>
  <si>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</si>
  <si>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</si>
  <si>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</si>
  <si>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</si>
  <si>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</si>
  <si>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</si>
  <si>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</si>
  <si>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</si>
  <si>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</si>
  <si>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</si>
  <si>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</si>
  <si>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</si>
  <si>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</si>
  <si>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</si>
  <si>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</si>
  <si>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</si>
  <si>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</si>
  <si>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</si>
  <si>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</si>
  <si>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</si>
  <si>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</si>
  <si>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</si>
  <si>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</si>
  <si>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</si>
  <si>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</si>
  <si>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</si>
  <si>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</si>
  <si>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</si>
  <si>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</si>
  <si>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</si>
  <si>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</si>
  <si>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254.00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</si>
  <si>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</si>
  <si>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</si>
  <si>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</si>
  <si>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</si>
  <si>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</si>
  <si>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</si>
  <si>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</si>
  <si>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</si>
  <si>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</si>
  <si>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</si>
  <si>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</si>
  <si>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</si>
  <si>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</si>
  <si>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</si>
  <si>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</si>
  <si>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</si>
  <si>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</si>
  <si>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</si>
  <si>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</si>
  <si>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</si>
  <si>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</si>
  <si>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</si>
  <si>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</si>
  <si>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</si>
  <si>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</si>
  <si>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</si>
  <si>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</si>
  <si>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</si>
  <si>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</si>
  <si>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</si>
  <si>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</si>
  <si>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</si>
  <si>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</si>
  <si>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</si>
  <si>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</si>
  <si>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</si>
  <si>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</si>
  <si>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</si>
  <si>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</si>
  <si>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</si>
  <si>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Limited Credit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</si>
  <si>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</si>
  <si>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</si>
  <si>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</si>
  <si>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</si>
  <si>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</si>
  <si>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</si>
  <si>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</si>
  <si>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</si>
  <si>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</si>
  <si>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</si>
  <si>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</si>
  <si>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</si>
  <si>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</si>
  <si>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</si>
  <si>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</si>
  <si>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</si>
  <si>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</si>
  <si>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</si>
  <si>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</si>
  <si>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</si>
  <si>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</si>
  <si>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</si>
  <si>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</si>
  <si>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</si>
  <si>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</si>
  <si>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</si>
  <si>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</si>
  <si>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</si>
  <si>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</si>
  <si>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</si>
  <si>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</si>
  <si>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</si>
  <si>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</si>
  <si>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</si>
  <si>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</si>
  <si>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</si>
  <si>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</si>
  <si>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</si>
  <si>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</si>
  <si>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</si>
  <si>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</si>
  <si>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</si>
  <si>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</si>
  <si>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</si>
  <si>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</si>
  <si>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</si>
  <si>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</si>
  <si>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</si>
  <si>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</si>
  <si>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</si>
  <si>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</si>
  <si>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</si>
  <si>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</si>
  <si>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</si>
  <si>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</si>
  <si>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</si>
  <si>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</si>
  <si>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</si>
  <si>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</si>
  <si>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</si>
  <si>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</si>
  <si>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</si>
  <si>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</si>
  <si>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</si>
  <si>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</si>
  <si>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</si>
  <si>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</si>
  <si>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</si>
  <si>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</si>
  <si>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</si>
  <si>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</si>
  <si>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</si>
  <si>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</si>
  <si>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</si>
  <si>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</si>
  <si>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</si>
  <si>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</si>
  <si>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</si>
  <si>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</si>
  <si>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</si>
  <si>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</si>
  <si>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</si>
  <si>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</si>
  <si>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</si>
  <si>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</si>
  <si>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</si>
  <si>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</si>
  <si>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</si>
  <si>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</si>
  <si>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</si>
  <si>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</si>
  <si>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</si>
  <si>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</si>
  <si>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</si>
  <si>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</si>
  <si>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</si>
  <si>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</si>
  <si>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</si>
  <si>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</si>
  <si>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</si>
  <si>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</si>
  <si>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</si>
  <si>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</si>
  <si>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</si>
  <si>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</si>
  <si>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</si>
  <si>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</si>
  <si>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</si>
  <si>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</si>
  <si>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</si>
  <si>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</si>
  <si>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</si>
  <si>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</si>
  <si>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</si>
  <si>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</si>
  <si>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</si>
  <si>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</si>
  <si>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</si>
  <si>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</si>
  <si>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</si>
  <si>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</si>
  <si>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</si>
  <si>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</si>
  <si>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</si>
  <si>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</si>
  <si>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</si>
  <si>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</si>
  <si>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</si>
  <si>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</si>
  <si>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</si>
  <si>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</si>
  <si>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</si>
  <si>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</si>
  <si>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</si>
  <si>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</si>
  <si>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</si>
  <si>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</si>
  <si>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</si>
  <si>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</si>
  <si>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</si>
  <si>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</si>
  <si>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</si>
  <si>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</si>
  <si>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</si>
  <si>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</si>
  <si>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</si>
  <si>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</si>
  <si>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</si>
  <si>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</si>
  <si>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</si>
  <si>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</si>
  <si>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</si>
  <si>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</si>
  <si>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</si>
  <si>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</si>
  <si>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</si>
  <si>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</si>
  <si>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</si>
  <si>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</si>
  <si>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</si>
  <si>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</si>
  <si>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</si>
  <si>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</si>
  <si>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</si>
  <si>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</si>
  <si>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</si>
  <si>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</si>
  <si>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</si>
  <si>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</si>
  <si>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</si>
  <si>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</si>
  <si>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</si>
  <si>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</si>
  <si>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</si>
  <si>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</si>
  <si>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</si>
  <si>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</si>
  <si>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</si>
  <si>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</si>
  <si>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</si>
  <si>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</si>
  <si>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</si>
  <si>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</si>
  <si>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</si>
  <si>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</si>
  <si>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</si>
  <si>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</si>
  <si>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</si>
  <si>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</si>
  <si>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</si>
  <si>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</si>
  <si>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</si>
  <si>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</si>
  <si>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</si>
  <si>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</si>
  <si>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</si>
  <si>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</si>
  <si>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</si>
  <si>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</si>
  <si>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</si>
  <si>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</si>
  <si>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</si>
  <si>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</si>
  <si>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</si>
  <si>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</si>
  <si>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</si>
  <si>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</si>
  <si>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</si>
  <si>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</si>
  <si>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</si>
  <si>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</si>
  <si>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</si>
  <si>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</si>
  <si>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</si>
  <si>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</si>
  <si>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</si>
  <si>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</si>
  <si>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</si>
  <si>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</si>
  <si>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</si>
  <si>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</si>
  <si>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</si>
  <si>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</si>
  <si>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</si>
  <si>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</si>
  <si>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</si>
  <si>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</si>
  <si>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</si>
  <si>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</si>
  <si>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</si>
  <si>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</si>
  <si>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</si>
  <si>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</si>
  <si>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</si>
  <si>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</si>
  <si>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</si>
  <si>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</si>
  <si>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</si>
  <si>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</si>
  <si>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</si>
  <si>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</si>
  <si>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</si>
  <si>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</si>
  <si>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</si>
  <si>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</si>
  <si>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</si>
  <si>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</si>
  <si>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</si>
  <si>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</si>
  <si>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</si>
  <si>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</si>
  <si>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</si>
  <si>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</si>
  <si>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</si>
  <si>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</si>
  <si>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</si>
  <si>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</si>
  <si>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</si>
  <si>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</si>
  <si>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315.00</t>
  </si>
  <si>
    <t xml:space="preserve">21268.00</t>
  </si>
  <si>
    <t xml:space="preserve">RFL included?</t>
  </si>
  <si>
    <t>12</t>
  </si>
  <si>
    <t>5000</t>
  </si>
  <si>
    <t>1000</t>
  </si>
  <si>
    <t>500</t>
  </si>
  <si>
    <t>199.99</t>
  </si>
  <si>
    <t>NO</t>
  </si>
  <si>
    <t>YES</t>
  </si>
  <si>
    <t>50</t>
  </si>
  <si>
    <t>437.00</t>
  </si>
  <si>
    <t>60</t>
  </si>
  <si>
    <t>Limited Credit</t>
  </si>
  <si>
    <t>57535.00</t>
  </si>
  <si>
    <t>33</t>
  </si>
  <si>
    <t>604.17</t>
  </si>
  <si>
    <t>239.99</t>
  </si>
  <si>
    <t>200</t>
  </si>
  <si>
    <t xml:space="preserve"> Terminal pause with 6 down </t>
  </si>
  <si>
    <t>0</t>
  </si>
  <si>
    <t>A1 Credit</t>
  </si>
  <si>
    <t>100</t>
  </si>
  <si>
    <t>40</t>
  </si>
  <si>
    <t>6000</t>
  </si>
  <si>
    <t>10</t>
  </si>
  <si>
    <t>1</t>
  </si>
  <si>
    <t>20</t>
  </si>
  <si>
    <t>70</t>
  </si>
  <si>
    <t>30</t>
  </si>
  <si>
    <t>8.19</t>
  </si>
  <si>
    <t>2</t>
  </si>
  <si>
    <t>21268.00</t>
  </si>
  <si>
    <t>315.00</t>
  </si>
  <si>
    <t>0.00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</si>
</sst>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17166.67</v>
      </c>
      <c r="C2" s="4" t="s">
        <v>2</v>
      </c>
      <c r="D2" s="5" t="n">
        <f aca="false">C9</f>
        <v>3433.334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20600.004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16333.33</v>
      </c>
      <c r="C9" s="9" t="n">
        <f aca="false">B9*0.2</f>
        <v>3433.334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0.0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0.0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17166.67</v>
      </c>
      <c r="C15" s="9" t="n">
        <f aca="false">SUM(C9:C13)</f>
        <v>3433.334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20600.004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17166.67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384</v>
      </c>
      <c r="B34" s="31"/>
      <c r="C34" s="40" t="s">
        <v>385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20600.004</v>
      </c>
      <c r="B37" s="31"/>
      <c r="C37" s="40" t="s">
        <v>386</v>
      </c>
      <c r="D37" s="40"/>
      <c r="E37" s="31"/>
      <c r="F37" s="42" t="n">
        <f aca="false">A37-C37</f>
        <v>19600.004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384</v>
      </c>
      <c r="B40" s="31"/>
      <c r="C40" s="53" t="n">
        <f aca="false">A34-1</f>
        <v>11</v>
      </c>
      <c r="D40" s="53"/>
      <c r="E40" s="31"/>
      <c r="F40" s="40" t="s">
        <v>387</v>
      </c>
      <c r="G40" s="40"/>
      <c r="H40" s="46"/>
      <c r="J40" s="2" t="s">
        <v>58</v>
      </c>
      <c r="K40" s="2" t="n">
        <f aca="false">C15</f>
        <v>3433.334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202.777833333333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347.222166666667</v>
      </c>
      <c r="L45" s="2"/>
    </row>
    <row r="46" customFormat="false" ht="19.5" hidden="false" customHeight="false" outlineLevel="0" collapsed="false">
      <c r="A46" s="39" t="s">
        <v>391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349.888833333333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299.888833333333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392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349.888833333333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14078.5984679751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0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349.888833333333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349.888833333333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349.888833333333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19600.004</v>
      </c>
      <c r="C90" s="31"/>
      <c r="D90" s="31"/>
      <c r="E90" s="22"/>
      <c r="F90" s="24" t="s">
        <v>106</v>
      </c>
      <c r="G90" s="26" t="n">
        <f aca="false">F37</f>
        <v>19600.004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13245.0622001204</v>
      </c>
      <c r="C97" s="31"/>
      <c r="D97" s="31"/>
      <c r="E97" s="22"/>
      <c r="F97" s="30" t="s">
        <v>113</v>
      </c>
      <c r="G97" s="32" t="n">
        <f aca="false">G90-G95</f>
        <v>12851.934698559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1280.96349708865</v>
      </c>
      <c r="C98" s="31"/>
      <c r="D98" s="31"/>
      <c r="E98" s="22"/>
      <c r="F98" s="30" t="s">
        <v>114</v>
      </c>
      <c r="G98" s="32" t="n">
        <f aca="false">(G97/G96)</f>
        <v>1206.67117914926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14090.5984679751</v>
      </c>
      <c r="C99" s="31"/>
      <c r="D99" s="31"/>
      <c r="E99" s="22"/>
      <c r="F99" s="30" t="s">
        <v>115</v>
      </c>
      <c r="G99" s="32" t="n">
        <f aca="false">((G98*(G94))+G86)</f>
        <v>13273.3829706419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14090.5984679751</v>
      </c>
      <c r="C101" s="31"/>
      <c r="D101" s="31"/>
      <c r="E101" s="22"/>
      <c r="F101" s="55" t="s">
        <v>117</v>
      </c>
      <c r="G101" s="64" t="n">
        <f aca="false">(G99+G100)</f>
        <v>13273.3829706419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1280.96349708865</v>
      </c>
      <c r="C104" s="31"/>
      <c r="D104" s="31"/>
      <c r="E104" s="22"/>
      <c r="F104" s="94" t="s">
        <v>119</v>
      </c>
      <c r="G104" s="95" t="n">
        <f aca="false">G101/(G94)</f>
        <v>1206.67117914926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1366.05440617956</v>
      </c>
      <c r="C105" s="31"/>
      <c r="D105" s="31"/>
      <c r="E105" s="22" t="s">
        <v>18</v>
      </c>
      <c r="F105" s="96" t="s">
        <v>120</v>
      </c>
      <c r="G105" s="97" t="n">
        <f aca="false">G103+G104</f>
        <v>1206.67117914926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0.0</v>
      </c>
      <c r="C108" s="22"/>
      <c r="D108" s="22" t="n">
        <v>0.0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122</v>
      </c>
      <c r="B109" s="99"/>
      <c r="C109" s="99"/>
      <c r="D109" s="99"/>
      <c r="E109" s="99"/>
      <c r="F109" s="99"/>
      <c r="G109" s="99"/>
      <c r="H109" s="99"/>
      <c r="J109" s="23" t="s">
        <v>123</v>
      </c>
      <c r="K109" s="23"/>
      <c r="L109" s="23"/>
      <c r="M109" s="23"/>
      <c r="N109" s="23"/>
      <c r="O109" s="23"/>
      <c r="P109" s="23"/>
      <c r="Q109" s="23"/>
      <c r="S109" s="99" t="s">
        <v>124</v>
      </c>
      <c r="T109" s="99"/>
      <c r="U109" s="99"/>
      <c r="V109" s="99"/>
      <c r="W109" s="99"/>
      <c r="X109" s="99"/>
      <c r="Y109" s="99"/>
      <c r="Z109" s="99"/>
      <c r="AB109" s="99" t="s">
        <v>125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126</v>
      </c>
      <c r="K111" s="27"/>
      <c r="L111" s="27"/>
      <c r="M111" s="27"/>
      <c r="N111" s="27"/>
      <c r="O111" s="27"/>
      <c r="P111" s="27"/>
      <c r="Q111" s="27"/>
      <c r="S111" s="27" t="s">
        <v>126</v>
      </c>
      <c r="T111" s="27"/>
      <c r="U111" s="27"/>
      <c r="V111" s="27"/>
      <c r="W111" s="27"/>
      <c r="X111" s="27"/>
      <c r="Y111" s="27"/>
      <c r="Z111" s="27"/>
      <c r="AB111" s="27" t="s">
        <v>126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127</v>
      </c>
      <c r="B113" s="31" t="s">
        <v>23</v>
      </c>
      <c r="C113" s="31"/>
      <c r="D113" s="31"/>
      <c r="E113" s="31" t="s">
        <v>128</v>
      </c>
      <c r="F113" s="31"/>
      <c r="G113" s="31"/>
      <c r="H113" s="32"/>
      <c r="J113" s="30" t="s">
        <v>127</v>
      </c>
      <c r="K113" s="31" t="s">
        <v>23</v>
      </c>
      <c r="L113" s="31"/>
      <c r="M113" s="31"/>
      <c r="N113" s="31" t="s">
        <v>128</v>
      </c>
      <c r="O113" s="31"/>
      <c r="P113" s="31"/>
      <c r="Q113" s="32"/>
      <c r="S113" s="30" t="s">
        <v>127</v>
      </c>
      <c r="T113" s="31" t="s">
        <v>23</v>
      </c>
      <c r="U113" s="31"/>
      <c r="V113" s="31"/>
      <c r="W113" s="31" t="s">
        <v>128</v>
      </c>
      <c r="X113" s="31"/>
      <c r="Y113" s="31"/>
      <c r="Z113" s="32"/>
      <c r="AB113" s="30" t="s">
        <v>127</v>
      </c>
      <c r="AC113" s="31" t="s">
        <v>23</v>
      </c>
      <c r="AD113" s="31"/>
      <c r="AE113" s="31"/>
      <c r="AF113" s="31" t="s">
        <v>128</v>
      </c>
      <c r="AG113" s="31"/>
      <c r="AH113" s="31"/>
      <c r="AI113" s="32"/>
    </row>
    <row r="114" customFormat="false" ht="19.5" hidden="false" customHeight="false" outlineLevel="0" collapsed="false">
      <c r="A114" s="35" t="s">
        <v>129</v>
      </c>
      <c r="B114" s="102" t="s">
        <v>130</v>
      </c>
      <c r="C114" s="102"/>
      <c r="D114" s="102"/>
      <c r="E114" s="103" t="s">
        <v>19</v>
      </c>
      <c r="F114" s="103"/>
      <c r="G114" s="103"/>
      <c r="H114" s="101"/>
      <c r="J114" s="35" t="s">
        <v>129</v>
      </c>
      <c r="K114" s="104" t="s">
        <v>130</v>
      </c>
      <c r="L114" s="104"/>
      <c r="M114" s="104"/>
      <c r="N114" s="103" t="s">
        <v>18</v>
      </c>
      <c r="O114" s="103"/>
      <c r="P114" s="103"/>
      <c r="Q114" s="101"/>
      <c r="S114" s="35" t="s">
        <v>129</v>
      </c>
      <c r="T114" s="102" t="s">
        <v>130</v>
      </c>
      <c r="U114" s="102"/>
      <c r="V114" s="102"/>
      <c r="W114" s="103" t="s">
        <v>18</v>
      </c>
      <c r="X114" s="103"/>
      <c r="Y114" s="103"/>
      <c r="Z114" s="101"/>
      <c r="AB114" s="35" t="s">
        <v>129</v>
      </c>
      <c r="AC114" s="102" t="s">
        <v>130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131</v>
      </c>
      <c r="B116" s="31" t="s">
        <v>132</v>
      </c>
      <c r="C116" s="31"/>
      <c r="D116" s="22"/>
      <c r="E116" s="31" t="s">
        <v>133</v>
      </c>
      <c r="F116" s="31"/>
      <c r="G116" s="22"/>
      <c r="H116" s="101"/>
      <c r="J116" s="30" t="s">
        <v>131</v>
      </c>
      <c r="K116" s="31" t="s">
        <v>132</v>
      </c>
      <c r="L116" s="31"/>
      <c r="M116" s="22"/>
      <c r="N116" s="31" t="s">
        <v>133</v>
      </c>
      <c r="O116" s="31"/>
      <c r="P116" s="22"/>
      <c r="Q116" s="101"/>
      <c r="S116" s="30" t="s">
        <v>131</v>
      </c>
      <c r="T116" s="31" t="s">
        <v>132</v>
      </c>
      <c r="U116" s="31"/>
      <c r="V116" s="22"/>
      <c r="W116" s="31" t="s">
        <v>133</v>
      </c>
      <c r="X116" s="31"/>
      <c r="Y116" s="22"/>
      <c r="Z116" s="101"/>
      <c r="AB116" s="30" t="s">
        <v>131</v>
      </c>
      <c r="AC116" s="31" t="s">
        <v>132</v>
      </c>
      <c r="AD116" s="31"/>
      <c r="AE116" s="22"/>
      <c r="AF116" s="31" t="s">
        <v>133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134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134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135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135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136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134</v>
      </c>
    </row>
    <row r="119" customFormat="false" ht="19.5" hidden="false" customHeight="false" outlineLevel="0" collapsed="false">
      <c r="A119" s="30" t="s">
        <v>137</v>
      </c>
      <c r="B119" s="31" t="s">
        <v>138</v>
      </c>
      <c r="C119" s="31"/>
      <c r="D119" s="31"/>
      <c r="E119" s="31" t="s">
        <v>139</v>
      </c>
      <c r="F119" s="31"/>
      <c r="G119" s="31"/>
      <c r="H119" s="32"/>
      <c r="J119" s="30" t="s">
        <v>137</v>
      </c>
      <c r="K119" s="31" t="s">
        <v>138</v>
      </c>
      <c r="L119" s="31"/>
      <c r="M119" s="31"/>
      <c r="N119" s="31" t="s">
        <v>139</v>
      </c>
      <c r="O119" s="31"/>
      <c r="P119" s="31"/>
      <c r="Q119" s="32"/>
      <c r="S119" s="30" t="s">
        <v>137</v>
      </c>
      <c r="T119" s="31" t="s">
        <v>138</v>
      </c>
      <c r="U119" s="31"/>
      <c r="V119" s="31"/>
      <c r="W119" s="31" t="s">
        <v>139</v>
      </c>
      <c r="X119" s="31"/>
      <c r="Y119" s="31"/>
      <c r="Z119" s="32"/>
      <c r="AB119" s="30" t="s">
        <v>137</v>
      </c>
      <c r="AC119" s="31" t="s">
        <v>138</v>
      </c>
      <c r="AD119" s="31"/>
      <c r="AE119" s="31"/>
      <c r="AF119" s="31" t="s">
        <v>139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140</v>
      </c>
      <c r="B122" s="31" t="s">
        <v>141</v>
      </c>
      <c r="C122" s="31"/>
      <c r="D122" s="31"/>
      <c r="E122" s="31" t="s">
        <v>142</v>
      </c>
      <c r="F122" s="31"/>
      <c r="G122" s="22"/>
      <c r="H122" s="101"/>
      <c r="J122" s="109" t="s">
        <v>140</v>
      </c>
      <c r="K122" s="31" t="s">
        <v>141</v>
      </c>
      <c r="L122" s="31"/>
      <c r="M122" s="31"/>
      <c r="N122" s="31" t="s">
        <v>142</v>
      </c>
      <c r="O122" s="31"/>
      <c r="P122" s="22"/>
      <c r="Q122" s="101"/>
      <c r="S122" s="109" t="s">
        <v>140</v>
      </c>
      <c r="T122" s="31" t="s">
        <v>141</v>
      </c>
      <c r="U122" s="31"/>
      <c r="V122" s="31"/>
      <c r="W122" s="31" t="s">
        <v>142</v>
      </c>
      <c r="X122" s="31"/>
      <c r="Y122" s="22"/>
      <c r="Z122" s="101"/>
      <c r="AB122" s="109" t="s">
        <v>140</v>
      </c>
      <c r="AC122" s="31" t="s">
        <v>141</v>
      </c>
      <c r="AD122" s="31"/>
      <c r="AE122" s="31"/>
      <c r="AF122" s="31" t="s">
        <v>142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143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144</v>
      </c>
      <c r="B126" s="27"/>
      <c r="C126" s="27"/>
      <c r="D126" s="27"/>
      <c r="E126" s="27"/>
      <c r="F126" s="27"/>
      <c r="G126" s="27"/>
      <c r="H126" s="27"/>
      <c r="J126" s="27" t="s">
        <v>144</v>
      </c>
      <c r="K126" s="27"/>
      <c r="L126" s="27"/>
      <c r="M126" s="27"/>
      <c r="N126" s="27"/>
      <c r="O126" s="27"/>
      <c r="P126" s="27"/>
      <c r="Q126" s="27"/>
      <c r="S126" s="27" t="s">
        <v>144</v>
      </c>
      <c r="T126" s="27"/>
      <c r="U126" s="27"/>
      <c r="V126" s="27"/>
      <c r="W126" s="27"/>
      <c r="X126" s="27"/>
      <c r="Y126" s="27"/>
      <c r="Z126" s="27"/>
      <c r="AB126" s="27" t="s">
        <v>144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145</v>
      </c>
      <c r="C128" s="113"/>
      <c r="D128" s="113" t="s">
        <v>146</v>
      </c>
      <c r="E128" s="113"/>
      <c r="F128" s="113" t="s">
        <v>147</v>
      </c>
      <c r="G128" s="113"/>
      <c r="H128" s="114" t="s">
        <v>148</v>
      </c>
      <c r="J128" s="77"/>
      <c r="K128" s="113" t="s">
        <v>145</v>
      </c>
      <c r="L128" s="113"/>
      <c r="M128" s="113" t="s">
        <v>146</v>
      </c>
      <c r="N128" s="113"/>
      <c r="O128" s="113" t="s">
        <v>147</v>
      </c>
      <c r="P128" s="113"/>
      <c r="Q128" s="114" t="s">
        <v>148</v>
      </c>
      <c r="S128" s="77"/>
      <c r="T128" s="113" t="s">
        <v>145</v>
      </c>
      <c r="U128" s="113"/>
      <c r="V128" s="113" t="s">
        <v>146</v>
      </c>
      <c r="W128" s="113"/>
      <c r="X128" s="113" t="s">
        <v>147</v>
      </c>
      <c r="Y128" s="113"/>
      <c r="Z128" s="114" t="s">
        <v>148</v>
      </c>
      <c r="AB128" s="77"/>
      <c r="AC128" s="113" t="s">
        <v>145</v>
      </c>
      <c r="AD128" s="113"/>
      <c r="AE128" s="113" t="s">
        <v>146</v>
      </c>
      <c r="AF128" s="113"/>
      <c r="AG128" s="113" t="s">
        <v>147</v>
      </c>
      <c r="AH128" s="113"/>
      <c r="AI128" s="114" t="s">
        <v>148</v>
      </c>
    </row>
    <row r="129" customFormat="false" ht="21.75" hidden="false" customHeight="false" outlineLevel="0" collapsed="false">
      <c r="A129" s="79"/>
      <c r="B129" s="115" t="s">
        <v>149</v>
      </c>
      <c r="C129" s="116" t="s">
        <v>150</v>
      </c>
      <c r="D129" s="115" t="s">
        <v>149</v>
      </c>
      <c r="E129" s="117" t="s">
        <v>150</v>
      </c>
      <c r="F129" s="115" t="s">
        <v>149</v>
      </c>
      <c r="G129" s="117" t="s">
        <v>150</v>
      </c>
      <c r="H129" s="118"/>
      <c r="J129" s="79"/>
      <c r="K129" s="115" t="s">
        <v>149</v>
      </c>
      <c r="L129" s="116" t="s">
        <v>150</v>
      </c>
      <c r="M129" s="115" t="s">
        <v>149</v>
      </c>
      <c r="N129" s="117" t="s">
        <v>150</v>
      </c>
      <c r="O129" s="115" t="s">
        <v>149</v>
      </c>
      <c r="P129" s="117" t="s">
        <v>150</v>
      </c>
      <c r="Q129" s="118"/>
      <c r="S129" s="79"/>
      <c r="T129" s="115" t="s">
        <v>149</v>
      </c>
      <c r="U129" s="116" t="s">
        <v>150</v>
      </c>
      <c r="V129" s="115" t="s">
        <v>149</v>
      </c>
      <c r="W129" s="117" t="s">
        <v>150</v>
      </c>
      <c r="X129" s="115" t="s">
        <v>149</v>
      </c>
      <c r="Y129" s="117" t="s">
        <v>150</v>
      </c>
      <c r="Z129" s="118"/>
      <c r="AB129" s="79"/>
      <c r="AC129" s="115" t="s">
        <v>149</v>
      </c>
      <c r="AD129" s="116" t="s">
        <v>150</v>
      </c>
      <c r="AE129" s="115" t="s">
        <v>149</v>
      </c>
      <c r="AF129" s="117" t="s">
        <v>150</v>
      </c>
      <c r="AG129" s="115" t="s">
        <v>149</v>
      </c>
      <c r="AH129" s="117" t="s">
        <v>150</v>
      </c>
      <c r="AI129" s="118"/>
    </row>
    <row r="130" customFormat="false" ht="19.5" hidden="false" customHeight="false" outlineLevel="0" collapsed="false">
      <c r="A130" s="24" t="s">
        <v>151</v>
      </c>
      <c r="B130" s="119" t="n">
        <f aca="false">E19</f>
        <v>20600.004</v>
      </c>
      <c r="C130" s="120" t="n">
        <v>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151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151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151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152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152</v>
      </c>
      <c r="K131" s="126" t="n">
        <f aca="false">B4</f>
        <v>20600.004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152</v>
      </c>
      <c r="T131" s="126" t="n">
        <f aca="false">B4</f>
        <v>20600.004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152</v>
      </c>
      <c r="AC131" s="126" t="n">
        <f aca="false">B4</f>
        <v>20600.004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153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153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153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153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154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154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154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154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155</v>
      </c>
      <c r="B134" s="131" t="n">
        <f aca="false">B130-B133</f>
        <v>20600.004</v>
      </c>
      <c r="C134" s="132" t="n">
        <f aca="false">C130-C133</f>
        <v>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155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155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155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149</v>
      </c>
      <c r="H136" s="136" t="s">
        <v>150</v>
      </c>
      <c r="J136" s="133"/>
      <c r="K136" s="137"/>
      <c r="L136" s="137"/>
      <c r="M136" s="137"/>
      <c r="N136" s="137"/>
      <c r="O136" s="137"/>
      <c r="P136" s="138" t="s">
        <v>149</v>
      </c>
      <c r="Q136" s="136" t="s">
        <v>150</v>
      </c>
      <c r="S136" s="133"/>
      <c r="T136" s="137"/>
      <c r="U136" s="137"/>
      <c r="V136" s="137"/>
      <c r="W136" s="137"/>
      <c r="X136" s="137"/>
      <c r="Y136" s="138" t="s">
        <v>149</v>
      </c>
      <c r="Z136" s="136" t="s">
        <v>150</v>
      </c>
      <c r="AB136" s="133"/>
      <c r="AC136" s="137"/>
      <c r="AD136" s="137"/>
      <c r="AE136" s="137"/>
      <c r="AF136" s="137"/>
      <c r="AG136" s="137"/>
      <c r="AH136" s="138" t="s">
        <v>149</v>
      </c>
      <c r="AI136" s="136" t="s">
        <v>150</v>
      </c>
    </row>
    <row r="137" customFormat="false" ht="18.75" hidden="false" customHeight="false" outlineLevel="0" collapsed="false">
      <c r="A137" s="139" t="s">
        <v>156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156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156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156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157</v>
      </c>
      <c r="B139" s="143" t="s">
        <v>158</v>
      </c>
      <c r="C139" s="143"/>
      <c r="D139" s="143" t="s">
        <v>159</v>
      </c>
      <c r="E139" s="143"/>
      <c r="F139" s="143" t="s">
        <v>153</v>
      </c>
      <c r="G139" s="143"/>
      <c r="H139" s="144" t="s">
        <v>150</v>
      </c>
      <c r="J139" s="146" t="s">
        <v>157</v>
      </c>
      <c r="K139" s="147" t="s">
        <v>158</v>
      </c>
      <c r="L139" s="147"/>
      <c r="M139" s="143" t="s">
        <v>159</v>
      </c>
      <c r="N139" s="143"/>
      <c r="O139" s="143" t="s">
        <v>153</v>
      </c>
      <c r="P139" s="143"/>
      <c r="Q139" s="144" t="s">
        <v>150</v>
      </c>
      <c r="S139" s="146" t="s">
        <v>157</v>
      </c>
      <c r="T139" s="143" t="s">
        <v>158</v>
      </c>
      <c r="U139" s="143"/>
      <c r="V139" s="143" t="s">
        <v>159</v>
      </c>
      <c r="W139" s="143"/>
      <c r="X139" s="143" t="s">
        <v>153</v>
      </c>
      <c r="Y139" s="143"/>
      <c r="Z139" s="144" t="s">
        <v>150</v>
      </c>
      <c r="AB139" s="146" t="s">
        <v>157</v>
      </c>
      <c r="AC139" s="143" t="s">
        <v>158</v>
      </c>
      <c r="AD139" s="143"/>
      <c r="AE139" s="143" t="s">
        <v>159</v>
      </c>
      <c r="AF139" s="143"/>
      <c r="AG139" s="143" t="s">
        <v>153</v>
      </c>
      <c r="AH139" s="143"/>
      <c r="AI139" s="144" t="s">
        <v>150</v>
      </c>
    </row>
    <row r="140" customFormat="false" ht="19.5" hidden="false" customHeight="false" outlineLevel="0" collapsed="false">
      <c r="A140" s="30" t="s">
        <v>160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160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160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160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161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161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161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161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162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162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162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162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163</v>
      </c>
      <c r="B144" s="151"/>
      <c r="C144" s="151"/>
      <c r="D144" s="151"/>
      <c r="E144" s="151"/>
      <c r="F144" s="151"/>
      <c r="G144" s="135" t="n">
        <f aca="false">E21</f>
        <v>17166.67</v>
      </c>
      <c r="H144" s="152" t="n">
        <f aca="false">C134+E134+G134+H137</f>
        <v>0</v>
      </c>
      <c r="J144" s="151" t="s">
        <v>163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163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163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164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164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164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164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165</v>
      </c>
      <c r="B146" s="153"/>
      <c r="C146" s="153"/>
      <c r="D146" s="153"/>
      <c r="E146" s="153"/>
      <c r="F146" s="153"/>
      <c r="G146" s="32" t="n">
        <f aca="false">(G144+G145)*20%</f>
        <v>3433.334</v>
      </c>
      <c r="H146" s="32" t="n">
        <f aca="false">(H144+H145)*20%</f>
        <v>0</v>
      </c>
      <c r="J146" s="153" t="s">
        <v>165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165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165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166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166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166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166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167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167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167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167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168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168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168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168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169</v>
      </c>
      <c r="B150" s="153"/>
      <c r="C150" s="153"/>
      <c r="D150" s="153"/>
      <c r="E150" s="153"/>
      <c r="F150" s="153"/>
      <c r="G150" s="156" t="n">
        <f aca="false">(G144+G145+G148+G149+G146)-G147</f>
        <v>20600.004</v>
      </c>
      <c r="H150" s="156" t="n">
        <f aca="false">(H144+H145+H148+H149+H146)-H147</f>
        <v>0</v>
      </c>
      <c r="J150" s="153" t="s">
        <v>169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169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169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170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170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170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170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171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171</v>
      </c>
      <c r="K152" s="158"/>
      <c r="L152" s="158"/>
      <c r="M152" s="158"/>
      <c r="N152" s="158"/>
      <c r="O152" s="158"/>
      <c r="P152" s="37"/>
      <c r="Q152" s="32"/>
      <c r="S152" s="110" t="s">
        <v>171</v>
      </c>
      <c r="T152" s="110"/>
      <c r="U152" s="110"/>
      <c r="V152" s="110"/>
      <c r="W152" s="110"/>
      <c r="X152" s="110"/>
      <c r="Y152" s="37"/>
      <c r="Z152" s="32"/>
      <c r="AB152" s="110" t="s">
        <v>171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172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172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172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172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172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172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172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172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172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172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172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173</v>
      </c>
      <c r="B156" s="153"/>
      <c r="C156" s="153"/>
      <c r="D156" s="153"/>
      <c r="E156" s="153"/>
      <c r="F156" s="153"/>
      <c r="G156" s="163" t="n">
        <f aca="false">G150-((G153*1.2)+(G154*1.2)+(G155*1.2)+(G151*1.2))</f>
        <v>20600.004</v>
      </c>
      <c r="H156" s="163" t="n">
        <f aca="false">H150-((H153*1.2)+(H154*1.2)+(H155*1.2)+(H151*1.2))</f>
        <v>0</v>
      </c>
      <c r="J156" s="164" t="s">
        <v>173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173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173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174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-17166.67</v>
      </c>
      <c r="I157" s="1" t="n">
        <f aca="false">(H157-G90)/1.2</f>
        <v>-30638.895</v>
      </c>
      <c r="J157" s="153" t="s">
        <v>174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174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174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175</v>
      </c>
      <c r="B159" s="27"/>
      <c r="C159" s="27"/>
      <c r="D159" s="27"/>
      <c r="E159" s="27"/>
      <c r="F159" s="27"/>
      <c r="G159" s="27"/>
      <c r="H159" s="27"/>
      <c r="J159" s="27" t="s">
        <v>175</v>
      </c>
      <c r="K159" s="27"/>
      <c r="L159" s="27"/>
      <c r="M159" s="27"/>
      <c r="N159" s="27"/>
      <c r="O159" s="27"/>
      <c r="P159" s="27"/>
      <c r="Q159" s="27"/>
      <c r="S159" s="27" t="s">
        <v>175</v>
      </c>
      <c r="T159" s="27"/>
      <c r="U159" s="27"/>
      <c r="V159" s="27"/>
      <c r="W159" s="27"/>
      <c r="X159" s="27"/>
      <c r="Y159" s="27"/>
      <c r="Z159" s="27"/>
      <c r="AB159" s="27" t="s">
        <v>175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176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176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176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176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177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177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177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177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178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178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178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178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179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179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179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179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180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180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180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180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181</v>
      </c>
      <c r="B167" s="31"/>
      <c r="C167" s="31"/>
      <c r="D167" s="22"/>
      <c r="E167" s="31"/>
      <c r="F167" s="22"/>
      <c r="G167" s="169" t="n">
        <f aca="false">H156-G163-G166</f>
        <v>0</v>
      </c>
      <c r="H167" s="169"/>
      <c r="J167" s="168" t="s">
        <v>181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181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181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182</v>
      </c>
      <c r="B171" s="27"/>
      <c r="C171" s="27"/>
      <c r="D171" s="27"/>
      <c r="E171" s="27"/>
      <c r="F171" s="27"/>
      <c r="G171" s="27"/>
      <c r="H171" s="27"/>
      <c r="J171" s="27" t="s">
        <v>182</v>
      </c>
      <c r="K171" s="27"/>
      <c r="L171" s="27"/>
      <c r="M171" s="27"/>
      <c r="N171" s="27"/>
      <c r="O171" s="27"/>
      <c r="P171" s="27"/>
      <c r="Q171" s="27"/>
      <c r="S171" s="27" t="s">
        <v>182</v>
      </c>
      <c r="T171" s="27"/>
      <c r="U171" s="27"/>
      <c r="V171" s="27"/>
      <c r="W171" s="27"/>
      <c r="X171" s="27"/>
      <c r="Y171" s="27"/>
      <c r="Z171" s="27"/>
      <c r="AB171" s="27" t="s">
        <v>182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183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183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183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183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184</v>
      </c>
      <c r="B175" s="173" t="s">
        <v>185</v>
      </c>
      <c r="C175" s="173"/>
      <c r="D175" s="173"/>
      <c r="E175" s="173" t="s">
        <v>186</v>
      </c>
      <c r="F175" s="22"/>
      <c r="G175" s="22" t="s">
        <v>187</v>
      </c>
      <c r="H175" s="32"/>
      <c r="J175" s="172" t="s">
        <v>184</v>
      </c>
      <c r="K175" s="174" t="s">
        <v>185</v>
      </c>
      <c r="L175" s="174"/>
      <c r="M175" s="174"/>
      <c r="N175" s="174" t="s">
        <v>186</v>
      </c>
      <c r="O175" s="22"/>
      <c r="P175" s="22"/>
      <c r="Q175" s="32"/>
      <c r="S175" s="172" t="s">
        <v>184</v>
      </c>
      <c r="T175" s="174" t="s">
        <v>185</v>
      </c>
      <c r="U175" s="174"/>
      <c r="V175" s="174"/>
      <c r="W175" s="174" t="s">
        <v>186</v>
      </c>
      <c r="X175" s="22"/>
      <c r="Y175" s="22"/>
      <c r="Z175" s="32"/>
      <c r="AB175" s="172" t="s">
        <v>184</v>
      </c>
      <c r="AC175" s="174" t="s">
        <v>185</v>
      </c>
      <c r="AD175" s="174"/>
      <c r="AE175" s="174"/>
      <c r="AF175" s="174" t="s">
        <v>186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1280.96349708865</v>
      </c>
      <c r="B176" s="176" t="n">
        <f aca="false">B103</f>
        <v>85.0909090909091</v>
      </c>
      <c r="C176" s="173"/>
      <c r="D176" s="173"/>
      <c r="E176" s="176" t="n">
        <f aca="false">B105</f>
        <v>1366.05440617956</v>
      </c>
      <c r="F176" s="22"/>
      <c r="G176" s="22" t="n">
        <f aca="false">ROUND(G104,2)</f>
        <v>1206.67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188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188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188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188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189</v>
      </c>
      <c r="B181" s="92" t="s">
        <v>190</v>
      </c>
      <c r="C181" s="92"/>
      <c r="D181" s="22"/>
      <c r="E181" s="92" t="s">
        <v>191</v>
      </c>
      <c r="F181" s="22"/>
      <c r="G181" s="22"/>
      <c r="H181" s="32"/>
      <c r="J181" s="30" t="s">
        <v>189</v>
      </c>
      <c r="K181" s="31" t="s">
        <v>190</v>
      </c>
      <c r="L181" s="31"/>
      <c r="M181" s="22"/>
      <c r="N181" s="31" t="s">
        <v>191</v>
      </c>
      <c r="O181" s="22"/>
      <c r="P181" s="22"/>
      <c r="Q181" s="32"/>
      <c r="S181" s="30" t="s">
        <v>189</v>
      </c>
      <c r="T181" s="31" t="s">
        <v>190</v>
      </c>
      <c r="U181" s="31"/>
      <c r="V181" s="22"/>
      <c r="W181" s="31" t="s">
        <v>191</v>
      </c>
      <c r="X181" s="22"/>
      <c r="Y181" s="22"/>
      <c r="Z181" s="32"/>
      <c r="AB181" s="30" t="s">
        <v>189</v>
      </c>
      <c r="AC181" s="31" t="s">
        <v>190</v>
      </c>
      <c r="AD181" s="31"/>
      <c r="AE181" s="22"/>
      <c r="AF181" s="31" t="s">
        <v>191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0</v>
      </c>
      <c r="B182" s="102" t="n">
        <f aca="false">H146</f>
        <v>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192</v>
      </c>
      <c r="B184" s="92" t="s">
        <v>138</v>
      </c>
      <c r="C184" s="92"/>
      <c r="D184" s="22"/>
      <c r="E184" s="92" t="s">
        <v>139</v>
      </c>
      <c r="F184" s="22"/>
      <c r="G184" s="22"/>
      <c r="H184" s="32"/>
      <c r="J184" s="30" t="s">
        <v>192</v>
      </c>
      <c r="K184" s="31" t="s">
        <v>138</v>
      </c>
      <c r="L184" s="31"/>
      <c r="M184" s="22"/>
      <c r="N184" s="31" t="s">
        <v>139</v>
      </c>
      <c r="O184" s="22"/>
      <c r="P184" s="22"/>
      <c r="Q184" s="32"/>
      <c r="S184" s="30" t="s">
        <v>192</v>
      </c>
      <c r="T184" s="31" t="s">
        <v>138</v>
      </c>
      <c r="U184" s="31"/>
      <c r="V184" s="22"/>
      <c r="W184" s="31" t="s">
        <v>139</v>
      </c>
      <c r="X184" s="22"/>
      <c r="Y184" s="22"/>
      <c r="Z184" s="32"/>
      <c r="AB184" s="30" t="s">
        <v>192</v>
      </c>
      <c r="AC184" s="31" t="s">
        <v>138</v>
      </c>
      <c r="AD184" s="31"/>
      <c r="AE184" s="22"/>
      <c r="AF184" s="31" t="s">
        <v>139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140</v>
      </c>
      <c r="B187" s="92" t="s">
        <v>176</v>
      </c>
      <c r="C187" s="92"/>
      <c r="D187" s="22"/>
      <c r="E187" s="92" t="s">
        <v>181</v>
      </c>
      <c r="F187" s="22"/>
      <c r="G187" s="22"/>
      <c r="H187" s="32"/>
      <c r="J187" s="30" t="s">
        <v>140</v>
      </c>
      <c r="K187" s="31" t="s">
        <v>176</v>
      </c>
      <c r="L187" s="31"/>
      <c r="M187" s="22"/>
      <c r="N187" s="31" t="s">
        <v>181</v>
      </c>
      <c r="O187" s="22"/>
      <c r="P187" s="22"/>
      <c r="Q187" s="32"/>
      <c r="S187" s="30" t="s">
        <v>140</v>
      </c>
      <c r="T187" s="31" t="s">
        <v>176</v>
      </c>
      <c r="U187" s="31"/>
      <c r="V187" s="22"/>
      <c r="W187" s="31" t="s">
        <v>181</v>
      </c>
      <c r="X187" s="22"/>
      <c r="Y187" s="22"/>
      <c r="Z187" s="32"/>
      <c r="AB187" s="30" t="s">
        <v>140</v>
      </c>
      <c r="AC187" s="31" t="s">
        <v>176</v>
      </c>
      <c r="AD187" s="31"/>
      <c r="AE187" s="22"/>
      <c r="AF187" s="31" t="s">
        <v>181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193</v>
      </c>
      <c r="B190" s="92" t="s">
        <v>53</v>
      </c>
      <c r="C190" s="92"/>
      <c r="D190" s="22"/>
      <c r="E190" s="92" t="s">
        <v>194</v>
      </c>
      <c r="F190" s="22"/>
      <c r="G190" s="22"/>
      <c r="H190" s="32"/>
      <c r="J190" s="30" t="s">
        <v>193</v>
      </c>
      <c r="K190" s="31" t="s">
        <v>53</v>
      </c>
      <c r="L190" s="31"/>
      <c r="M190" s="22"/>
      <c r="N190" s="31" t="s">
        <v>194</v>
      </c>
      <c r="O190" s="22"/>
      <c r="P190" s="22"/>
      <c r="Q190" s="32"/>
      <c r="S190" s="30" t="s">
        <v>193</v>
      </c>
      <c r="T190" s="31" t="s">
        <v>53</v>
      </c>
      <c r="U190" s="31"/>
      <c r="V190" s="22"/>
      <c r="W190" s="31" t="s">
        <v>194</v>
      </c>
      <c r="X190" s="22"/>
      <c r="Y190" s="22"/>
      <c r="Z190" s="32"/>
      <c r="AB190" s="30" t="s">
        <v>193</v>
      </c>
      <c r="AC190" s="31" t="s">
        <v>53</v>
      </c>
      <c r="AD190" s="31"/>
      <c r="AE190" s="22"/>
      <c r="AF190" s="31" t="s">
        <v>194</v>
      </c>
      <c r="AG190" s="22"/>
      <c r="AH190" s="22"/>
      <c r="AI190" s="32"/>
    </row>
    <row r="191" customFormat="false" ht="18.75" hidden="false" customHeight="false" outlineLevel="0" collapsed="false">
      <c r="A191" s="110" t="n">
        <f aca="false">(A176*B68)+E194-E188-A194</f>
        <v>21290.5984679751</v>
      </c>
      <c r="B191" s="102" t="str">
        <f aca="false">B123</f>
        <v>239.99</v>
      </c>
      <c r="C191" s="102"/>
      <c r="D191" s="22"/>
      <c r="E191" s="102" t="n">
        <f aca="false">E188+A191+B191+A194</f>
        <v>21540.5884679751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195</v>
      </c>
      <c r="B193" s="92" t="s">
        <v>196</v>
      </c>
      <c r="C193" s="92"/>
      <c r="D193" s="22"/>
      <c r="E193" s="92" t="s">
        <v>197</v>
      </c>
      <c r="F193" s="22"/>
      <c r="G193" s="22"/>
      <c r="H193" s="32"/>
      <c r="J193" s="30" t="s">
        <v>195</v>
      </c>
      <c r="K193" s="31" t="s">
        <v>196</v>
      </c>
      <c r="L193" s="31"/>
      <c r="M193" s="22"/>
      <c r="N193" s="31" t="s">
        <v>197</v>
      </c>
      <c r="O193" s="22"/>
      <c r="P193" s="22"/>
      <c r="Q193" s="32"/>
      <c r="S193" s="30" t="s">
        <v>195</v>
      </c>
      <c r="T193" s="31" t="s">
        <v>196</v>
      </c>
      <c r="U193" s="31"/>
      <c r="V193" s="22"/>
      <c r="W193" s="31" t="s">
        <v>197</v>
      </c>
      <c r="X193" s="22"/>
      <c r="Y193" s="22"/>
      <c r="Z193" s="32"/>
      <c r="AB193" s="30" t="s">
        <v>195</v>
      </c>
      <c r="AC193" s="31" t="s">
        <v>196</v>
      </c>
      <c r="AD193" s="31"/>
      <c r="AE193" s="22"/>
      <c r="AF193" s="31" t="s">
        <v>197</v>
      </c>
      <c r="AG193" s="22"/>
      <c r="AH193" s="22"/>
      <c r="AI193" s="32"/>
    </row>
    <row r="194" customFormat="false" ht="18.7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E179+A194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198</v>
      </c>
      <c r="B196" s="92" t="s">
        <v>199</v>
      </c>
      <c r="C196" s="92"/>
      <c r="D196" s="92"/>
      <c r="E196" s="165" t="s">
        <v>200</v>
      </c>
      <c r="F196" s="22"/>
      <c r="G196" s="22"/>
      <c r="H196" s="32"/>
      <c r="J196" s="30" t="s">
        <v>198</v>
      </c>
      <c r="K196" s="31" t="s">
        <v>199</v>
      </c>
      <c r="L196" s="31"/>
      <c r="M196" s="31"/>
      <c r="N196" s="38" t="s">
        <v>200</v>
      </c>
      <c r="O196" s="22"/>
      <c r="P196" s="22"/>
      <c r="Q196" s="32"/>
      <c r="S196" s="30" t="s">
        <v>198</v>
      </c>
      <c r="T196" s="31" t="s">
        <v>199</v>
      </c>
      <c r="U196" s="31"/>
      <c r="V196" s="31"/>
      <c r="W196" s="38" t="s">
        <v>200</v>
      </c>
      <c r="X196" s="31"/>
      <c r="Y196" s="31"/>
      <c r="Z196" s="32"/>
      <c r="AB196" s="30" t="s">
        <v>198</v>
      </c>
      <c r="AC196" s="31" t="s">
        <v>199</v>
      </c>
      <c r="AD196" s="31"/>
      <c r="AE196" s="31"/>
      <c r="AF196" s="38" t="s">
        <v>200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9.72624</v>
      </c>
      <c r="B197" s="102" t="n">
        <f aca="false">(G167*B76)/1.2</f>
        <v>0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201</v>
      </c>
      <c r="B199" s="165" t="s">
        <v>202</v>
      </c>
      <c r="C199" s="92"/>
      <c r="D199" s="92"/>
      <c r="E199" s="165" t="s">
        <v>203</v>
      </c>
      <c r="F199" s="22"/>
      <c r="G199" s="22"/>
      <c r="H199" s="32"/>
      <c r="J199" s="59" t="s">
        <v>201</v>
      </c>
      <c r="K199" s="38" t="s">
        <v>202</v>
      </c>
      <c r="L199" s="31"/>
      <c r="M199" s="31"/>
      <c r="N199" s="38" t="s">
        <v>203</v>
      </c>
      <c r="O199" s="22"/>
      <c r="P199" s="22"/>
      <c r="Q199" s="32"/>
      <c r="S199" s="59" t="s">
        <v>201</v>
      </c>
      <c r="T199" s="38" t="s">
        <v>202</v>
      </c>
      <c r="U199" s="31"/>
      <c r="V199" s="31"/>
      <c r="W199" s="38" t="s">
        <v>203</v>
      </c>
      <c r="X199" s="31"/>
      <c r="Y199" s="31"/>
      <c r="Z199" s="32"/>
      <c r="AB199" s="59" t="s">
        <v>201</v>
      </c>
      <c r="AC199" s="38" t="s">
        <v>202</v>
      </c>
      <c r="AD199" s="31"/>
      <c r="AE199" s="31"/>
      <c r="AF199" s="38" t="s">
        <v>203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99.9916666666667</v>
      </c>
      <c r="C200" s="92"/>
      <c r="D200" s="92"/>
      <c r="E200" s="102" t="n">
        <f aca="false">H157</f>
        <v>-17166.67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204</v>
      </c>
      <c r="B202" s="92"/>
      <c r="C202" s="92"/>
      <c r="D202" s="66"/>
      <c r="E202" s="66"/>
      <c r="F202" s="66"/>
      <c r="G202" s="66"/>
      <c r="H202" s="67"/>
      <c r="J202" s="65" t="s">
        <v>204</v>
      </c>
      <c r="K202" s="31"/>
      <c r="L202" s="31"/>
      <c r="M202" s="66"/>
      <c r="N202" s="66"/>
      <c r="O202" s="66"/>
      <c r="P202" s="66"/>
      <c r="Q202" s="67"/>
      <c r="S202" s="65" t="s">
        <v>204</v>
      </c>
      <c r="T202" s="31"/>
      <c r="U202" s="31"/>
      <c r="V202" s="66"/>
      <c r="W202" s="66"/>
      <c r="X202" s="66"/>
      <c r="Y202" s="66"/>
      <c r="Z202" s="67"/>
      <c r="AB202" s="65" t="s">
        <v>204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1366.05440617956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205</v>
      </c>
      <c r="B209" s="92" t="s">
        <v>206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8.75" hidden="false" customHeight="false" outlineLevel="0" collapsed="false">
      <c r="A210" s="35" t="n">
        <f aca="false">(G176*B68)+E194-E188-A194</f>
        <v>20473.37</v>
      </c>
      <c r="B210" s="185" t="n">
        <f aca="false">E188+A210+B191+A194</f>
        <v>20723.36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182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127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207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184</v>
      </c>
      <c r="B220" s="191" t="s">
        <v>185</v>
      </c>
      <c r="C220" s="191"/>
      <c r="D220" s="191"/>
      <c r="E220" s="191" t="s">
        <v>186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1280.96349708865</v>
      </c>
      <c r="B221" s="176" t="n">
        <f aca="false">B176</f>
        <v>85.0909090909091</v>
      </c>
      <c r="C221" s="173"/>
      <c r="D221" s="173"/>
      <c r="E221" s="176" t="n">
        <f aca="false">E176</f>
        <v>1366.05440617956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189</v>
      </c>
      <c r="B223" s="92" t="s">
        <v>190</v>
      </c>
      <c r="C223" s="92"/>
      <c r="D223" s="112"/>
      <c r="E223" s="92" t="s">
        <v>191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0</v>
      </c>
      <c r="B224" s="102" t="n">
        <f aca="false">B182</f>
        <v>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192</v>
      </c>
      <c r="B226" s="92" t="s">
        <v>138</v>
      </c>
      <c r="C226" s="92"/>
      <c r="D226" s="112"/>
      <c r="E226" s="92" t="s">
        <v>139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140</v>
      </c>
      <c r="B229" s="92" t="s">
        <v>176</v>
      </c>
      <c r="C229" s="92"/>
      <c r="D229" s="112"/>
      <c r="E229" s="92" t="s">
        <v>181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193</v>
      </c>
      <c r="B232" s="92" t="s">
        <v>53</v>
      </c>
      <c r="C232" s="92"/>
      <c r="D232" s="112"/>
      <c r="E232" s="92" t="s">
        <v>194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21290.5984679751</v>
      </c>
      <c r="B233" s="102" t="str">
        <f aca="false">B191</f>
        <v>239.99</v>
      </c>
      <c r="C233" s="102"/>
      <c r="D233" s="112"/>
      <c r="E233" s="102" t="n">
        <f aca="false">E191</f>
        <v>21540.5884679751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195</v>
      </c>
      <c r="B235" s="92" t="s">
        <v>196</v>
      </c>
      <c r="C235" s="92"/>
      <c r="D235" s="112"/>
      <c r="E235" s="92" t="s">
        <v>208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184</v>
      </c>
      <c r="B238" s="92" t="s">
        <v>185</v>
      </c>
      <c r="C238" s="92"/>
      <c r="D238" s="92"/>
      <c r="E238" s="92" t="s">
        <v>186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1280.96349708865</v>
      </c>
      <c r="B239" s="102" t="n">
        <f aca="false">B176</f>
        <v>85.0909090909091</v>
      </c>
      <c r="C239" s="185"/>
      <c r="D239" s="185"/>
      <c r="E239" s="102" t="n">
        <f aca="false">E176</f>
        <v>1366.05440617956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209</v>
      </c>
      <c r="B241" s="92" t="s">
        <v>210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29.17872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211</v>
      </c>
      <c r="B244" s="165" t="s">
        <v>73</v>
      </c>
      <c r="C244" s="92"/>
      <c r="D244" s="92"/>
      <c r="E244" s="165" t="s">
        <v>132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9.72624</v>
      </c>
      <c r="B245" s="102" t="n">
        <f aca="false">E242+A245</f>
        <v>38.90496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212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213</v>
      </c>
      <c r="B248" s="92" t="s">
        <v>199</v>
      </c>
      <c r="C248" s="92"/>
      <c r="D248" s="92"/>
      <c r="E248" s="165" t="s">
        <v>200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-17166.67</v>
      </c>
      <c r="B249" s="102" t="n">
        <f aca="false">B197</f>
        <v>0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201</v>
      </c>
      <c r="B251" s="165" t="s">
        <v>202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-17066.6783333333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214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215</v>
      </c>
      <c r="B262" s="195" t="n">
        <f aca="false">B72</f>
        <v>0.065</v>
      </c>
      <c r="C262" s="196"/>
      <c r="D262" s="197" t="s">
        <v>216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217</v>
      </c>
      <c r="B263" s="198" t="n">
        <f aca="false">(E191-B191)-(B210-B191-A194)</f>
        <v>827.22846797511</v>
      </c>
      <c r="C263" s="196"/>
      <c r="D263" s="197" t="s">
        <v>218</v>
      </c>
      <c r="E263" s="197"/>
      <c r="F263" s="199" t="n">
        <f aca="false">F270+F276+F278+B279+B280</f>
        <v>0</v>
      </c>
      <c r="G263" s="22"/>
      <c r="H263" s="32"/>
    </row>
    <row r="264" customFormat="false" ht="18.75" hidden="false" customHeight="false" outlineLevel="0" collapsed="false">
      <c r="A264" s="190" t="s">
        <v>219</v>
      </c>
      <c r="B264" s="199" t="n">
        <f aca="false">F271+B272</f>
        <v>99.9916666666667</v>
      </c>
      <c r="C264" s="196"/>
      <c r="D264" s="197" t="s">
        <v>220</v>
      </c>
      <c r="E264" s="197"/>
      <c r="F264" s="199" t="n">
        <f aca="false">(B263-F263)+B264</f>
        <v>927.220134641777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215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221</v>
      </c>
      <c r="B268" s="204" t="n">
        <f aca="false">B73</f>
        <v>0.05</v>
      </c>
      <c r="C268" s="31"/>
      <c r="D268" s="165" t="s">
        <v>222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216</v>
      </c>
      <c r="B269" s="208" t="n">
        <f aca="false">B92</f>
        <v>0.1255</v>
      </c>
      <c r="C269" s="42"/>
      <c r="D269" s="165" t="s">
        <v>217</v>
      </c>
      <c r="E269" s="165"/>
      <c r="F269" s="145" t="n">
        <f aca="false">(B98*B68)-(C98*B68)</f>
        <v>14090.5984679751</v>
      </c>
      <c r="G269" s="22"/>
      <c r="H269" s="32"/>
    </row>
    <row r="270" customFormat="false" ht="19.5" hidden="false" customHeight="false" outlineLevel="0" collapsed="false">
      <c r="A270" s="30" t="s">
        <v>223</v>
      </c>
      <c r="B270" s="208" t="n">
        <f aca="false">B76</f>
        <v>0.005</v>
      </c>
      <c r="C270" s="31"/>
      <c r="D270" s="165" t="s">
        <v>223</v>
      </c>
      <c r="E270" s="165"/>
      <c r="F270" s="150" t="n">
        <f aca="false">B77</f>
        <v>0</v>
      </c>
      <c r="G270" s="22"/>
      <c r="H270" s="32"/>
    </row>
    <row r="271" customFormat="false" ht="19.5" hidden="false" customHeight="false" outlineLevel="0" collapsed="false">
      <c r="A271" s="30" t="s">
        <v>224</v>
      </c>
      <c r="B271" s="204" t="n">
        <f aca="false">A117</f>
        <v>0.3</v>
      </c>
      <c r="C271" s="31"/>
      <c r="D271" s="165" t="s">
        <v>224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225</v>
      </c>
      <c r="B272" s="145" t="n">
        <f aca="false">A252</f>
        <v>99.9916666666667</v>
      </c>
      <c r="C272" s="31"/>
      <c r="D272" s="38" t="s">
        <v>220</v>
      </c>
      <c r="E272" s="38"/>
      <c r="F272" s="145" t="n">
        <f aca="false">(B263-F263)+B264</f>
        <v>927.220134641777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226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227</v>
      </c>
      <c r="B275" s="150" t="n">
        <v>0</v>
      </c>
      <c r="C275" s="31"/>
      <c r="D275" s="209" t="s">
        <v>228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229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230</v>
      </c>
      <c r="B277" s="210" t="s">
        <v>4</v>
      </c>
      <c r="C277" s="31"/>
      <c r="D277" s="165" t="s">
        <v>231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232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233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234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11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20049.996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16708.33</v>
      </c>
      <c r="C9" s="9" t="n">
        <f aca="false">B9*0.2</f>
        <v>3341.666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0.0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0.0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384</v>
      </c>
      <c r="B34" s="31"/>
      <c r="C34" s="40" t="s">
        <v>385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20049.996</v>
      </c>
      <c r="B37" s="31"/>
      <c r="C37" s="40" t="s">
        <v>386</v>
      </c>
      <c r="D37" s="40"/>
      <c r="E37" s="31"/>
      <c r="F37" s="42" t="n">
        <f aca="false">A37-C37</f>
        <v>19049.996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384</v>
      </c>
      <c r="B40" s="31"/>
      <c r="C40" s="53" t="n">
        <f aca="false">A34-1</f>
        <v>11</v>
      </c>
      <c r="D40" s="53"/>
      <c r="E40" s="31"/>
      <c r="F40" s="40" t="s">
        <v>387</v>
      </c>
      <c r="G40" s="40"/>
      <c r="H40" s="46"/>
      <c r="J40" s="2" t="s">
        <v>58</v>
      </c>
      <c r="K40" s="2" t="n">
        <f aca="false">C15</f>
        <v>3341.666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195.138833333333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304.861166666667</v>
      </c>
      <c r="L45" s="2"/>
    </row>
    <row r="46" customFormat="false" ht="19.5" hidden="false" customHeight="false" outlineLevel="0" collapsed="false">
      <c r="A46" s="39" t="n">
        <v>0.0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307.527833333333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307.527833333333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80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307.527833333333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13493.4791408569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112.5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307.527833333333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307.527833333333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307.527833333333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19049.996</v>
      </c>
      <c r="C90" s="31"/>
      <c r="D90" s="31"/>
      <c r="E90" s="22"/>
      <c r="F90" s="24" t="s">
        <v>106</v>
      </c>
      <c r="G90" s="26" t="n">
        <f aca="false">F37</f>
        <v>19049.996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12695.0542001204</v>
      </c>
      <c r="C97" s="31"/>
      <c r="D97" s="31"/>
      <c r="E97" s="22"/>
      <c r="F97" s="30" t="s">
        <v>113</v>
      </c>
      <c r="G97" s="32" t="n">
        <f aca="false">G90-G95</f>
        <v>12301.926698559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1227.77083098699</v>
      </c>
      <c r="C98" s="31"/>
      <c r="D98" s="31"/>
      <c r="E98" s="22"/>
      <c r="F98" s="30" t="s">
        <v>114</v>
      </c>
      <c r="G98" s="32" t="n">
        <f aca="false">(G97/G96)</f>
        <v>1155.03079834528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13505.4791408569</v>
      </c>
      <c r="C99" s="31"/>
      <c r="D99" s="31"/>
      <c r="E99" s="22"/>
      <c r="F99" s="30" t="s">
        <v>115</v>
      </c>
      <c r="G99" s="32" t="n">
        <f aca="false">((G98*(G94))+G86)</f>
        <v>12705.338781798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13505.4791408569</v>
      </c>
      <c r="C101" s="31"/>
      <c r="D101" s="31"/>
      <c r="E101" s="22"/>
      <c r="F101" s="55" t="s">
        <v>117</v>
      </c>
      <c r="G101" s="64" t="n">
        <f aca="false">(G99+G100)</f>
        <v>12705.338781798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1227.77083098699</v>
      </c>
      <c r="C104" s="31"/>
      <c r="D104" s="31"/>
      <c r="E104" s="22"/>
      <c r="F104" s="94" t="s">
        <v>119</v>
      </c>
      <c r="G104" s="95" t="n">
        <f aca="false">G101/(G94)</f>
        <v>1155.03079834528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1227.77083098699</v>
      </c>
      <c r="C105" s="31"/>
      <c r="D105" s="31"/>
      <c r="E105" s="22" t="s">
        <v>18</v>
      </c>
      <c r="F105" s="96" t="s">
        <v>120</v>
      </c>
      <c r="G105" s="97" t="n">
        <f aca="false">G103+G104</f>
        <v>1155.03079834528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0.0</v>
      </c>
      <c r="C108" s="22"/>
      <c r="D108" s="22" t="n">
        <v>0.0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122</v>
      </c>
      <c r="B109" s="99"/>
      <c r="C109" s="99"/>
      <c r="D109" s="99"/>
      <c r="E109" s="99"/>
      <c r="F109" s="99"/>
      <c r="G109" s="99"/>
      <c r="H109" s="99"/>
      <c r="J109" s="23" t="s">
        <v>123</v>
      </c>
      <c r="K109" s="23"/>
      <c r="L109" s="23"/>
      <c r="M109" s="23"/>
      <c r="N109" s="23"/>
      <c r="O109" s="23"/>
      <c r="P109" s="23"/>
      <c r="Q109" s="23"/>
      <c r="S109" s="99" t="s">
        <v>124</v>
      </c>
      <c r="T109" s="99"/>
      <c r="U109" s="99"/>
      <c r="V109" s="99"/>
      <c r="W109" s="99"/>
      <c r="X109" s="99"/>
      <c r="Y109" s="99"/>
      <c r="Z109" s="99"/>
      <c r="AB109" s="99" t="s">
        <v>125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126</v>
      </c>
      <c r="K111" s="27"/>
      <c r="L111" s="27"/>
      <c r="M111" s="27"/>
      <c r="N111" s="27"/>
      <c r="O111" s="27"/>
      <c r="P111" s="27"/>
      <c r="Q111" s="27"/>
      <c r="S111" s="27" t="s">
        <v>126</v>
      </c>
      <c r="T111" s="27"/>
      <c r="U111" s="27"/>
      <c r="V111" s="27"/>
      <c r="W111" s="27"/>
      <c r="X111" s="27"/>
      <c r="Y111" s="27"/>
      <c r="Z111" s="27"/>
      <c r="AB111" s="27" t="s">
        <v>126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127</v>
      </c>
      <c r="B113" s="31" t="s">
        <v>23</v>
      </c>
      <c r="C113" s="31"/>
      <c r="D113" s="31"/>
      <c r="E113" s="31" t="s">
        <v>128</v>
      </c>
      <c r="F113" s="31"/>
      <c r="G113" s="31"/>
      <c r="H113" s="32"/>
      <c r="J113" s="30" t="s">
        <v>127</v>
      </c>
      <c r="K113" s="31" t="s">
        <v>23</v>
      </c>
      <c r="L113" s="31"/>
      <c r="M113" s="31"/>
      <c r="N113" s="31" t="s">
        <v>128</v>
      </c>
      <c r="O113" s="31"/>
      <c r="P113" s="31"/>
      <c r="Q113" s="32"/>
      <c r="S113" s="30" t="s">
        <v>127</v>
      </c>
      <c r="T113" s="31" t="s">
        <v>23</v>
      </c>
      <c r="U113" s="31"/>
      <c r="V113" s="31"/>
      <c r="W113" s="31" t="s">
        <v>128</v>
      </c>
      <c r="X113" s="31"/>
      <c r="Y113" s="31"/>
      <c r="Z113" s="32"/>
      <c r="AB113" s="30" t="s">
        <v>127</v>
      </c>
      <c r="AC113" s="31" t="s">
        <v>23</v>
      </c>
      <c r="AD113" s="31"/>
      <c r="AE113" s="31"/>
      <c r="AF113" s="31" t="s">
        <v>128</v>
      </c>
      <c r="AG113" s="31"/>
      <c r="AH113" s="31"/>
      <c r="AI113" s="32"/>
    </row>
    <row r="114" customFormat="false" ht="19.5" hidden="false" customHeight="false" outlineLevel="0" collapsed="false">
      <c r="A114" s="35" t="s">
        <v>129</v>
      </c>
      <c r="B114" s="102" t="s">
        <v>235</v>
      </c>
      <c r="C114" s="102"/>
      <c r="D114" s="102"/>
      <c r="E114" s="103" t="s">
        <v>389</v>
      </c>
      <c r="F114" s="103"/>
      <c r="G114" s="103"/>
      <c r="H114" s="101"/>
      <c r="J114" s="35" t="s">
        <v>129</v>
      </c>
      <c r="K114" s="104" t="s">
        <v>130</v>
      </c>
      <c r="L114" s="104"/>
      <c r="M114" s="104"/>
      <c r="N114" s="103" t="s">
        <v>18</v>
      </c>
      <c r="O114" s="103"/>
      <c r="P114" s="103"/>
      <c r="Q114" s="101"/>
      <c r="S114" s="35" t="s">
        <v>129</v>
      </c>
      <c r="T114" s="102" t="s">
        <v>130</v>
      </c>
      <c r="U114" s="102"/>
      <c r="V114" s="102"/>
      <c r="W114" s="103" t="s">
        <v>18</v>
      </c>
      <c r="X114" s="103"/>
      <c r="Y114" s="103"/>
      <c r="Z114" s="101"/>
      <c r="AB114" s="35" t="s">
        <v>129</v>
      </c>
      <c r="AC114" s="102" t="s">
        <v>130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131</v>
      </c>
      <c r="B116" s="31" t="s">
        <v>132</v>
      </c>
      <c r="C116" s="31"/>
      <c r="D116" s="22"/>
      <c r="E116" s="31" t="s">
        <v>133</v>
      </c>
      <c r="F116" s="31"/>
      <c r="G116" s="22"/>
      <c r="H116" s="101"/>
      <c r="J116" s="30" t="s">
        <v>131</v>
      </c>
      <c r="K116" s="31" t="s">
        <v>132</v>
      </c>
      <c r="L116" s="31"/>
      <c r="M116" s="22"/>
      <c r="N116" s="31" t="s">
        <v>133</v>
      </c>
      <c r="O116" s="31"/>
      <c r="P116" s="22"/>
      <c r="Q116" s="101"/>
      <c r="S116" s="30" t="s">
        <v>131</v>
      </c>
      <c r="T116" s="31" t="s">
        <v>132</v>
      </c>
      <c r="U116" s="31"/>
      <c r="V116" s="22"/>
      <c r="W116" s="31" t="s">
        <v>133</v>
      </c>
      <c r="X116" s="31"/>
      <c r="Y116" s="22"/>
      <c r="Z116" s="101"/>
      <c r="AB116" s="30" t="s">
        <v>131</v>
      </c>
      <c r="AC116" s="31" t="s">
        <v>132</v>
      </c>
      <c r="AD116" s="31"/>
      <c r="AE116" s="22"/>
      <c r="AF116" s="31" t="s">
        <v>133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134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134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135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135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136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134</v>
      </c>
    </row>
    <row r="119" customFormat="false" ht="19.5" hidden="false" customHeight="false" outlineLevel="0" collapsed="false">
      <c r="A119" s="30" t="s">
        <v>137</v>
      </c>
      <c r="B119" s="31" t="s">
        <v>138</v>
      </c>
      <c r="C119" s="31"/>
      <c r="D119" s="31"/>
      <c r="E119" s="31" t="s">
        <v>139</v>
      </c>
      <c r="F119" s="31"/>
      <c r="G119" s="31"/>
      <c r="H119" s="32"/>
      <c r="J119" s="30" t="s">
        <v>137</v>
      </c>
      <c r="K119" s="31" t="s">
        <v>138</v>
      </c>
      <c r="L119" s="31"/>
      <c r="M119" s="31"/>
      <c r="N119" s="31" t="s">
        <v>139</v>
      </c>
      <c r="O119" s="31"/>
      <c r="P119" s="31"/>
      <c r="Q119" s="32"/>
      <c r="S119" s="30" t="s">
        <v>137</v>
      </c>
      <c r="T119" s="31" t="s">
        <v>138</v>
      </c>
      <c r="U119" s="31"/>
      <c r="V119" s="31"/>
      <c r="W119" s="31" t="s">
        <v>139</v>
      </c>
      <c r="X119" s="31"/>
      <c r="Y119" s="31"/>
      <c r="Z119" s="32"/>
      <c r="AB119" s="30" t="s">
        <v>137</v>
      </c>
      <c r="AC119" s="31" t="s">
        <v>138</v>
      </c>
      <c r="AD119" s="31"/>
      <c r="AE119" s="31"/>
      <c r="AF119" s="31" t="s">
        <v>139</v>
      </c>
      <c r="AG119" s="31"/>
      <c r="AH119" s="31"/>
      <c r="AI119" s="32"/>
    </row>
    <row r="120" customFormat="false" ht="19.5" hidden="false" customHeight="false" outlineLevel="0" collapsed="false">
      <c r="A120" s="39" t="s">
        <v>390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140</v>
      </c>
      <c r="B122" s="31" t="s">
        <v>141</v>
      </c>
      <c r="C122" s="31"/>
      <c r="D122" s="31"/>
      <c r="E122" s="31" t="s">
        <v>142</v>
      </c>
      <c r="F122" s="31"/>
      <c r="G122" s="22"/>
      <c r="H122" s="101"/>
      <c r="J122" s="109" t="s">
        <v>140</v>
      </c>
      <c r="K122" s="31" t="s">
        <v>141</v>
      </c>
      <c r="L122" s="31"/>
      <c r="M122" s="31"/>
      <c r="N122" s="31" t="s">
        <v>142</v>
      </c>
      <c r="O122" s="31"/>
      <c r="P122" s="22"/>
      <c r="Q122" s="101"/>
      <c r="S122" s="109" t="s">
        <v>140</v>
      </c>
      <c r="T122" s="31" t="s">
        <v>141</v>
      </c>
      <c r="U122" s="31"/>
      <c r="V122" s="31"/>
      <c r="W122" s="31" t="s">
        <v>142</v>
      </c>
      <c r="X122" s="31"/>
      <c r="Y122" s="22"/>
      <c r="Z122" s="101"/>
      <c r="AB122" s="109" t="s">
        <v>140</v>
      </c>
      <c r="AC122" s="31" t="s">
        <v>141</v>
      </c>
      <c r="AD122" s="31"/>
      <c r="AE122" s="31"/>
      <c r="AF122" s="31" t="s">
        <v>142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388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144</v>
      </c>
      <c r="B126" s="27"/>
      <c r="C126" s="27"/>
      <c r="D126" s="27"/>
      <c r="E126" s="27"/>
      <c r="F126" s="27"/>
      <c r="G126" s="27"/>
      <c r="H126" s="27"/>
      <c r="J126" s="27" t="s">
        <v>144</v>
      </c>
      <c r="K126" s="27"/>
      <c r="L126" s="27"/>
      <c r="M126" s="27"/>
      <c r="N126" s="27"/>
      <c r="O126" s="27"/>
      <c r="P126" s="27"/>
      <c r="Q126" s="27"/>
      <c r="S126" s="27" t="s">
        <v>144</v>
      </c>
      <c r="T126" s="27"/>
      <c r="U126" s="27"/>
      <c r="V126" s="27"/>
      <c r="W126" s="27"/>
      <c r="X126" s="27"/>
      <c r="Y126" s="27"/>
      <c r="Z126" s="27"/>
      <c r="AB126" s="27" t="s">
        <v>144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145</v>
      </c>
      <c r="C128" s="113"/>
      <c r="D128" s="113" t="s">
        <v>146</v>
      </c>
      <c r="E128" s="113"/>
      <c r="F128" s="113" t="s">
        <v>147</v>
      </c>
      <c r="G128" s="113"/>
      <c r="H128" s="114" t="s">
        <v>148</v>
      </c>
      <c r="J128" s="77"/>
      <c r="K128" s="113" t="s">
        <v>145</v>
      </c>
      <c r="L128" s="113"/>
      <c r="M128" s="113" t="s">
        <v>146</v>
      </c>
      <c r="N128" s="113"/>
      <c r="O128" s="113" t="s">
        <v>147</v>
      </c>
      <c r="P128" s="113"/>
      <c r="Q128" s="114" t="s">
        <v>148</v>
      </c>
      <c r="S128" s="77"/>
      <c r="T128" s="113" t="s">
        <v>145</v>
      </c>
      <c r="U128" s="113"/>
      <c r="V128" s="113" t="s">
        <v>146</v>
      </c>
      <c r="W128" s="113"/>
      <c r="X128" s="113" t="s">
        <v>147</v>
      </c>
      <c r="Y128" s="113"/>
      <c r="Z128" s="114" t="s">
        <v>148</v>
      </c>
      <c r="AB128" s="77"/>
      <c r="AC128" s="113" t="s">
        <v>145</v>
      </c>
      <c r="AD128" s="113"/>
      <c r="AE128" s="113" t="s">
        <v>146</v>
      </c>
      <c r="AF128" s="113"/>
      <c r="AG128" s="113" t="s">
        <v>147</v>
      </c>
      <c r="AH128" s="113"/>
      <c r="AI128" s="114" t="s">
        <v>148</v>
      </c>
    </row>
    <row r="129" customFormat="false" ht="21.75" hidden="false" customHeight="false" outlineLevel="0" collapsed="false">
      <c r="A129" s="79"/>
      <c r="B129" s="115" t="s">
        <v>149</v>
      </c>
      <c r="C129" s="116" t="s">
        <v>150</v>
      </c>
      <c r="D129" s="115" t="s">
        <v>149</v>
      </c>
      <c r="E129" s="117" t="s">
        <v>150</v>
      </c>
      <c r="F129" s="115" t="s">
        <v>149</v>
      </c>
      <c r="G129" s="117" t="s">
        <v>150</v>
      </c>
      <c r="H129" s="118"/>
      <c r="J129" s="79"/>
      <c r="K129" s="115" t="s">
        <v>149</v>
      </c>
      <c r="L129" s="116" t="s">
        <v>150</v>
      </c>
      <c r="M129" s="115" t="s">
        <v>149</v>
      </c>
      <c r="N129" s="117" t="s">
        <v>150</v>
      </c>
      <c r="O129" s="115" t="s">
        <v>149</v>
      </c>
      <c r="P129" s="117" t="s">
        <v>150</v>
      </c>
      <c r="Q129" s="118"/>
      <c r="S129" s="79"/>
      <c r="T129" s="115" t="s">
        <v>149</v>
      </c>
      <c r="U129" s="116" t="s">
        <v>150</v>
      </c>
      <c r="V129" s="115" t="s">
        <v>149</v>
      </c>
      <c r="W129" s="117" t="s">
        <v>150</v>
      </c>
      <c r="X129" s="115" t="s">
        <v>149</v>
      </c>
      <c r="Y129" s="117" t="s">
        <v>150</v>
      </c>
      <c r="Z129" s="118"/>
      <c r="AB129" s="79"/>
      <c r="AC129" s="115" t="s">
        <v>149</v>
      </c>
      <c r="AD129" s="116" t="s">
        <v>150</v>
      </c>
      <c r="AE129" s="115" t="s">
        <v>149</v>
      </c>
      <c r="AF129" s="117" t="s">
        <v>150</v>
      </c>
      <c r="AG129" s="115" t="s">
        <v>149</v>
      </c>
      <c r="AH129" s="117" t="s">
        <v>150</v>
      </c>
      <c r="AI129" s="118"/>
    </row>
    <row r="130" customFormat="false" ht="19.5" hidden="false" customHeight="false" outlineLevel="0" collapsed="false">
      <c r="A130" s="24" t="s">
        <v>151</v>
      </c>
      <c r="B130" s="119" t="n">
        <f aca="false">E19</f>
        <v>20049.996</v>
      </c>
      <c r="C130" s="120" t="n">
        <v>18750.0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151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151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151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152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152</v>
      </c>
      <c r="K131" s="126" t="n">
        <f aca="false">B4</f>
        <v>20049.996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152</v>
      </c>
      <c r="T131" s="126" t="n">
        <f aca="false">B4</f>
        <v>20049.996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152</v>
      </c>
      <c r="AC131" s="126" t="n">
        <f aca="false">B4</f>
        <v>20049.996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153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153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153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153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154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154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154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154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155</v>
      </c>
      <c r="B134" s="131" t="n">
        <f aca="false">B130-B133</f>
        <v>20049.996</v>
      </c>
      <c r="C134" s="132" t="n">
        <f aca="false">C130-C133</f>
        <v>18750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155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155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155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149</v>
      </c>
      <c r="H136" s="136" t="s">
        <v>150</v>
      </c>
      <c r="J136" s="133"/>
      <c r="K136" s="137"/>
      <c r="L136" s="137"/>
      <c r="M136" s="137"/>
      <c r="N136" s="137"/>
      <c r="O136" s="137"/>
      <c r="P136" s="138" t="s">
        <v>149</v>
      </c>
      <c r="Q136" s="136" t="s">
        <v>150</v>
      </c>
      <c r="S136" s="133"/>
      <c r="T136" s="137"/>
      <c r="U136" s="137"/>
      <c r="V136" s="137"/>
      <c r="W136" s="137"/>
      <c r="X136" s="137"/>
      <c r="Y136" s="138" t="s">
        <v>149</v>
      </c>
      <c r="Z136" s="136" t="s">
        <v>150</v>
      </c>
      <c r="AB136" s="133"/>
      <c r="AC136" s="137"/>
      <c r="AD136" s="137"/>
      <c r="AE136" s="137"/>
      <c r="AF136" s="137"/>
      <c r="AG136" s="137"/>
      <c r="AH136" s="138" t="s">
        <v>149</v>
      </c>
      <c r="AI136" s="136" t="s">
        <v>150</v>
      </c>
    </row>
    <row r="137" customFormat="false" ht="18.75" hidden="false" customHeight="false" outlineLevel="0" collapsed="false">
      <c r="A137" s="139" t="s">
        <v>156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156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156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156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157</v>
      </c>
      <c r="B139" s="143" t="s">
        <v>158</v>
      </c>
      <c r="C139" s="143"/>
      <c r="D139" s="143" t="s">
        <v>159</v>
      </c>
      <c r="E139" s="143"/>
      <c r="F139" s="143" t="s">
        <v>153</v>
      </c>
      <c r="G139" s="143"/>
      <c r="H139" s="144" t="s">
        <v>150</v>
      </c>
      <c r="J139" s="146" t="s">
        <v>157</v>
      </c>
      <c r="K139" s="147" t="s">
        <v>158</v>
      </c>
      <c r="L139" s="147"/>
      <c r="M139" s="143" t="s">
        <v>159</v>
      </c>
      <c r="N139" s="143"/>
      <c r="O139" s="143" t="s">
        <v>153</v>
      </c>
      <c r="P139" s="143"/>
      <c r="Q139" s="144" t="s">
        <v>150</v>
      </c>
      <c r="S139" s="146" t="s">
        <v>157</v>
      </c>
      <c r="T139" s="143" t="s">
        <v>158</v>
      </c>
      <c r="U139" s="143"/>
      <c r="V139" s="143" t="s">
        <v>159</v>
      </c>
      <c r="W139" s="143"/>
      <c r="X139" s="143" t="s">
        <v>153</v>
      </c>
      <c r="Y139" s="143"/>
      <c r="Z139" s="144" t="s">
        <v>150</v>
      </c>
      <c r="AB139" s="146" t="s">
        <v>157</v>
      </c>
      <c r="AC139" s="143" t="s">
        <v>158</v>
      </c>
      <c r="AD139" s="143"/>
      <c r="AE139" s="143" t="s">
        <v>159</v>
      </c>
      <c r="AF139" s="143"/>
      <c r="AG139" s="143" t="s">
        <v>153</v>
      </c>
      <c r="AH139" s="143"/>
      <c r="AI139" s="144" t="s">
        <v>150</v>
      </c>
    </row>
    <row r="140" customFormat="false" ht="19.5" hidden="false" customHeight="false" outlineLevel="0" collapsed="false">
      <c r="A140" s="30" t="s">
        <v>160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160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160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160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161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161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161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161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162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162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162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162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163</v>
      </c>
      <c r="B144" s="151"/>
      <c r="C144" s="151"/>
      <c r="D144" s="151"/>
      <c r="E144" s="151"/>
      <c r="F144" s="151"/>
      <c r="G144" s="135" t="n">
        <f aca="false">E21</f>
        <v>16708.33</v>
      </c>
      <c r="H144" s="152" t="n">
        <f aca="false">C134+E134+G134+H137</f>
        <v>18750</v>
      </c>
      <c r="J144" s="151" t="s">
        <v>163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163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163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164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164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164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164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165</v>
      </c>
      <c r="B146" s="153"/>
      <c r="C146" s="153"/>
      <c r="D146" s="153"/>
      <c r="E146" s="153"/>
      <c r="F146" s="153"/>
      <c r="G146" s="32" t="n">
        <f aca="false">(G144+G145)*20%</f>
        <v>3341.666</v>
      </c>
      <c r="H146" s="32" t="n">
        <f aca="false">(H144+H145)*20%</f>
        <v>3750</v>
      </c>
      <c r="J146" s="153" t="s">
        <v>165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165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165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166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166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166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166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167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167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167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167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168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168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168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168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169</v>
      </c>
      <c r="B150" s="153"/>
      <c r="C150" s="153"/>
      <c r="D150" s="153"/>
      <c r="E150" s="153"/>
      <c r="F150" s="153"/>
      <c r="G150" s="156" t="n">
        <f aca="false">(G144+G145+G148+G149+G146)-G147</f>
        <v>20049.996</v>
      </c>
      <c r="H150" s="156" t="n">
        <f aca="false">(H144+H145+H148+H149+H146)-H147</f>
        <v>22500</v>
      </c>
      <c r="J150" s="153" t="s">
        <v>169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169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169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170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170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170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170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171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171</v>
      </c>
      <c r="K152" s="158"/>
      <c r="L152" s="158"/>
      <c r="M152" s="158"/>
      <c r="N152" s="158"/>
      <c r="O152" s="158"/>
      <c r="P152" s="37"/>
      <c r="Q152" s="32"/>
      <c r="S152" s="110" t="s">
        <v>171</v>
      </c>
      <c r="T152" s="110"/>
      <c r="U152" s="110"/>
      <c r="V152" s="110"/>
      <c r="W152" s="110"/>
      <c r="X152" s="110"/>
      <c r="Y152" s="37"/>
      <c r="Z152" s="32"/>
      <c r="AB152" s="110" t="s">
        <v>171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172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172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172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172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172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172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172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172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172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172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172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173</v>
      </c>
      <c r="B156" s="153"/>
      <c r="C156" s="153"/>
      <c r="D156" s="153"/>
      <c r="E156" s="153"/>
      <c r="F156" s="153"/>
      <c r="G156" s="163" t="n">
        <f aca="false">G150-((G153*1.2)+(G154*1.2)+(G155*1.2)+(G151*1.2))</f>
        <v>20049.996</v>
      </c>
      <c r="H156" s="163" t="n">
        <f aca="false">H150-((H153*1.2)+(H154*1.2)+(H155*1.2)+(H151*1.2))</f>
        <v>22500</v>
      </c>
      <c r="J156" s="164" t="s">
        <v>173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173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173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174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2041.67</v>
      </c>
      <c r="I157" s="1" t="n">
        <f aca="false">(H157-G90)/1.2</f>
        <v>-14173.605</v>
      </c>
      <c r="J157" s="153" t="s">
        <v>174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174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174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175</v>
      </c>
      <c r="B159" s="27"/>
      <c r="C159" s="27"/>
      <c r="D159" s="27"/>
      <c r="E159" s="27"/>
      <c r="F159" s="27"/>
      <c r="G159" s="27"/>
      <c r="H159" s="27"/>
      <c r="J159" s="27" t="s">
        <v>175</v>
      </c>
      <c r="K159" s="27"/>
      <c r="L159" s="27"/>
      <c r="M159" s="27"/>
      <c r="N159" s="27"/>
      <c r="O159" s="27"/>
      <c r="P159" s="27"/>
      <c r="Q159" s="27"/>
      <c r="S159" s="27" t="s">
        <v>175</v>
      </c>
      <c r="T159" s="27"/>
      <c r="U159" s="27"/>
      <c r="V159" s="27"/>
      <c r="W159" s="27"/>
      <c r="X159" s="27"/>
      <c r="Y159" s="27"/>
      <c r="Z159" s="27"/>
      <c r="AB159" s="27" t="s">
        <v>175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176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176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176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176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177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177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177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177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178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178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178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178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179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179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179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179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180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180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180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180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181</v>
      </c>
      <c r="B167" s="31"/>
      <c r="C167" s="31"/>
      <c r="D167" s="22"/>
      <c r="E167" s="31"/>
      <c r="F167" s="22"/>
      <c r="G167" s="169" t="n">
        <f aca="false">H156-G163-G166</f>
        <v>22500</v>
      </c>
      <c r="H167" s="169"/>
      <c r="J167" s="168" t="s">
        <v>181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181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181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182</v>
      </c>
      <c r="B171" s="27"/>
      <c r="C171" s="27"/>
      <c r="D171" s="27"/>
      <c r="E171" s="27"/>
      <c r="F171" s="27"/>
      <c r="G171" s="27"/>
      <c r="H171" s="27"/>
      <c r="J171" s="27" t="s">
        <v>182</v>
      </c>
      <c r="K171" s="27"/>
      <c r="L171" s="27"/>
      <c r="M171" s="27"/>
      <c r="N171" s="27"/>
      <c r="O171" s="27"/>
      <c r="P171" s="27"/>
      <c r="Q171" s="27"/>
      <c r="S171" s="27" t="s">
        <v>182</v>
      </c>
      <c r="T171" s="27"/>
      <c r="U171" s="27"/>
      <c r="V171" s="27"/>
      <c r="W171" s="27"/>
      <c r="X171" s="27"/>
      <c r="Y171" s="27"/>
      <c r="Z171" s="27"/>
      <c r="AB171" s="27" t="s">
        <v>182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183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183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183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183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184</v>
      </c>
      <c r="B175" s="173" t="s">
        <v>185</v>
      </c>
      <c r="C175" s="173"/>
      <c r="D175" s="173"/>
      <c r="E175" s="173" t="s">
        <v>186</v>
      </c>
      <c r="F175" s="22"/>
      <c r="G175" s="22" t="s">
        <v>187</v>
      </c>
      <c r="H175" s="32"/>
      <c r="J175" s="172" t="s">
        <v>184</v>
      </c>
      <c r="K175" s="174" t="s">
        <v>185</v>
      </c>
      <c r="L175" s="174"/>
      <c r="M175" s="174"/>
      <c r="N175" s="174" t="s">
        <v>186</v>
      </c>
      <c r="O175" s="22"/>
      <c r="P175" s="22"/>
      <c r="Q175" s="32"/>
      <c r="S175" s="172" t="s">
        <v>184</v>
      </c>
      <c r="T175" s="174" t="s">
        <v>185</v>
      </c>
      <c r="U175" s="174"/>
      <c r="V175" s="174"/>
      <c r="W175" s="174" t="s">
        <v>186</v>
      </c>
      <c r="X175" s="22"/>
      <c r="Y175" s="22"/>
      <c r="Z175" s="32"/>
      <c r="AB175" s="172" t="s">
        <v>184</v>
      </c>
      <c r="AC175" s="174" t="s">
        <v>185</v>
      </c>
      <c r="AD175" s="174"/>
      <c r="AE175" s="174"/>
      <c r="AF175" s="174" t="s">
        <v>186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1227.77083098699</v>
      </c>
      <c r="B176" s="176" t="n">
        <f aca="false">B103</f>
        <v>0</v>
      </c>
      <c r="C176" s="173"/>
      <c r="D176" s="173"/>
      <c r="E176" s="176" t="n">
        <f aca="false">B105</f>
        <v>1227.77083098699</v>
      </c>
      <c r="F176" s="22"/>
      <c r="G176" s="22" t="n">
        <f aca="false">ROUND(G104,2)</f>
        <v>1155.03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188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188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188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188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189</v>
      </c>
      <c r="B181" s="92" t="s">
        <v>190</v>
      </c>
      <c r="C181" s="92"/>
      <c r="D181" s="22"/>
      <c r="E181" s="92" t="s">
        <v>191</v>
      </c>
      <c r="F181" s="22"/>
      <c r="G181" s="22"/>
      <c r="H181" s="32"/>
      <c r="J181" s="30" t="s">
        <v>189</v>
      </c>
      <c r="K181" s="31" t="s">
        <v>190</v>
      </c>
      <c r="L181" s="31"/>
      <c r="M181" s="22"/>
      <c r="N181" s="31" t="s">
        <v>191</v>
      </c>
      <c r="O181" s="22"/>
      <c r="P181" s="22"/>
      <c r="Q181" s="32"/>
      <c r="S181" s="30" t="s">
        <v>189</v>
      </c>
      <c r="T181" s="31" t="s">
        <v>190</v>
      </c>
      <c r="U181" s="31"/>
      <c r="V181" s="22"/>
      <c r="W181" s="31" t="s">
        <v>191</v>
      </c>
      <c r="X181" s="22"/>
      <c r="Y181" s="22"/>
      <c r="Z181" s="32"/>
      <c r="AB181" s="30" t="s">
        <v>189</v>
      </c>
      <c r="AC181" s="31" t="s">
        <v>190</v>
      </c>
      <c r="AD181" s="31"/>
      <c r="AE181" s="22"/>
      <c r="AF181" s="31" t="s">
        <v>191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18750</v>
      </c>
      <c r="B182" s="102" t="n">
        <f aca="false">H146</f>
        <v>3750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192</v>
      </c>
      <c r="B184" s="92" t="s">
        <v>138</v>
      </c>
      <c r="C184" s="92"/>
      <c r="D184" s="22"/>
      <c r="E184" s="92" t="s">
        <v>139</v>
      </c>
      <c r="F184" s="22"/>
      <c r="G184" s="22"/>
      <c r="H184" s="32"/>
      <c r="J184" s="30" t="s">
        <v>192</v>
      </c>
      <c r="K184" s="31" t="s">
        <v>138</v>
      </c>
      <c r="L184" s="31"/>
      <c r="M184" s="22"/>
      <c r="N184" s="31" t="s">
        <v>139</v>
      </c>
      <c r="O184" s="22"/>
      <c r="P184" s="22"/>
      <c r="Q184" s="32"/>
      <c r="S184" s="30" t="s">
        <v>192</v>
      </c>
      <c r="T184" s="31" t="s">
        <v>138</v>
      </c>
      <c r="U184" s="31"/>
      <c r="V184" s="22"/>
      <c r="W184" s="31" t="s">
        <v>139</v>
      </c>
      <c r="X184" s="22"/>
      <c r="Y184" s="22"/>
      <c r="Z184" s="32"/>
      <c r="AB184" s="30" t="s">
        <v>192</v>
      </c>
      <c r="AC184" s="31" t="s">
        <v>138</v>
      </c>
      <c r="AD184" s="31"/>
      <c r="AE184" s="22"/>
      <c r="AF184" s="31" t="s">
        <v>139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22500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140</v>
      </c>
      <c r="B187" s="92" t="s">
        <v>176</v>
      </c>
      <c r="C187" s="92"/>
      <c r="D187" s="22"/>
      <c r="E187" s="92" t="s">
        <v>181</v>
      </c>
      <c r="F187" s="22"/>
      <c r="G187" s="22"/>
      <c r="H187" s="32"/>
      <c r="J187" s="30" t="s">
        <v>140</v>
      </c>
      <c r="K187" s="31" t="s">
        <v>176</v>
      </c>
      <c r="L187" s="31"/>
      <c r="M187" s="22"/>
      <c r="N187" s="31" t="s">
        <v>181</v>
      </c>
      <c r="O187" s="22"/>
      <c r="P187" s="22"/>
      <c r="Q187" s="32"/>
      <c r="S187" s="30" t="s">
        <v>140</v>
      </c>
      <c r="T187" s="31" t="s">
        <v>176</v>
      </c>
      <c r="U187" s="31"/>
      <c r="V187" s="22"/>
      <c r="W187" s="31" t="s">
        <v>181</v>
      </c>
      <c r="X187" s="22"/>
      <c r="Y187" s="22"/>
      <c r="Z187" s="32"/>
      <c r="AB187" s="30" t="s">
        <v>140</v>
      </c>
      <c r="AC187" s="31" t="s">
        <v>176</v>
      </c>
      <c r="AD187" s="31"/>
      <c r="AE187" s="22"/>
      <c r="AF187" s="31" t="s">
        <v>181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22500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193</v>
      </c>
      <c r="B190" s="92" t="s">
        <v>53</v>
      </c>
      <c r="C190" s="92"/>
      <c r="D190" s="22"/>
      <c r="E190" s="92" t="s">
        <v>194</v>
      </c>
      <c r="F190" s="22"/>
      <c r="G190" s="22"/>
      <c r="H190" s="32"/>
      <c r="J190" s="30" t="s">
        <v>193</v>
      </c>
      <c r="K190" s="31" t="s">
        <v>53</v>
      </c>
      <c r="L190" s="31"/>
      <c r="M190" s="22"/>
      <c r="N190" s="31" t="s">
        <v>194</v>
      </c>
      <c r="O190" s="22"/>
      <c r="P190" s="22"/>
      <c r="Q190" s="32"/>
      <c r="S190" s="30" t="s">
        <v>193</v>
      </c>
      <c r="T190" s="31" t="s">
        <v>53</v>
      </c>
      <c r="U190" s="31"/>
      <c r="V190" s="22"/>
      <c r="W190" s="31" t="s">
        <v>194</v>
      </c>
      <c r="X190" s="22"/>
      <c r="Y190" s="22"/>
      <c r="Z190" s="32"/>
      <c r="AB190" s="30" t="s">
        <v>193</v>
      </c>
      <c r="AC190" s="31" t="s">
        <v>53</v>
      </c>
      <c r="AD190" s="31"/>
      <c r="AE190" s="22"/>
      <c r="AF190" s="31" t="s">
        <v>194</v>
      </c>
      <c r="AG190" s="22"/>
      <c r="AH190" s="22"/>
      <c r="AI190" s="32"/>
    </row>
    <row r="191" customFormat="false" ht="18.75" hidden="false" customHeight="false" outlineLevel="0" collapsed="false">
      <c r="A191" s="110" t="n">
        <f aca="false">(A176*B68)+E194-E188-A194</f>
        <v>-1794.52085914315</v>
      </c>
      <c r="B191" s="102" t="str">
        <f aca="false">B123</f>
        <v>199.99</v>
      </c>
      <c r="C191" s="102"/>
      <c r="D191" s="22"/>
      <c r="E191" s="102" t="n">
        <f aca="false">E188+A191+(B191*1.2)+A194</f>
        <v>20955.4671408569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195</v>
      </c>
      <c r="B193" s="92" t="s">
        <v>196</v>
      </c>
      <c r="C193" s="92"/>
      <c r="D193" s="22"/>
      <c r="E193" s="92" t="s">
        <v>197</v>
      </c>
      <c r="F193" s="22"/>
      <c r="G193" s="22"/>
      <c r="H193" s="32"/>
      <c r="J193" s="30" t="s">
        <v>195</v>
      </c>
      <c r="K193" s="31" t="s">
        <v>196</v>
      </c>
      <c r="L193" s="31"/>
      <c r="M193" s="22"/>
      <c r="N193" s="31" t="s">
        <v>197</v>
      </c>
      <c r="O193" s="22"/>
      <c r="P193" s="22"/>
      <c r="Q193" s="32"/>
      <c r="S193" s="30" t="s">
        <v>195</v>
      </c>
      <c r="T193" s="31" t="s">
        <v>196</v>
      </c>
      <c r="U193" s="31"/>
      <c r="V193" s="22"/>
      <c r="W193" s="31" t="s">
        <v>197</v>
      </c>
      <c r="X193" s="22"/>
      <c r="Y193" s="22"/>
      <c r="Z193" s="32"/>
      <c r="AB193" s="30" t="s">
        <v>195</v>
      </c>
      <c r="AC193" s="31" t="s">
        <v>196</v>
      </c>
      <c r="AD193" s="31"/>
      <c r="AE193" s="22"/>
      <c r="AF193" s="31" t="s">
        <v>197</v>
      </c>
      <c r="AG193" s="22"/>
      <c r="AH193" s="22"/>
      <c r="AI193" s="32"/>
    </row>
    <row r="194" customFormat="false" ht="18.7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E179+A194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198</v>
      </c>
      <c r="B196" s="92" t="s">
        <v>199</v>
      </c>
      <c r="C196" s="92"/>
      <c r="D196" s="92"/>
      <c r="E196" s="165" t="s">
        <v>200</v>
      </c>
      <c r="F196" s="22"/>
      <c r="G196" s="22"/>
      <c r="H196" s="32"/>
      <c r="J196" s="30" t="s">
        <v>198</v>
      </c>
      <c r="K196" s="31" t="s">
        <v>199</v>
      </c>
      <c r="L196" s="31"/>
      <c r="M196" s="31"/>
      <c r="N196" s="38" t="s">
        <v>200</v>
      </c>
      <c r="O196" s="22"/>
      <c r="P196" s="22"/>
      <c r="Q196" s="32"/>
      <c r="S196" s="30" t="s">
        <v>198</v>
      </c>
      <c r="T196" s="31" t="s">
        <v>199</v>
      </c>
      <c r="U196" s="31"/>
      <c r="V196" s="31"/>
      <c r="W196" s="38" t="s">
        <v>200</v>
      </c>
      <c r="X196" s="31"/>
      <c r="Y196" s="31"/>
      <c r="Z196" s="32"/>
      <c r="AB196" s="30" t="s">
        <v>198</v>
      </c>
      <c r="AC196" s="31" t="s">
        <v>199</v>
      </c>
      <c r="AD196" s="31"/>
      <c r="AE196" s="31"/>
      <c r="AF196" s="38" t="s">
        <v>200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8.1052</v>
      </c>
      <c r="B197" s="102" t="n">
        <f aca="false">(G167*B76)/1.2</f>
        <v>93.75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201</v>
      </c>
      <c r="B199" s="165" t="s">
        <v>202</v>
      </c>
      <c r="C199" s="92"/>
      <c r="D199" s="92"/>
      <c r="E199" s="165" t="s">
        <v>203</v>
      </c>
      <c r="F199" s="22"/>
      <c r="G199" s="22"/>
      <c r="H199" s="32"/>
      <c r="J199" s="59" t="s">
        <v>201</v>
      </c>
      <c r="K199" s="38" t="s">
        <v>202</v>
      </c>
      <c r="L199" s="31"/>
      <c r="M199" s="31"/>
      <c r="N199" s="38" t="s">
        <v>203</v>
      </c>
      <c r="O199" s="22"/>
      <c r="P199" s="22"/>
      <c r="Q199" s="32"/>
      <c r="S199" s="59" t="s">
        <v>201</v>
      </c>
      <c r="T199" s="38" t="s">
        <v>202</v>
      </c>
      <c r="U199" s="31"/>
      <c r="V199" s="31"/>
      <c r="W199" s="38" t="s">
        <v>203</v>
      </c>
      <c r="X199" s="31"/>
      <c r="Y199" s="31"/>
      <c r="Z199" s="32"/>
      <c r="AB199" s="59" t="s">
        <v>201</v>
      </c>
      <c r="AC199" s="38" t="s">
        <v>202</v>
      </c>
      <c r="AD199" s="31"/>
      <c r="AE199" s="31"/>
      <c r="AF199" s="38" t="s">
        <v>203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193.74</v>
      </c>
      <c r="C200" s="92"/>
      <c r="D200" s="92"/>
      <c r="E200" s="102" t="n">
        <f aca="false">H157</f>
        <v>2041.67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204</v>
      </c>
      <c r="B202" s="92"/>
      <c r="C202" s="92"/>
      <c r="D202" s="66"/>
      <c r="E202" s="66"/>
      <c r="F202" s="66"/>
      <c r="G202" s="66"/>
      <c r="H202" s="67"/>
      <c r="J202" s="65" t="s">
        <v>204</v>
      </c>
      <c r="K202" s="31"/>
      <c r="L202" s="31"/>
      <c r="M202" s="66"/>
      <c r="N202" s="66"/>
      <c r="O202" s="66"/>
      <c r="P202" s="66"/>
      <c r="Q202" s="67"/>
      <c r="S202" s="65" t="s">
        <v>204</v>
      </c>
      <c r="T202" s="31"/>
      <c r="U202" s="31"/>
      <c r="V202" s="66"/>
      <c r="W202" s="66"/>
      <c r="X202" s="66"/>
      <c r="Y202" s="66"/>
      <c r="Z202" s="67"/>
      <c r="AB202" s="65" t="s">
        <v>204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1227.77083098699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205</v>
      </c>
      <c r="B209" s="92" t="s">
        <v>206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8.75" hidden="false" customHeight="false" outlineLevel="0" collapsed="false">
      <c r="A210" s="35" t="n">
        <f aca="false">(G176*B68)+E194-E188-A194</f>
        <v>-2594.67</v>
      </c>
      <c r="B210" s="185" t="n">
        <f aca="false">E188+A210+(B191*1.2)+A194</f>
        <v>20155.318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182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127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207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184</v>
      </c>
      <c r="B220" s="191" t="s">
        <v>185</v>
      </c>
      <c r="C220" s="191"/>
      <c r="D220" s="191"/>
      <c r="E220" s="191" t="s">
        <v>186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1227.77083098699</v>
      </c>
      <c r="B221" s="176" t="n">
        <f aca="false">B176</f>
        <v>0</v>
      </c>
      <c r="C221" s="173"/>
      <c r="D221" s="173"/>
      <c r="E221" s="176" t="n">
        <f aca="false">E176</f>
        <v>1227.77083098699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189</v>
      </c>
      <c r="B223" s="92" t="s">
        <v>190</v>
      </c>
      <c r="C223" s="92"/>
      <c r="D223" s="112"/>
      <c r="E223" s="92" t="s">
        <v>191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18750</v>
      </c>
      <c r="B224" s="102" t="n">
        <f aca="false">B182</f>
        <v>3750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192</v>
      </c>
      <c r="B226" s="92" t="s">
        <v>138</v>
      </c>
      <c r="C226" s="92"/>
      <c r="D226" s="112"/>
      <c r="E226" s="92" t="s">
        <v>139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22500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140</v>
      </c>
      <c r="B229" s="92" t="s">
        <v>176</v>
      </c>
      <c r="C229" s="92"/>
      <c r="D229" s="112"/>
      <c r="E229" s="92" t="s">
        <v>181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22500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193</v>
      </c>
      <c r="B232" s="92" t="s">
        <v>53</v>
      </c>
      <c r="C232" s="92"/>
      <c r="D232" s="112"/>
      <c r="E232" s="92" t="s">
        <v>194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-1794.52085914315</v>
      </c>
      <c r="B233" s="102" t="str">
        <f aca="false">B191</f>
        <v>199.99</v>
      </c>
      <c r="C233" s="102"/>
      <c r="D233" s="112"/>
      <c r="E233" s="102" t="n">
        <f aca="false">E191</f>
        <v>20955.4671408569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195</v>
      </c>
      <c r="B235" s="92" t="s">
        <v>196</v>
      </c>
      <c r="C235" s="92"/>
      <c r="D235" s="112"/>
      <c r="E235" s="92" t="s">
        <v>208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184</v>
      </c>
      <c r="B238" s="92" t="s">
        <v>185</v>
      </c>
      <c r="C238" s="92"/>
      <c r="D238" s="92"/>
      <c r="E238" s="92" t="s">
        <v>186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1227.77083098699</v>
      </c>
      <c r="B239" s="102" t="n">
        <f aca="false">B176</f>
        <v>0</v>
      </c>
      <c r="C239" s="185"/>
      <c r="D239" s="185"/>
      <c r="E239" s="102" t="n">
        <f aca="false">E176</f>
        <v>1227.77083098699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209</v>
      </c>
      <c r="B241" s="92" t="s">
        <v>210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24.3156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211</v>
      </c>
      <c r="B244" s="165" t="s">
        <v>73</v>
      </c>
      <c r="C244" s="92"/>
      <c r="D244" s="92"/>
      <c r="E244" s="165" t="s">
        <v>132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8.1052</v>
      </c>
      <c r="B245" s="102" t="n">
        <f aca="false">E242+A245</f>
        <v>32.4208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212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213</v>
      </c>
      <c r="B248" s="92" t="s">
        <v>199</v>
      </c>
      <c r="C248" s="92"/>
      <c r="D248" s="92"/>
      <c r="E248" s="165" t="s">
        <v>200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2041.67</v>
      </c>
      <c r="B249" s="102" t="n">
        <f aca="false">B197</f>
        <v>93.75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201</v>
      </c>
      <c r="B251" s="165" t="s">
        <v>202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2235.41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214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215</v>
      </c>
      <c r="B262" s="195" t="n">
        <f aca="false">B72</f>
        <v>0.065</v>
      </c>
      <c r="C262" s="196"/>
      <c r="D262" s="197" t="s">
        <v>216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217</v>
      </c>
      <c r="B263" s="199" t="n">
        <f aca="false">(E191-B191)-(B210-B191-A194)</f>
        <v>810.149140856851</v>
      </c>
      <c r="C263" s="196"/>
      <c r="D263" s="197" t="s">
        <v>218</v>
      </c>
      <c r="E263" s="197"/>
      <c r="F263" s="199" t="n">
        <f aca="false">F270+F276+F278+B279+B280</f>
        <v>112.5</v>
      </c>
      <c r="G263" s="22"/>
      <c r="H263" s="32"/>
    </row>
    <row r="264" customFormat="false" ht="18.75" hidden="false" customHeight="false" outlineLevel="0" collapsed="false">
      <c r="A264" s="190" t="s">
        <v>219</v>
      </c>
      <c r="B264" s="199" t="n">
        <f aca="false">F271+B272</f>
        <v>99.99</v>
      </c>
      <c r="C264" s="196"/>
      <c r="D264" s="197" t="s">
        <v>220</v>
      </c>
      <c r="E264" s="197"/>
      <c r="F264" s="199" t="n">
        <f aca="false">(B263-F263)+B264</f>
        <v>797.639140856851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215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221</v>
      </c>
      <c r="B268" s="204" t="n">
        <f aca="false">B73</f>
        <v>0.05</v>
      </c>
      <c r="C268" s="31"/>
      <c r="D268" s="165" t="s">
        <v>222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216</v>
      </c>
      <c r="B269" s="208" t="n">
        <f aca="false">B92</f>
        <v>0.1255</v>
      </c>
      <c r="C269" s="42"/>
      <c r="D269" s="165" t="s">
        <v>217</v>
      </c>
      <c r="E269" s="165"/>
      <c r="F269" s="145" t="n">
        <f aca="false">(B98*B68)-(C98*B68)</f>
        <v>13505.4791408569</v>
      </c>
      <c r="G269" s="22"/>
      <c r="H269" s="32"/>
    </row>
    <row r="270" customFormat="false" ht="19.5" hidden="false" customHeight="false" outlineLevel="0" collapsed="false">
      <c r="A270" s="30" t="s">
        <v>223</v>
      </c>
      <c r="B270" s="208" t="n">
        <f aca="false">B76</f>
        <v>0.005</v>
      </c>
      <c r="C270" s="31"/>
      <c r="D270" s="165" t="s">
        <v>223</v>
      </c>
      <c r="E270" s="165"/>
      <c r="F270" s="150" t="n">
        <f aca="false">B77</f>
        <v>112.5</v>
      </c>
      <c r="G270" s="22"/>
      <c r="H270" s="32"/>
    </row>
    <row r="271" customFormat="false" ht="19.5" hidden="false" customHeight="false" outlineLevel="0" collapsed="false">
      <c r="A271" s="30" t="s">
        <v>224</v>
      </c>
      <c r="B271" s="204" t="n">
        <f aca="false">A117</f>
        <v>0.2</v>
      </c>
      <c r="C271" s="31"/>
      <c r="D271" s="165" t="s">
        <v>224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225</v>
      </c>
      <c r="B272" s="145" t="n">
        <f aca="false">A252</f>
        <v>99.99</v>
      </c>
      <c r="C272" s="31"/>
      <c r="D272" s="38" t="s">
        <v>220</v>
      </c>
      <c r="E272" s="38"/>
      <c r="F272" s="145" t="n">
        <f aca="false">(B263-F263)+B264</f>
        <v>797.639140856851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226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227</v>
      </c>
      <c r="B275" s="150" t="n">
        <v>0</v>
      </c>
      <c r="C275" s="31"/>
      <c r="D275" s="209" t="s">
        <v>228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229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230</v>
      </c>
      <c r="B277" s="210" t="s">
        <v>4</v>
      </c>
      <c r="C277" s="31"/>
      <c r="D277" s="165" t="s">
        <v>231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232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233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234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H139" activeCellId="0" sqref="H139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16806.5358348192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220.3124625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14844.1760889046</v>
      </c>
      <c r="C88" s="92" t="n">
        <f aca="false">B81-B86</f>
        <v>14844.1760889046</v>
      </c>
      <c r="D88" s="92"/>
      <c r="E88" s="112"/>
      <c r="F88" s="30" t="s">
        <v>113</v>
      </c>
      <c r="G88" s="32" t="n">
        <f aca="false">G81-G86</f>
        <v>14075.6270487143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540.840608474464</v>
      </c>
      <c r="C89" s="92" t="n">
        <f aca="false">(B88/B87)</f>
        <v>540.840608474464</v>
      </c>
      <c r="D89" s="92"/>
      <c r="E89" s="112"/>
      <c r="F89" s="30" t="s">
        <v>114</v>
      </c>
      <c r="G89" s="32" t="n">
        <f aca="false">(G88/G87)</f>
        <v>480.272828124815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17306.8994711829</v>
      </c>
      <c r="C90" s="92"/>
      <c r="D90" s="92"/>
      <c r="E90" s="112"/>
      <c r="F90" s="30" t="s">
        <v>115</v>
      </c>
      <c r="G90" s="32" t="n">
        <f aca="false">((G89*(G85))+G77)</f>
        <v>15368.7304999941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17306.8994711829</v>
      </c>
      <c r="C92" s="92"/>
      <c r="D92" s="92"/>
      <c r="E92" s="112"/>
      <c r="F92" s="55" t="s">
        <v>117</v>
      </c>
      <c r="G92" s="64" t="n">
        <f aca="false">(G90+G91)</f>
        <v>15368.7304999941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540.840608474464</v>
      </c>
      <c r="C95" s="92"/>
      <c r="D95" s="92"/>
      <c r="E95" s="112"/>
      <c r="F95" s="94" t="s">
        <v>119</v>
      </c>
      <c r="G95" s="95" t="n">
        <f aca="false">G92/(G85)</f>
        <v>480.272828124815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540.840608474464</v>
      </c>
      <c r="C96" s="92"/>
      <c r="D96" s="92"/>
      <c r="E96" s="112"/>
      <c r="F96" s="96" t="s">
        <v>120</v>
      </c>
      <c r="G96" s="97" t="n">
        <f aca="false">G94+G95</f>
        <v>480.272828124815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121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143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175" t="n">
        <f aca="false">B95</f>
        <v>540.840608474464</v>
      </c>
      <c r="B167" s="176" t="n">
        <f aca="false">B94</f>
        <v>0</v>
      </c>
      <c r="C167" s="173"/>
      <c r="D167" s="173"/>
      <c r="E167" s="176" t="n">
        <f aca="false">B96</f>
        <v>540.840608474464</v>
      </c>
      <c r="F167" s="22"/>
      <c r="G167" s="22" t="n">
        <f aca="false">ROUND(G95,2)</f>
        <v>480.27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1006.90347118286</v>
      </c>
      <c r="B182" s="102" t="str">
        <f aca="false">B114</f>
        <v>239.99</v>
      </c>
      <c r="C182" s="102"/>
      <c r="D182" s="22"/>
      <c r="E182" s="102" t="n">
        <f aca="false">E179+A182+B182+A185</f>
        <v>24756.8894711829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183.59371875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283.585385416667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540.840608474464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-931.356000000003</v>
      </c>
      <c r="B201" s="185" t="n">
        <f aca="false">E179+A201+B182+A185</f>
        <v>22818.63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540.840608474464</v>
      </c>
      <c r="B212" s="176" t="n">
        <f aca="false">B167</f>
        <v>0</v>
      </c>
      <c r="C212" s="173"/>
      <c r="D212" s="173"/>
      <c r="E212" s="176" t="n">
        <f aca="false">E167</f>
        <v>540.840608474464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1006.90347118286</v>
      </c>
      <c r="B224" s="102" t="str">
        <f aca="false">B182</f>
        <v>239.99</v>
      </c>
      <c r="C224" s="102"/>
      <c r="D224" s="112"/>
      <c r="E224" s="102" t="n">
        <f aca="false">E182</f>
        <v>24756.8894711829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540.840608474464</v>
      </c>
      <c r="B230" s="102" t="n">
        <f aca="false">B167</f>
        <v>0</v>
      </c>
      <c r="C230" s="185"/>
      <c r="D230" s="185"/>
      <c r="E230" s="102" t="n">
        <f aca="false">E167</f>
        <v>540.840608474464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183.59371875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2283.58538541667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1948.25947118286</v>
      </c>
      <c r="C254" s="196"/>
      <c r="D254" s="197" t="s">
        <v>218</v>
      </c>
      <c r="E254" s="197"/>
      <c r="F254" s="199" t="n">
        <f aca="false">F261+F267+F269+B270+B271</f>
        <v>220.3124625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99.9916666666667</v>
      </c>
      <c r="C255" s="196"/>
      <c r="D255" s="197" t="s">
        <v>220</v>
      </c>
      <c r="E255" s="197"/>
      <c r="F255" s="199" t="n">
        <f aca="false">(B254-F254)+B255</f>
        <v>1827.93867534953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0.115</v>
      </c>
      <c r="C260" s="42"/>
      <c r="D260" s="165" t="s">
        <v>217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0.009375</v>
      </c>
      <c r="C261" s="31"/>
      <c r="D261" s="165" t="s">
        <v>223</v>
      </c>
      <c r="E261" s="165"/>
      <c r="F261" s="150" t="n">
        <f aca="false">B68</f>
        <v>220.3124625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1827.93867534953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139" activeCellId="0" sqref="H139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14425.4239070671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0.1475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0.0122916666666667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6218.19813516518</v>
      </c>
      <c r="C86" s="92" t="n">
        <f aca="false">(B82/((1+B84)^(B85+1)))</f>
        <v>6218.19813516518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10.2301677524304</v>
      </c>
      <c r="C87" s="92" t="n">
        <f aca="false">((1-(1/((1+B84)^B85)))/B84)</f>
        <v>10.2301677524304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13881.8018648348</v>
      </c>
      <c r="C88" s="92" t="n">
        <f aca="false">B81-B86</f>
        <v>13881.8018648348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1356.94762791519</v>
      </c>
      <c r="C89" s="92" t="n">
        <f aca="false">(B88/B87)</f>
        <v>1356.94762791519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14926.4239070671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14926.4239070671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1356.94762791519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1356.94762791519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n">
        <v>0</v>
      </c>
      <c r="C108" s="106"/>
      <c r="D108" s="106" t="n">
        <v>0</v>
      </c>
      <c r="E108" s="107" t="n">
        <f aca="false">B83</f>
        <v>0.1475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175" t="n">
        <f aca="false">B95</f>
        <v>1356.94762791519</v>
      </c>
      <c r="B167" s="176" t="str">
        <f aca="false">B94</f>
        <v>0</v>
      </c>
      <c r="C167" s="173"/>
      <c r="D167" s="173"/>
      <c r="E167" s="176" t="n">
        <f aca="false">B96</f>
        <v>1356.94762791519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-1373.57209293293</v>
      </c>
      <c r="B182" s="102" t="str">
        <f aca="false">B114</f>
        <v>199.99</v>
      </c>
      <c r="C182" s="102"/>
      <c r="D182" s="22"/>
      <c r="E182" s="102" t="n">
        <f aca="false">E179+A182+(B182*1.2)+A185</f>
        <v>22376.4119070671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1356.94762791519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1356.94762791519</v>
      </c>
      <c r="B212" s="176" t="str">
        <f aca="false">B167</f>
        <v>0</v>
      </c>
      <c r="C212" s="173"/>
      <c r="D212" s="173"/>
      <c r="E212" s="176" t="n">
        <f aca="false">E167</f>
        <v>1356.94762791519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-1373.57209293293</v>
      </c>
      <c r="B224" s="102" t="str">
        <f aca="false">B182</f>
        <v>199.99</v>
      </c>
      <c r="C224" s="102"/>
      <c r="D224" s="112"/>
      <c r="E224" s="102" t="n">
        <f aca="false">E182</f>
        <v>22376.4119070671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1356.94762791519</v>
      </c>
      <c r="B230" s="102" t="str">
        <f aca="false">B167</f>
        <v>0</v>
      </c>
      <c r="C230" s="185"/>
      <c r="D230" s="185"/>
      <c r="E230" s="102" t="n">
        <f aca="false">E167</f>
        <v>1356.94762791519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0.1475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9" t="n">
        <f aca="false">(E182-B182)-(B201-B182-A185)</f>
        <v>1146.60390706707</v>
      </c>
      <c r="C254" s="196"/>
      <c r="D254" s="197" t="s">
        <v>218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</v>
      </c>
      <c r="C255" s="196"/>
      <c r="D255" s="197" t="s">
        <v>220</v>
      </c>
      <c r="E255" s="197"/>
      <c r="F255" s="199" t="n">
        <f aca="false">(B254-F254)+B255</f>
        <v>1129.09392706707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0.072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0.1475</v>
      </c>
      <c r="C260" s="42"/>
      <c r="D260" s="165" t="s">
        <v>217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0.005</v>
      </c>
      <c r="C261" s="31"/>
      <c r="D261" s="165" t="s">
        <v>223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1129.09392706707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H139" activeCellId="0" sqref="H139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272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143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239.99</v>
      </c>
      <c r="C182" s="102"/>
      <c r="D182" s="22"/>
      <c r="E182" s="102" t="n">
        <f aca="false">E179+A182+B182+A185</f>
        <v>22072.5031366378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197.908316666667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-2510.176</v>
      </c>
      <c r="B201" s="185" t="n">
        <f aca="false">E179+A201+B182+A185</f>
        <v>21239.81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239.99</v>
      </c>
      <c r="C224" s="102"/>
      <c r="D224" s="112"/>
      <c r="E224" s="102" t="n">
        <f aca="false">E182</f>
        <v>22072.5031366378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9.72624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2197.90831666667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842.693136637805</v>
      </c>
      <c r="C254" s="196"/>
      <c r="D254" s="197" t="s">
        <v>218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99.9916666666667</v>
      </c>
      <c r="C255" s="196"/>
      <c r="D255" s="197" t="s">
        <v>220</v>
      </c>
      <c r="E255" s="197"/>
      <c r="F255" s="199" t="n">
        <f aca="false">(B254-F254)+B255</f>
        <v>825.184823304472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0.1255</v>
      </c>
      <c r="C260" s="42"/>
      <c r="D260" s="165" t="s">
        <v>217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0.005</v>
      </c>
      <c r="C261" s="31"/>
      <c r="D261" s="165" t="s">
        <v>223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825.184823304472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" colorId="64" zoomScale="85" zoomScaleNormal="85" zoomScalePageLayoutView="100" workbookViewId="0">
      <selection pane="topLeft" activeCell="H139" activeCellId="0" sqref="H139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121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199.99</v>
      </c>
      <c r="C182" s="102"/>
      <c r="D182" s="22"/>
      <c r="E182" s="102" t="n">
        <f aca="false">E179+A182+(B182*1.2)+A185</f>
        <v>22072.5011366378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199.99</v>
      </c>
      <c r="C224" s="102"/>
      <c r="D224" s="112"/>
      <c r="E224" s="102" t="n">
        <f aca="false">E182</f>
        <v>22072.5011366378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9" t="n">
        <f aca="false">(E182-B182)-(B201-B182-A185)</f>
        <v>842.693136637805</v>
      </c>
      <c r="C254" s="196"/>
      <c r="D254" s="197" t="s">
        <v>218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</v>
      </c>
      <c r="C255" s="196"/>
      <c r="D255" s="197" t="s">
        <v>220</v>
      </c>
      <c r="E255" s="197"/>
      <c r="F255" s="199" t="n">
        <f aca="false">(B254-F254)+B255</f>
        <v>825.183156637805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0.1255</v>
      </c>
      <c r="C260" s="42"/>
      <c r="D260" s="165" t="s">
        <v>217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0.005</v>
      </c>
      <c r="C261" s="31"/>
      <c r="D261" s="165" t="s">
        <v>223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825.183156637805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141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274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275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214" t="n">
        <v>10000</v>
      </c>
      <c r="D64" s="290" t="n">
        <f aca="false">B64</f>
        <v>1476.99972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0</v>
      </c>
      <c r="C74" s="214"/>
      <c r="D74" s="214"/>
      <c r="E74" s="215"/>
      <c r="F74" s="62"/>
      <c r="G74" s="291" t="s">
        <v>279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280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282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283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2803.66638666667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233.638865555556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10578.799664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74.6789004114563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10653.4785644115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78</v>
      </c>
      <c r="C89" s="214"/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887.789880367621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965.789880367621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284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1000</v>
      </c>
      <c r="E99" s="106"/>
      <c r="F99" s="62"/>
      <c r="G99" s="219" t="s">
        <v>286</v>
      </c>
      <c r="H99" s="311" t="s">
        <v>130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289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130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267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268</v>
      </c>
      <c r="AA107" s="62"/>
    </row>
    <row r="108" customFormat="false" ht="18.75" hidden="false" customHeight="true" outlineLevel="0" collapsed="false">
      <c r="A108" s="216" t="s">
        <v>290</v>
      </c>
      <c r="B108" s="216" t="n">
        <v>0</v>
      </c>
      <c r="C108" s="216"/>
      <c r="D108" s="216" t="n">
        <v>0</v>
      </c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269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270</v>
      </c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</v>
      </c>
      <c r="E112" s="106" t="n">
        <v>6000</v>
      </c>
      <c r="F112" s="62"/>
      <c r="G112" s="213" t="s">
        <v>176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177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(E118+E117)-D115</f>
        <v>7239.988</v>
      </c>
      <c r="F119" s="62"/>
      <c r="G119" s="314" t="s">
        <v>292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887.789880367621</v>
      </c>
      <c r="B128" s="320" t="n">
        <f aca="false">IF(A105="YES",B89,0)</f>
        <v>78</v>
      </c>
      <c r="C128" s="325"/>
      <c r="D128" s="320" t="n">
        <f aca="false">B91</f>
        <v>965.789880367621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296</v>
      </c>
      <c r="H129" s="327" t="s">
        <v>297</v>
      </c>
      <c r="I129" s="327"/>
      <c r="J129" s="327" t="s">
        <v>298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887.789880367621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965.789880367621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887.789880367621</v>
      </c>
      <c r="B137" s="37" t="n">
        <f aca="false">IF(A105="YES",B89,0)</f>
        <v>78</v>
      </c>
      <c r="C137" s="316"/>
      <c r="D137" s="37" t="n">
        <f aca="false">B91</f>
        <v>965.789880367621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728.98996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965.789880367621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127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294</v>
      </c>
      <c r="C170" s="354"/>
      <c r="D170" s="353" t="s">
        <v>295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887.789880367621</v>
      </c>
      <c r="B171" s="354" t="n">
        <f aca="false">IF(A105="YES",B89,0)</f>
        <v>78</v>
      </c>
      <c r="C171" s="357"/>
      <c r="D171" s="354" t="n">
        <f aca="false">B91</f>
        <v>965.789880367621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9"/>
      <c r="D173" s="358" t="s">
        <v>300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887.789880367621</v>
      </c>
      <c r="C174" s="352"/>
      <c r="D174" s="102" t="n">
        <f aca="false">IF(A105="YES",B89*B57,0)</f>
        <v>78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304</v>
      </c>
      <c r="B176" s="165" t="s">
        <v>305</v>
      </c>
      <c r="C176" s="359"/>
      <c r="D176" s="240" t="s">
        <v>208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965.789880367621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294</v>
      </c>
      <c r="C179" s="352"/>
      <c r="D179" s="352" t="s">
        <v>295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887.789880367621</v>
      </c>
      <c r="B180" s="102" t="n">
        <f aca="false">IF(A105="YES",B89,0)</f>
        <v>78</v>
      </c>
      <c r="C180" s="352"/>
      <c r="D180" s="102" t="n">
        <f aca="false">B91</f>
        <v>965.789880367621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102"/>
      <c r="D185" s="363" t="s">
        <v>282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210.99996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728.98996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214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215</v>
      </c>
      <c r="B203" s="368" t="n">
        <f aca="false">B209</f>
        <v>0.065</v>
      </c>
      <c r="C203" s="320" t="s">
        <v>217</v>
      </c>
      <c r="D203" s="369" t="n">
        <f aca="false">D64</f>
        <v>1476.99972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218</v>
      </c>
      <c r="B205" s="320" t="n">
        <f aca="false">B213</f>
        <v>210.99996</v>
      </c>
      <c r="C205" s="319" t="s">
        <v>219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220</v>
      </c>
      <c r="B207" s="320" t="n">
        <f aca="false">E217</f>
        <v>1785.98976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215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217</v>
      </c>
      <c r="B211" s="103" t="n">
        <f aca="false">D64</f>
        <v>1476.99972</v>
      </c>
      <c r="C211" s="373" t="s">
        <v>223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223</v>
      </c>
      <c r="B213" s="103" t="n">
        <f aca="false">B67</f>
        <v>210.99996</v>
      </c>
      <c r="C213" s="335" t="s">
        <v>326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326</v>
      </c>
      <c r="B215" s="240" t="n">
        <f aca="false">B191*E213*100</f>
        <v>40</v>
      </c>
      <c r="C215" s="335" t="s">
        <v>225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327</v>
      </c>
      <c r="B217" s="240" t="n">
        <f aca="false">B78-(B78*(E213*100))</f>
        <v>200</v>
      </c>
      <c r="C217" s="335" t="s">
        <v>220</v>
      </c>
      <c r="D217" s="316"/>
      <c r="E217" s="32" t="n">
        <f aca="false">(B211-B205+D205)</f>
        <v>1785.98976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328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329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227</v>
      </c>
      <c r="B223" s="103" t="n">
        <f aca="false">B71</f>
        <v>200</v>
      </c>
      <c r="C223" s="335" t="s">
        <v>228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229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230</v>
      </c>
      <c r="B225" s="378" t="n">
        <f aca="false">B68</f>
        <v>0.0075</v>
      </c>
      <c r="C225" s="335" t="s">
        <v>231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232</v>
      </c>
      <c r="D226" s="342"/>
      <c r="E226" s="32" t="n">
        <f aca="false">B86</f>
        <v>74.6789004114563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233</v>
      </c>
      <c r="B227" s="103" t="n">
        <f aca="false">B79</f>
        <v>200</v>
      </c>
      <c r="C227" s="379" t="s">
        <v>330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234</v>
      </c>
      <c r="B229" s="103" t="n">
        <f aca="false">B80</f>
        <v>200</v>
      </c>
      <c r="C229" s="383" t="s">
        <v>331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18500</v>
      </c>
      <c r="C9" s="9" t="n">
        <f aca="false">B9*0.2</f>
        <v>3700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18500</v>
      </c>
      <c r="C15" s="9" t="n">
        <f aca="false">SUM(C9:C13)</f>
        <v>3700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141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274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275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276</v>
      </c>
      <c r="B60" s="214" t="n">
        <f aca="false">E19</f>
        <v>22200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1554</v>
      </c>
      <c r="C64" s="214" t="n">
        <v>10000</v>
      </c>
      <c r="D64" s="290" t="n">
        <f aca="false">B64</f>
        <v>1554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222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0</v>
      </c>
      <c r="C74" s="214"/>
      <c r="D74" s="214"/>
      <c r="E74" s="215"/>
      <c r="F74" s="62"/>
      <c r="G74" s="291" t="s">
        <v>279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/>
      <c r="D75" s="214"/>
      <c r="E75" s="215"/>
      <c r="F75" s="62"/>
      <c r="G75" s="294" t="s">
        <v>280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282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283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2880.66666666667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240.055555555556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8892.66666666667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75.3311819281969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8967.99784859486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747.333154049572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812.333154049572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1000</v>
      </c>
      <c r="E99" s="106"/>
      <c r="F99" s="62"/>
      <c r="G99" s="219" t="s">
        <v>286</v>
      </c>
      <c r="H99" s="311" t="s">
        <v>130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289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130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267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268</v>
      </c>
      <c r="AA107" s="62"/>
    </row>
    <row r="108" customFormat="false" ht="18.75" hidden="false" customHeight="true" outlineLevel="0" collapsed="false">
      <c r="A108" s="216" t="s">
        <v>290</v>
      </c>
      <c r="B108" s="216" t="n">
        <v>0</v>
      </c>
      <c r="C108" s="216"/>
      <c r="D108" s="216" t="n">
        <v>0</v>
      </c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269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270</v>
      </c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</v>
      </c>
      <c r="E112" s="106" t="n">
        <v>6000</v>
      </c>
      <c r="F112" s="62"/>
      <c r="G112" s="213" t="s">
        <v>176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177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((E118*1.2)+E117)-D115</f>
        <v>7239.988</v>
      </c>
      <c r="F119" s="62"/>
      <c r="G119" s="314" t="s">
        <v>292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747.333154049572</v>
      </c>
      <c r="B128" s="320" t="n">
        <f aca="false">IF(A105="YES",B89,0)</f>
        <v>65</v>
      </c>
      <c r="C128" s="325"/>
      <c r="D128" s="320" t="n">
        <f aca="false">B91</f>
        <v>812.333154049572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296</v>
      </c>
      <c r="H129" s="327" t="s">
        <v>297</v>
      </c>
      <c r="I129" s="327"/>
      <c r="J129" s="327" t="s">
        <v>298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747.333154049572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812.333154049572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747.333154049572</v>
      </c>
      <c r="B137" s="37" t="n">
        <f aca="false">IF(A105="YES",B89,0)</f>
        <v>65</v>
      </c>
      <c r="C137" s="316"/>
      <c r="D137" s="37" t="n">
        <f aca="false">B91</f>
        <v>812.333154049572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222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739.99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812.333154049572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127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294</v>
      </c>
      <c r="C170" s="354"/>
      <c r="D170" s="353" t="s">
        <v>295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747.333154049572</v>
      </c>
      <c r="B171" s="354" t="n">
        <f aca="false">IF(A105="YES",B89,0)</f>
        <v>65</v>
      </c>
      <c r="C171" s="357"/>
      <c r="D171" s="354" t="n">
        <f aca="false">B91</f>
        <v>812.333154049572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9"/>
      <c r="D173" s="358" t="s">
        <v>300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747.333154049572</v>
      </c>
      <c r="C174" s="352"/>
      <c r="D174" s="102" t="n">
        <f aca="false">IF(A105="YES",B89*B57,0)</f>
        <v>65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304</v>
      </c>
      <c r="B176" s="165" t="s">
        <v>305</v>
      </c>
      <c r="C176" s="359"/>
      <c r="D176" s="240" t="s">
        <v>208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812.333154049572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294</v>
      </c>
      <c r="C179" s="352"/>
      <c r="D179" s="352" t="s">
        <v>295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747.333154049572</v>
      </c>
      <c r="B180" s="102" t="n">
        <f aca="false">IF(A105="YES",B89,0)</f>
        <v>65</v>
      </c>
      <c r="C180" s="352"/>
      <c r="D180" s="102" t="n">
        <f aca="false">B91</f>
        <v>812.333154049572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102"/>
      <c r="D185" s="363" t="s">
        <v>282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222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739.99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214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215</v>
      </c>
      <c r="B203" s="368" t="n">
        <f aca="false">H29</f>
        <v>12</v>
      </c>
      <c r="C203" s="320" t="s">
        <v>217</v>
      </c>
      <c r="D203" s="369" t="n">
        <f aca="false">D64</f>
        <v>1554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218</v>
      </c>
      <c r="B205" s="320" t="n">
        <f aca="false">B213</f>
        <v>222</v>
      </c>
      <c r="C205" s="319" t="s">
        <v>219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220</v>
      </c>
      <c r="B207" s="320" t="n">
        <f aca="false">E217</f>
        <v>1851.99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215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217</v>
      </c>
      <c r="B211" s="103" t="n">
        <f aca="false">D64</f>
        <v>1554</v>
      </c>
      <c r="C211" s="373" t="s">
        <v>223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223</v>
      </c>
      <c r="B213" s="103" t="n">
        <f aca="false">B67</f>
        <v>222</v>
      </c>
      <c r="C213" s="335" t="s">
        <v>326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326</v>
      </c>
      <c r="B215" s="240" t="n">
        <f aca="false">B191*E213*100</f>
        <v>40</v>
      </c>
      <c r="C215" s="335" t="s">
        <v>225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327</v>
      </c>
      <c r="B217" s="240" t="n">
        <f aca="false">B78-(B78*(E213*100))</f>
        <v>200</v>
      </c>
      <c r="C217" s="335" t="s">
        <v>220</v>
      </c>
      <c r="D217" s="316"/>
      <c r="E217" s="32" t="n">
        <f aca="false">(B211-B205+D205)</f>
        <v>1851.99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328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329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227</v>
      </c>
      <c r="B223" s="103" t="n">
        <f aca="false">B71</f>
        <v>200</v>
      </c>
      <c r="C223" s="335" t="s">
        <v>228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229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230</v>
      </c>
      <c r="B225" s="378" t="n">
        <f aca="false">B68</f>
        <v>0.0075</v>
      </c>
      <c r="C225" s="335" t="s">
        <v>231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232</v>
      </c>
      <c r="D226" s="342"/>
      <c r="E226" s="32" t="n">
        <f aca="false">B86</f>
        <v>75.3311819281969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233</v>
      </c>
      <c r="B227" s="103" t="n">
        <f aca="false">B79</f>
        <v>200</v>
      </c>
      <c r="C227" s="379" t="s">
        <v>330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234</v>
      </c>
      <c r="B229" s="103" t="n">
        <f aca="false">B80</f>
        <v>200</v>
      </c>
      <c r="C229" s="383" t="s">
        <v>331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45370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333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334</v>
      </c>
      <c r="B41" s="103" t="s">
        <v>335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335</v>
      </c>
      <c r="D43" s="239" t="s">
        <v>211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336</v>
      </c>
      <c r="C44" s="103"/>
      <c r="D44" s="103" t="s">
        <v>336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337</v>
      </c>
      <c r="B46" s="229" t="s">
        <v>338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337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339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357.527833333333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337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276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5"/>
      <c r="G68" s="396" t="s">
        <v>277</v>
      </c>
      <c r="H68" s="397" t="n">
        <v>0.07</v>
      </c>
      <c r="I68" s="316"/>
      <c r="J68" s="316"/>
      <c r="K68" s="317"/>
      <c r="L68" s="385"/>
      <c r="M68" s="396" t="s">
        <v>277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278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278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B66*B69</f>
        <v>1403.49972</v>
      </c>
      <c r="C70" s="316" t="n">
        <v>10000</v>
      </c>
      <c r="D70" s="31" t="n">
        <f aca="false">B70-A149</f>
        <v>1403.49972</v>
      </c>
      <c r="E70" s="317" t="n">
        <f aca="false">D70/12</f>
        <v>116.95831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279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279</v>
      </c>
      <c r="H80" s="85" t="n">
        <v>150</v>
      </c>
      <c r="I80" s="316"/>
      <c r="J80" s="316"/>
      <c r="K80" s="317"/>
      <c r="L80" s="385"/>
      <c r="M80" s="402" t="s">
        <v>279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280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280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280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281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281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281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282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282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282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340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283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283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3028.08305333333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252.340254444444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8062.100464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56.9127705203711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8119.01323452037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72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676.584436210031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748.584436210031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385"/>
      <c r="G100" s="212" t="s">
        <v>284</v>
      </c>
      <c r="H100" s="212"/>
      <c r="I100" s="212"/>
      <c r="J100" s="212"/>
      <c r="K100" s="212"/>
      <c r="L100" s="385"/>
      <c r="M100" s="212" t="s">
        <v>341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385"/>
      <c r="G102" s="216" t="s">
        <v>126</v>
      </c>
      <c r="H102" s="216"/>
      <c r="I102" s="216"/>
      <c r="J102" s="216"/>
      <c r="K102" s="216"/>
      <c r="L102" s="385"/>
      <c r="M102" s="216" t="s">
        <v>126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130</v>
      </c>
    </row>
    <row r="104" customFormat="false" ht="18.75" hidden="false" customHeight="true" outlineLevel="0" collapsed="false">
      <c r="A104" s="315" t="s">
        <v>127</v>
      </c>
      <c r="B104" s="316" t="s">
        <v>23</v>
      </c>
      <c r="C104" s="316"/>
      <c r="D104" s="316" t="s">
        <v>285</v>
      </c>
      <c r="E104" s="317"/>
      <c r="F104" s="385"/>
      <c r="G104" s="315" t="s">
        <v>127</v>
      </c>
      <c r="H104" s="316" t="s">
        <v>23</v>
      </c>
      <c r="I104" s="316"/>
      <c r="J104" s="316" t="s">
        <v>285</v>
      </c>
      <c r="K104" s="317"/>
      <c r="L104" s="385"/>
      <c r="M104" s="315" t="s">
        <v>127</v>
      </c>
      <c r="N104" s="316" t="s">
        <v>23</v>
      </c>
      <c r="O104" s="316"/>
      <c r="P104" s="316" t="s">
        <v>285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130</v>
      </c>
      <c r="C105" s="311"/>
      <c r="D105" s="418" t="n">
        <v>1000</v>
      </c>
      <c r="E105" s="418"/>
      <c r="F105" s="385"/>
      <c r="G105" s="372" t="s">
        <v>286</v>
      </c>
      <c r="H105" s="311" t="s">
        <v>268</v>
      </c>
      <c r="I105" s="311"/>
      <c r="J105" s="418" t="n">
        <v>5000</v>
      </c>
      <c r="K105" s="418"/>
      <c r="L105" s="385"/>
      <c r="M105" s="372" t="s">
        <v>286</v>
      </c>
      <c r="N105" s="311" t="s">
        <v>267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5"/>
      <c r="G107" s="315" t="s">
        <v>287</v>
      </c>
      <c r="H107" s="316" t="s">
        <v>288</v>
      </c>
      <c r="I107" s="316"/>
      <c r="J107" s="316" t="s">
        <v>289</v>
      </c>
      <c r="K107" s="317"/>
      <c r="L107" s="385"/>
      <c r="M107" s="315" t="s">
        <v>287</v>
      </c>
      <c r="N107" s="316" t="s">
        <v>288</v>
      </c>
      <c r="O107" s="316"/>
      <c r="P107" s="316" t="s">
        <v>289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267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268</v>
      </c>
    </row>
    <row r="110" customFormat="false" ht="18.75" hidden="false" customHeight="true" outlineLevel="0" collapsed="false">
      <c r="A110" s="372" t="s">
        <v>128</v>
      </c>
      <c r="B110" s="385" t="s">
        <v>131</v>
      </c>
      <c r="C110" s="316"/>
      <c r="D110" s="316" t="s">
        <v>142</v>
      </c>
      <c r="E110" s="317"/>
      <c r="F110" s="385"/>
      <c r="G110" s="372" t="s">
        <v>128</v>
      </c>
      <c r="H110" s="385" t="s">
        <v>131</v>
      </c>
      <c r="I110" s="316"/>
      <c r="J110" s="316" t="s">
        <v>142</v>
      </c>
      <c r="K110" s="317"/>
      <c r="L110" s="385"/>
      <c r="M110" s="372" t="s">
        <v>128</v>
      </c>
      <c r="N110" s="385" t="s">
        <v>131</v>
      </c>
      <c r="O110" s="316"/>
      <c r="P110" s="316" t="s">
        <v>142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269</v>
      </c>
    </row>
    <row r="111" customFormat="false" ht="18.75" hidden="false" customHeight="true" outlineLevel="0" collapsed="false">
      <c r="A111" s="386" t="s">
        <v>18</v>
      </c>
      <c r="B111" s="311" t="n">
        <v>20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270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342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385"/>
      <c r="G114" s="216" t="s">
        <v>290</v>
      </c>
      <c r="H114" s="216"/>
      <c r="I114" s="216"/>
      <c r="J114" s="216"/>
      <c r="K114" s="216"/>
      <c r="L114" s="385"/>
      <c r="M114" s="216" t="s">
        <v>290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291</v>
      </c>
      <c r="B116" s="386" t="s">
        <v>19</v>
      </c>
      <c r="C116" s="316"/>
      <c r="D116" s="316"/>
      <c r="E116" s="317"/>
      <c r="F116" s="385"/>
      <c r="G116" s="315" t="s">
        <v>291</v>
      </c>
      <c r="H116" s="386" t="s">
        <v>18</v>
      </c>
      <c r="I116" s="316"/>
      <c r="J116" s="316"/>
      <c r="K116" s="317"/>
      <c r="L116" s="385"/>
      <c r="M116" s="315" t="s">
        <v>291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176</v>
      </c>
      <c r="B118" s="316"/>
      <c r="C118" s="316"/>
      <c r="D118" s="312" t="n">
        <v>0</v>
      </c>
      <c r="E118" s="106" t="n">
        <v>6000</v>
      </c>
      <c r="F118" s="385"/>
      <c r="G118" s="315" t="s">
        <v>176</v>
      </c>
      <c r="H118" s="316"/>
      <c r="I118" s="316"/>
      <c r="J118" s="312" t="n">
        <v>10000</v>
      </c>
      <c r="K118" s="106" t="n">
        <v>5000</v>
      </c>
      <c r="L118" s="385"/>
      <c r="M118" s="315" t="s">
        <v>176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177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177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177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178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178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178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179</v>
      </c>
      <c r="B121" s="316"/>
      <c r="C121" s="316"/>
      <c r="D121" s="38" t="n">
        <f aca="false">D120-E120</f>
        <v>-6000</v>
      </c>
      <c r="E121" s="317"/>
      <c r="F121" s="385"/>
      <c r="G121" s="315" t="s">
        <v>179</v>
      </c>
      <c r="H121" s="316"/>
      <c r="I121" s="316"/>
      <c r="J121" s="38" t="n">
        <f aca="false">J120-K120</f>
        <v>5000</v>
      </c>
      <c r="K121" s="317"/>
      <c r="L121" s="385"/>
      <c r="M121" s="315" t="s">
        <v>179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138</v>
      </c>
      <c r="B123" s="394"/>
      <c r="C123" s="394"/>
      <c r="D123" s="394"/>
      <c r="E123" s="26" t="n">
        <f aca="false">D105</f>
        <v>1000</v>
      </c>
      <c r="F123" s="385"/>
      <c r="G123" s="393" t="s">
        <v>138</v>
      </c>
      <c r="H123" s="394"/>
      <c r="I123" s="394"/>
      <c r="J123" s="394"/>
      <c r="K123" s="26" t="n">
        <f aca="false">J105</f>
        <v>5000</v>
      </c>
      <c r="L123" s="385"/>
      <c r="M123" s="393" t="s">
        <v>138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292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292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292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385"/>
      <c r="G128" s="216" t="s">
        <v>293</v>
      </c>
      <c r="H128" s="216"/>
      <c r="I128" s="216"/>
      <c r="J128" s="216"/>
      <c r="K128" s="216"/>
      <c r="L128" s="385"/>
      <c r="M128" s="216" t="s">
        <v>293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385"/>
      <c r="G130" s="315" t="s">
        <v>183</v>
      </c>
      <c r="H130" s="171" t="n">
        <v>0</v>
      </c>
      <c r="I130" s="171"/>
      <c r="J130" s="316"/>
      <c r="K130" s="317"/>
      <c r="L130" s="385"/>
      <c r="M130" s="315" t="s">
        <v>183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676.584436210031</v>
      </c>
      <c r="B134" s="320" t="n">
        <f aca="false">IF(A111="YES",B95,0)</f>
        <v>72</v>
      </c>
      <c r="C134" s="324"/>
      <c r="D134" s="320" t="n">
        <f aca="false">B97</f>
        <v>748.584436210031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296</v>
      </c>
      <c r="H135" s="421" t="s">
        <v>297</v>
      </c>
      <c r="I135" s="421"/>
      <c r="J135" s="421" t="s">
        <v>298</v>
      </c>
      <c r="K135" s="317"/>
      <c r="L135" s="385"/>
      <c r="M135" s="420" t="s">
        <v>343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676.584436210031</v>
      </c>
      <c r="C137" s="316"/>
      <c r="D137" s="37" t="n">
        <f aca="false">IF(A111="YES",B95*B63,0)</f>
        <v>72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301</v>
      </c>
      <c r="H138" s="316" t="s">
        <v>302</v>
      </c>
      <c r="I138" s="316"/>
      <c r="J138" s="316" t="s">
        <v>303</v>
      </c>
      <c r="K138" s="317"/>
      <c r="L138" s="385"/>
      <c r="M138" s="315" t="s">
        <v>344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748.584436210031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306</v>
      </c>
      <c r="H141" s="316" t="s">
        <v>307</v>
      </c>
      <c r="I141" s="316"/>
      <c r="J141" s="316" t="s">
        <v>308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676.584436210031</v>
      </c>
      <c r="B143" s="37" t="n">
        <f aca="false">IF(A111="YES",B95,0)</f>
        <v>72</v>
      </c>
      <c r="C143" s="316"/>
      <c r="D143" s="37" t="n">
        <f aca="false">B97</f>
        <v>748.584436210031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309</v>
      </c>
      <c r="H144" s="316" t="s">
        <v>310</v>
      </c>
      <c r="I144" s="316"/>
      <c r="J144" s="316" t="s">
        <v>311</v>
      </c>
      <c r="K144" s="317"/>
      <c r="L144" s="385"/>
      <c r="M144" s="315" t="s">
        <v>141</v>
      </c>
      <c r="N144" s="316" t="s">
        <v>310</v>
      </c>
      <c r="O144" s="316"/>
      <c r="P144" s="316" t="s">
        <v>311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313</v>
      </c>
      <c r="H147" s="316" t="s">
        <v>314</v>
      </c>
      <c r="I147" s="316"/>
      <c r="J147" s="316" t="s">
        <v>315</v>
      </c>
      <c r="K147" s="317"/>
      <c r="L147" s="385"/>
      <c r="M147" s="315" t="s">
        <v>313</v>
      </c>
      <c r="N147" s="316" t="s">
        <v>314</v>
      </c>
      <c r="O147" s="316"/>
      <c r="P147" s="316" t="s">
        <v>315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317</v>
      </c>
      <c r="H150" s="316" t="s">
        <v>318</v>
      </c>
      <c r="I150" s="316"/>
      <c r="J150" s="316"/>
      <c r="K150" s="317"/>
      <c r="L150" s="385"/>
      <c r="M150" s="315" t="s">
        <v>317</v>
      </c>
      <c r="N150" s="316" t="s">
        <v>318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345</v>
      </c>
      <c r="N153" s="38" t="s">
        <v>346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37" t="n">
        <f aca="false">B108</f>
        <v>400</v>
      </c>
      <c r="C154" s="37"/>
      <c r="D154" s="37" t="n">
        <f aca="false">IF(A111="YES",(A44/100*B111)*B131,0)*0.1</f>
        <v>12</v>
      </c>
      <c r="E154" s="104"/>
      <c r="F154" s="385"/>
      <c r="G154" s="347" t="s">
        <v>323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712.491626666667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323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748.584436210031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676.584436210031</v>
      </c>
      <c r="B177" s="354" t="n">
        <f aca="false">IF(A111="YES",B95,0)</f>
        <v>72</v>
      </c>
      <c r="C177" s="356"/>
      <c r="D177" s="354" t="n">
        <f aca="false">A177+B177</f>
        <v>748.584436210031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676.584436210031</v>
      </c>
      <c r="C180" s="352"/>
      <c r="D180" s="102" t="n">
        <f aca="false">IF(A111="YES",B95*B63,0)</f>
        <v>72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748.584436210031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676.584436210031</v>
      </c>
      <c r="B186" s="102" t="n">
        <f aca="false">IF(A111="YES",B95,0)</f>
        <v>72</v>
      </c>
      <c r="C186" s="352"/>
      <c r="D186" s="102" t="n">
        <f aca="false">B97</f>
        <v>748.584436210031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12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712.491626666667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D70</f>
        <v>1403.49972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218</v>
      </c>
      <c r="B211" s="320" t="n">
        <f aca="false">B219</f>
        <v>200.49996</v>
      </c>
      <c r="C211" s="319" t="s">
        <v>219</v>
      </c>
      <c r="D211" s="369" t="n">
        <f aca="false">B225+E221+B221+B223</f>
        <v>459.991666666667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220</v>
      </c>
      <c r="B213" s="320" t="n">
        <f aca="false">E223</f>
        <v>1662.99142666667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217</v>
      </c>
      <c r="B217" s="103" t="n">
        <f aca="false">D70</f>
        <v>1403.49972</v>
      </c>
      <c r="C217" s="373" t="s">
        <v>223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223</v>
      </c>
      <c r="B219" s="103" t="n">
        <f aca="false">B73</f>
        <v>200.49996</v>
      </c>
      <c r="C219" s="335" t="s">
        <v>326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1662.99142666667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328</v>
      </c>
      <c r="B225" s="340" t="n">
        <f aca="false">D197/0.1</f>
        <v>120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56.9127705203711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275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0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45370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347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334</v>
      </c>
      <c r="B41" s="103" t="s">
        <v>335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211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336</v>
      </c>
      <c r="C44" s="103"/>
      <c r="D44" s="103" t="s">
        <v>336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337</v>
      </c>
      <c r="B46" s="229" t="s">
        <v>338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337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339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337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276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5"/>
      <c r="G68" s="396" t="s">
        <v>277</v>
      </c>
      <c r="H68" s="397" t="n">
        <v>0.07</v>
      </c>
      <c r="I68" s="316"/>
      <c r="J68" s="316"/>
      <c r="K68" s="317"/>
      <c r="L68" s="385"/>
      <c r="M68" s="396" t="s">
        <v>277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278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278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2836.82</v>
      </c>
      <c r="C70" s="316" t="n">
        <v>10000</v>
      </c>
      <c r="D70" s="31" t="n">
        <f aca="false">B70-A149</f>
        <v>2836.82</v>
      </c>
      <c r="E70" s="317" t="n">
        <f aca="false">D70/12</f>
        <v>236.401666666667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279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279</v>
      </c>
      <c r="H80" s="85" t="n">
        <v>150</v>
      </c>
      <c r="I80" s="316"/>
      <c r="J80" s="316"/>
      <c r="K80" s="317"/>
      <c r="L80" s="385"/>
      <c r="M80" s="402" t="s">
        <v>279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280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280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280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281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281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281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282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282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282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340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283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283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4461.40333333333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371.783611111111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8151.73733333333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69.0546526825333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8220.79198601587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685.065998834656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750.065998834655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385"/>
      <c r="G100" s="212" t="s">
        <v>284</v>
      </c>
      <c r="H100" s="212"/>
      <c r="I100" s="212"/>
      <c r="J100" s="212"/>
      <c r="K100" s="212"/>
      <c r="L100" s="385"/>
      <c r="M100" s="212" t="s">
        <v>341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385"/>
      <c r="G102" s="216" t="s">
        <v>126</v>
      </c>
      <c r="H102" s="216"/>
      <c r="I102" s="216"/>
      <c r="J102" s="216"/>
      <c r="K102" s="216"/>
      <c r="L102" s="385"/>
      <c r="M102" s="216" t="s">
        <v>126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130</v>
      </c>
    </row>
    <row r="104" customFormat="false" ht="18.75" hidden="false" customHeight="true" outlineLevel="0" collapsed="false">
      <c r="A104" s="315" t="s">
        <v>127</v>
      </c>
      <c r="B104" s="316" t="s">
        <v>23</v>
      </c>
      <c r="C104" s="316"/>
      <c r="D104" s="316" t="s">
        <v>285</v>
      </c>
      <c r="E104" s="317"/>
      <c r="F104" s="385"/>
      <c r="G104" s="315" t="s">
        <v>127</v>
      </c>
      <c r="H104" s="316" t="s">
        <v>23</v>
      </c>
      <c r="I104" s="316"/>
      <c r="J104" s="316" t="s">
        <v>285</v>
      </c>
      <c r="K104" s="317"/>
      <c r="L104" s="385"/>
      <c r="M104" s="315" t="s">
        <v>127</v>
      </c>
      <c r="N104" s="316" t="s">
        <v>23</v>
      </c>
      <c r="O104" s="316"/>
      <c r="P104" s="316" t="s">
        <v>285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130</v>
      </c>
      <c r="C105" s="311"/>
      <c r="D105" s="418" t="n">
        <v>1000</v>
      </c>
      <c r="E105" s="418"/>
      <c r="F105" s="385"/>
      <c r="G105" s="372" t="s">
        <v>286</v>
      </c>
      <c r="H105" s="311" t="s">
        <v>268</v>
      </c>
      <c r="I105" s="311"/>
      <c r="J105" s="418" t="n">
        <v>5000</v>
      </c>
      <c r="K105" s="418"/>
      <c r="L105" s="385"/>
      <c r="M105" s="372" t="s">
        <v>286</v>
      </c>
      <c r="N105" s="311" t="s">
        <v>267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5"/>
      <c r="G107" s="315" t="s">
        <v>287</v>
      </c>
      <c r="H107" s="316" t="s">
        <v>288</v>
      </c>
      <c r="I107" s="316"/>
      <c r="J107" s="316" t="s">
        <v>289</v>
      </c>
      <c r="K107" s="317"/>
      <c r="L107" s="385"/>
      <c r="M107" s="315" t="s">
        <v>287</v>
      </c>
      <c r="N107" s="316" t="s">
        <v>288</v>
      </c>
      <c r="O107" s="316"/>
      <c r="P107" s="316" t="s">
        <v>289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267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268</v>
      </c>
    </row>
    <row r="110" customFormat="false" ht="18.75" hidden="false" customHeight="true" outlineLevel="0" collapsed="false">
      <c r="A110" s="372" t="s">
        <v>128</v>
      </c>
      <c r="B110" s="385" t="s">
        <v>131</v>
      </c>
      <c r="C110" s="316"/>
      <c r="D110" s="316" t="s">
        <v>142</v>
      </c>
      <c r="E110" s="317"/>
      <c r="F110" s="385"/>
      <c r="G110" s="372" t="s">
        <v>128</v>
      </c>
      <c r="H110" s="385" t="s">
        <v>131</v>
      </c>
      <c r="I110" s="316"/>
      <c r="J110" s="316" t="s">
        <v>142</v>
      </c>
      <c r="K110" s="317"/>
      <c r="L110" s="385"/>
      <c r="M110" s="372" t="s">
        <v>128</v>
      </c>
      <c r="N110" s="385" t="s">
        <v>131</v>
      </c>
      <c r="O110" s="316"/>
      <c r="P110" s="316" t="s">
        <v>142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269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270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342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385"/>
      <c r="G114" s="216" t="s">
        <v>290</v>
      </c>
      <c r="H114" s="216"/>
      <c r="I114" s="216"/>
      <c r="J114" s="216"/>
      <c r="K114" s="216"/>
      <c r="L114" s="385"/>
      <c r="M114" s="216" t="s">
        <v>290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291</v>
      </c>
      <c r="B116" s="386" t="s">
        <v>19</v>
      </c>
      <c r="C116" s="316"/>
      <c r="D116" s="316"/>
      <c r="E116" s="317"/>
      <c r="F116" s="385"/>
      <c r="G116" s="315" t="s">
        <v>291</v>
      </c>
      <c r="H116" s="386" t="s">
        <v>18</v>
      </c>
      <c r="I116" s="316"/>
      <c r="J116" s="316"/>
      <c r="K116" s="317"/>
      <c r="L116" s="385"/>
      <c r="M116" s="315" t="s">
        <v>291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176</v>
      </c>
      <c r="B118" s="316"/>
      <c r="C118" s="316"/>
      <c r="D118" s="312" t="n">
        <v>0</v>
      </c>
      <c r="E118" s="106" t="n">
        <v>6000</v>
      </c>
      <c r="F118" s="385"/>
      <c r="G118" s="315" t="s">
        <v>176</v>
      </c>
      <c r="H118" s="316"/>
      <c r="I118" s="316"/>
      <c r="J118" s="312" t="n">
        <v>10000</v>
      </c>
      <c r="K118" s="106" t="n">
        <v>5000</v>
      </c>
      <c r="L118" s="385"/>
      <c r="M118" s="315" t="s">
        <v>176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177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177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177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178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178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178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179</v>
      </c>
      <c r="B121" s="316"/>
      <c r="C121" s="316"/>
      <c r="D121" s="38" t="n">
        <f aca="false">D120-E120</f>
        <v>-6000</v>
      </c>
      <c r="E121" s="317"/>
      <c r="F121" s="385"/>
      <c r="G121" s="315" t="s">
        <v>179</v>
      </c>
      <c r="H121" s="316"/>
      <c r="I121" s="316"/>
      <c r="J121" s="38" t="n">
        <f aca="false">J120-K120</f>
        <v>5000</v>
      </c>
      <c r="K121" s="317"/>
      <c r="L121" s="385"/>
      <c r="M121" s="315" t="s">
        <v>179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138</v>
      </c>
      <c r="B123" s="394"/>
      <c r="C123" s="394"/>
      <c r="D123" s="394"/>
      <c r="E123" s="26" t="n">
        <f aca="false">D105</f>
        <v>1000</v>
      </c>
      <c r="F123" s="385"/>
      <c r="G123" s="393" t="s">
        <v>138</v>
      </c>
      <c r="H123" s="394"/>
      <c r="I123" s="394"/>
      <c r="J123" s="394"/>
      <c r="K123" s="26" t="n">
        <f aca="false">J105</f>
        <v>5000</v>
      </c>
      <c r="L123" s="385"/>
      <c r="M123" s="393" t="s">
        <v>138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292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292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292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385"/>
      <c r="G128" s="216" t="s">
        <v>293</v>
      </c>
      <c r="H128" s="216"/>
      <c r="I128" s="216"/>
      <c r="J128" s="216"/>
      <c r="K128" s="216"/>
      <c r="L128" s="385"/>
      <c r="M128" s="216" t="s">
        <v>293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385"/>
      <c r="G130" s="315" t="s">
        <v>183</v>
      </c>
      <c r="H130" s="171" t="n">
        <v>0</v>
      </c>
      <c r="I130" s="171"/>
      <c r="J130" s="316"/>
      <c r="K130" s="317"/>
      <c r="L130" s="385"/>
      <c r="M130" s="315" t="s">
        <v>183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685.065998834656</v>
      </c>
      <c r="B134" s="320" t="n">
        <f aca="false">IF(A111="YES",B95,0)</f>
        <v>65</v>
      </c>
      <c r="C134" s="325"/>
      <c r="D134" s="320" t="n">
        <f aca="false">B97</f>
        <v>750.065998834655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296</v>
      </c>
      <c r="H135" s="421" t="s">
        <v>297</v>
      </c>
      <c r="I135" s="421"/>
      <c r="J135" s="421" t="s">
        <v>298</v>
      </c>
      <c r="K135" s="317"/>
      <c r="L135" s="385"/>
      <c r="M135" s="420" t="s">
        <v>343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685.065998834656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301</v>
      </c>
      <c r="H138" s="316" t="s">
        <v>302</v>
      </c>
      <c r="I138" s="316"/>
      <c r="J138" s="316" t="s">
        <v>303</v>
      </c>
      <c r="K138" s="317"/>
      <c r="L138" s="385"/>
      <c r="M138" s="315" t="s">
        <v>344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750.065998834655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306</v>
      </c>
      <c r="H141" s="316" t="s">
        <v>307</v>
      </c>
      <c r="I141" s="316"/>
      <c r="J141" s="316" t="s">
        <v>308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685.065998834656</v>
      </c>
      <c r="B143" s="37" t="n">
        <f aca="false">IF(A111="YES",B95,0)</f>
        <v>65</v>
      </c>
      <c r="C143" s="316"/>
      <c r="D143" s="37" t="n">
        <f aca="false">B97</f>
        <v>750.065998834655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309</v>
      </c>
      <c r="H144" s="316" t="s">
        <v>310</v>
      </c>
      <c r="I144" s="316"/>
      <c r="J144" s="316" t="s">
        <v>311</v>
      </c>
      <c r="K144" s="317"/>
      <c r="L144" s="385"/>
      <c r="M144" s="315" t="s">
        <v>141</v>
      </c>
      <c r="N144" s="316" t="s">
        <v>310</v>
      </c>
      <c r="O144" s="316"/>
      <c r="P144" s="316" t="s">
        <v>311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313</v>
      </c>
      <c r="H147" s="316" t="s">
        <v>314</v>
      </c>
      <c r="I147" s="316"/>
      <c r="J147" s="316" t="s">
        <v>315</v>
      </c>
      <c r="K147" s="317"/>
      <c r="L147" s="385"/>
      <c r="M147" s="315" t="s">
        <v>313</v>
      </c>
      <c r="N147" s="316" t="s">
        <v>314</v>
      </c>
      <c r="O147" s="316"/>
      <c r="P147" s="316" t="s">
        <v>315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317</v>
      </c>
      <c r="H150" s="316" t="s">
        <v>318</v>
      </c>
      <c r="I150" s="316"/>
      <c r="J150" s="316"/>
      <c r="K150" s="317"/>
      <c r="L150" s="385"/>
      <c r="M150" s="315" t="s">
        <v>317</v>
      </c>
      <c r="N150" s="316" t="s">
        <v>318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345</v>
      </c>
      <c r="N153" s="38" t="s">
        <v>346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323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718.48996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323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750.065998834655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685.065998834656</v>
      </c>
      <c r="B177" s="354" t="n">
        <f aca="false">IF(A111="YES",B95,0)</f>
        <v>65</v>
      </c>
      <c r="C177" s="357"/>
      <c r="D177" s="354" t="n">
        <f aca="false">B91</f>
        <v>8151.73733333333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685.065998834656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750.065998834655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685.065998834656</v>
      </c>
      <c r="B186" s="102" t="n">
        <f aca="false">IF(A111="YES",B95,0)</f>
        <v>65</v>
      </c>
      <c r="C186" s="352"/>
      <c r="D186" s="102" t="n">
        <f aca="false">B97</f>
        <v>750.065998834655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718.48996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D70</f>
        <v>2836.82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218</v>
      </c>
      <c r="B211" s="320" t="n">
        <f aca="false">B219</f>
        <v>200.49996</v>
      </c>
      <c r="C211" s="319" t="s">
        <v>219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220</v>
      </c>
      <c r="B213" s="320" t="n">
        <f aca="false">E223</f>
        <v>3156.31004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217</v>
      </c>
      <c r="B217" s="103" t="n">
        <f aca="false">D70</f>
        <v>2836.82</v>
      </c>
      <c r="C217" s="373" t="s">
        <v>223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223</v>
      </c>
      <c r="B219" s="103" t="n">
        <f aca="false">B73</f>
        <v>200.49996</v>
      </c>
      <c r="C219" s="335" t="s">
        <v>326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3156.31004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328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69.0546526825333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275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348</v>
      </c>
      <c r="B41" s="240" t="str">
        <f aca="false">IF(B38="YES",D38+A41,D38)</f>
        <v>500</v>
      </c>
      <c r="C41" s="240"/>
      <c r="D41" s="103" t="s">
        <v>334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336</v>
      </c>
      <c r="C44" s="103"/>
      <c r="D44" s="103" t="s">
        <v>348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349</v>
      </c>
      <c r="C47" s="425"/>
      <c r="D47" s="103" t="s">
        <v>349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338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279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280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350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351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s">
        <v>352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210.99996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1476.99972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210.99996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334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336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349</v>
      </c>
      <c r="C47" s="425"/>
      <c r="D47" s="103" t="s">
        <v>349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280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281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10936.299664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11013.5022634837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917.791855290305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995.791855290305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284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917.791855290305</v>
      </c>
      <c r="B134" s="320" t="n">
        <f aca="false">IF(A111="YES",B95,0)</f>
        <v>78</v>
      </c>
      <c r="C134" s="325"/>
      <c r="D134" s="320" t="n">
        <f aca="false">B97</f>
        <v>995.791855290305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917.791855290305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995.791855290305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917.791855290305</v>
      </c>
      <c r="B143" s="37" t="n">
        <f aca="false">IF(A111="YES",B95,0)</f>
        <v>78</v>
      </c>
      <c r="C143" s="316"/>
      <c r="D143" s="37" t="n">
        <f aca="false">B97</f>
        <v>995.791855290305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728.991626666667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995.791855290305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917.791855290305</v>
      </c>
      <c r="B177" s="354" t="n">
        <f aca="false">IF(A111="YES",B95,0)</f>
        <v>78</v>
      </c>
      <c r="C177" s="357"/>
      <c r="D177" s="354" t="n">
        <f aca="false">B97</f>
        <v>995.791855290305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917.791855290305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995.791855290305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917.791855290305</v>
      </c>
      <c r="B186" s="102" t="n">
        <f aca="false">IF(A111="YES",B95,0)</f>
        <v>78</v>
      </c>
      <c r="C186" s="352"/>
      <c r="D186" s="102" t="n">
        <f aca="false">B97</f>
        <v>995.791855290305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728.991626666667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210.99996</v>
      </c>
      <c r="C211" s="319" t="s">
        <v>219</v>
      </c>
      <c r="D211" s="369" t="n">
        <f aca="false">B225+E221+B221+B223</f>
        <v>519.991666666667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1785.99142666667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1476.99972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210.99996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1785.99142666667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334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336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349</v>
      </c>
      <c r="C47" s="425"/>
      <c r="D47" s="103" t="s">
        <v>349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280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281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830.898804401416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65</v>
      </c>
      <c r="C134" s="325"/>
      <c r="D134" s="320" t="n">
        <f aca="false">B97</f>
        <v>830.898804401416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765.898804401416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830.898804401416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65</v>
      </c>
      <c r="C143" s="316"/>
      <c r="D143" s="37" t="n">
        <f aca="false">B97</f>
        <v>830.898804401416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728.98996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830.898804401416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65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765.898804401416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830.898804401416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65</v>
      </c>
      <c r="C186" s="352"/>
      <c r="D186" s="102" t="n">
        <f aca="false">B97</f>
        <v>830.898804401416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728.98996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210.99996</v>
      </c>
      <c r="C211" s="319" t="s">
        <v>219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1785.98976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1476.99972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210.99996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1785.98976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279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280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341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351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352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210.99996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1476.99972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210.99996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280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281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2434.91638666667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202.909698888889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10136.299664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71.5551610004034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10207.8548250004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850.654568750034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850.654568750034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284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850.654568750034</v>
      </c>
      <c r="B134" s="320" t="n">
        <f aca="false">IF(A111="YES",B95,0)</f>
        <v>0</v>
      </c>
      <c r="C134" s="325"/>
      <c r="D134" s="320" t="n">
        <f aca="false">B97</f>
        <v>850.654568750034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850.654568750034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850.654568750034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850.654568750034</v>
      </c>
      <c r="B143" s="37" t="n">
        <f aca="false">IF(A111="YES",B95,0)</f>
        <v>0</v>
      </c>
      <c r="C143" s="316"/>
      <c r="D143" s="37" t="n">
        <f aca="false">B97</f>
        <v>850.654568750034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310.991626666667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850.654568750034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850.654568750034</v>
      </c>
      <c r="B177" s="354" t="n">
        <f aca="false">IF(A111="YES",B95,0)</f>
        <v>0</v>
      </c>
      <c r="C177" s="357"/>
      <c r="D177" s="354" t="n">
        <f aca="false">B91</f>
        <v>10136.299664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850.654568750034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850.654568750034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850.654568750034</v>
      </c>
      <c r="B186" s="102" t="n">
        <f aca="false">IF(A111="YES",B95,0)</f>
        <v>0</v>
      </c>
      <c r="C186" s="352"/>
      <c r="D186" s="102" t="n">
        <f aca="false">B97</f>
        <v>850.654568750034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310.991626666667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210.99996</v>
      </c>
      <c r="C211" s="319" t="s">
        <v>219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1365.99142666667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1476.99972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210.99996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0</v>
      </c>
      <c r="C221" s="335" t="s">
        <v>225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0</v>
      </c>
      <c r="C223" s="335" t="s">
        <v>220</v>
      </c>
      <c r="D223" s="316"/>
      <c r="E223" s="32" t="n">
        <f aca="false">(B217-B211+D211)</f>
        <v>1365.99142666667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71.5551610004034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280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281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765.898804401416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351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352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0</v>
      </c>
      <c r="C134" s="325"/>
      <c r="D134" s="320" t="n">
        <f aca="false">B97</f>
        <v>765.898804401416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6893.08923961275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6893.08923961275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0</v>
      </c>
      <c r="C143" s="316"/>
      <c r="D143" s="37" t="n">
        <f aca="false">B97</f>
        <v>765.898804401416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765.898804401416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0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6893.08923961275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6893.08923961275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0</v>
      </c>
      <c r="C186" s="352"/>
      <c r="D186" s="102" t="n">
        <f aca="false">B97</f>
        <v>765.898804401416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210.99996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1476.99972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210.99996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8" colorId="64" zoomScale="85" zoomScaleNormal="85" zoomScalePageLayoutView="100" workbookViewId="0">
      <selection pane="topLeft" activeCell="A201" activeCellId="0" sqref="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35</v>
      </c>
      <c r="P29" s="211"/>
    </row>
    <row r="30" customFormat="false" ht="19.5" hidden="false" customHeight="false" outlineLevel="0" collapsed="false">
      <c r="A30" s="30" t="s">
        <v>183</v>
      </c>
      <c r="B30" s="103" t="s">
        <v>348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552.861519485774</v>
      </c>
      <c r="F33" s="231"/>
      <c r="G33" s="231"/>
      <c r="H33" s="46"/>
      <c r="I33" s="2"/>
      <c r="J33" s="33" t="s">
        <v>355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552.861519485774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25443.3768750692</v>
      </c>
      <c r="N39" s="1" t="n">
        <f aca="false">K39-L39</f>
        <v>-7860.04687506925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-7860.04687506925</v>
      </c>
      <c r="N40" s="1" t="n">
        <f aca="false">N38-N39</f>
        <v>10771.7268750692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30</v>
      </c>
      <c r="B45" s="92"/>
      <c r="C45" s="61" t="n">
        <v>100</v>
      </c>
      <c r="D45" s="61"/>
      <c r="E45" s="61"/>
      <c r="F45" s="92"/>
      <c r="G45" s="92"/>
      <c r="H45" s="32"/>
      <c r="J45" s="2" t="s">
        <v>366</v>
      </c>
      <c r="K45" s="2" t="n">
        <f aca="false">(K39-K44)</f>
        <v>17583.33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552.861519485774</v>
      </c>
      <c r="L47" s="2" t="n">
        <f aca="false">L49-K42</f>
        <v>800</v>
      </c>
      <c r="M47" s="1" t="n">
        <f aca="false">K47-L47</f>
        <v>-247.138480514226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552.861519485774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552.861519485774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5356.14215907465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171.354134027778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2997.23541666667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396.817083333333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552.861519485774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552.861519485774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552.861519485774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552.861519485774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34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28.8995114056174</v>
      </c>
      <c r="C87" s="92"/>
      <c r="D87" s="92"/>
      <c r="E87" s="112"/>
      <c r="F87" s="30" t="s">
        <v>112</v>
      </c>
      <c r="G87" s="32" t="n">
        <f aca="false">((1-(1/((1+G84)^G85)))/G84)</f>
        <v>31.8042210938366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20999.996</v>
      </c>
      <c r="C88" s="92"/>
      <c r="D88" s="92"/>
      <c r="E88" s="112"/>
      <c r="F88" s="30" t="s">
        <v>113</v>
      </c>
      <c r="G88" s="32" t="n">
        <f aca="false">G81-G86</f>
        <v>20999.996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726.655745325787</v>
      </c>
      <c r="C89" s="92"/>
      <c r="D89" s="92"/>
      <c r="E89" s="112"/>
      <c r="F89" s="30" t="s">
        <v>114</v>
      </c>
      <c r="G89" s="32" t="n">
        <f aca="false">(G88/G87)</f>
        <v>660.289586657089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24706.2953410768</v>
      </c>
      <c r="C90" s="92"/>
      <c r="D90" s="92"/>
      <c r="E90" s="112"/>
      <c r="F90" s="30" t="s">
        <v>115</v>
      </c>
      <c r="G90" s="32" t="n">
        <f aca="false">((G89*(G85))+G77)</f>
        <v>23110.1355329981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24706.2953410768</v>
      </c>
      <c r="C92" s="92"/>
      <c r="D92" s="92"/>
      <c r="E92" s="112"/>
      <c r="F92" s="55" t="s">
        <v>117</v>
      </c>
      <c r="G92" s="64" t="n">
        <f aca="false">(G90+G91)</f>
        <v>23110.1355329981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726.655745325787</v>
      </c>
      <c r="C95" s="92"/>
      <c r="D95" s="92"/>
      <c r="E95" s="112"/>
      <c r="F95" s="94" t="s">
        <v>119</v>
      </c>
      <c r="G95" s="95" t="n">
        <f aca="false">G92/(G85)</f>
        <v>660.289586657089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726.655745325787</v>
      </c>
      <c r="C96" s="92"/>
      <c r="D96" s="92"/>
      <c r="E96" s="112"/>
      <c r="F96" s="96" t="s">
        <v>120</v>
      </c>
      <c r="G96" s="97" t="n">
        <f aca="false">G94+G95</f>
        <v>660.289586657089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447" t="s">
        <v>19</v>
      </c>
      <c r="F105" s="447"/>
      <c r="G105" s="447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143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151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151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152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152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152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154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155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155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174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174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181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181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726.655745325787</v>
      </c>
      <c r="B167" s="176" t="str">
        <f aca="false">B94</f>
        <v>0</v>
      </c>
      <c r="C167" s="173"/>
      <c r="D167" s="173"/>
      <c r="E167" s="176" t="n">
        <f aca="false">B96</f>
        <v>726.655745325787</v>
      </c>
      <c r="F167" s="22"/>
      <c r="G167" s="22" t="n">
        <f aca="false">ROUND(G95,2)</f>
        <v>660.29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4422.95508640254</v>
      </c>
      <c r="B182" s="102" t="str">
        <f aca="false">B114</f>
        <v>239.99</v>
      </c>
      <c r="C182" s="102"/>
      <c r="D182" s="22"/>
      <c r="E182" s="102" t="n">
        <f aca="false">E179+A182+B182+A185</f>
        <v>25672.9410864025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2239.99</v>
      </c>
      <c r="C185" s="102"/>
      <c r="D185" s="22"/>
      <c r="E185" s="102" t="n">
        <f aca="false">IF(A40=0,(E167),(E170+A185))</f>
        <v>726.655745325787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</v>
      </c>
      <c r="B188" s="102" t="n">
        <f aca="false">(G158*B67)/1.2</f>
        <v>171.354134027778</v>
      </c>
      <c r="C188" s="92"/>
      <c r="D188" s="92"/>
      <c r="E188" s="102" t="n">
        <f aca="false">(E40*A108)*0.1*C45/100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271.345800694445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726.655745325787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2110.154</v>
      </c>
      <c r="B201" s="185" t="n">
        <f aca="false">E179+A201+B182+A185</f>
        <v>23360.14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726.655745325787</v>
      </c>
      <c r="B212" s="176" t="str">
        <f aca="false">B167</f>
        <v>0</v>
      </c>
      <c r="C212" s="173"/>
      <c r="D212" s="173"/>
      <c r="E212" s="176" t="n">
        <f aca="false">E167</f>
        <v>726.655745325787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4422.95508640254</v>
      </c>
      <c r="B224" s="102" t="str">
        <f aca="false">B182</f>
        <v>239.99</v>
      </c>
      <c r="C224" s="102"/>
      <c r="D224" s="112"/>
      <c r="E224" s="102" t="n">
        <f aca="false">E182</f>
        <v>25672.9410864025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726.655745325787</v>
      </c>
      <c r="B230" s="102" t="str">
        <f aca="false">B167</f>
        <v>0</v>
      </c>
      <c r="C230" s="185"/>
      <c r="D230" s="185"/>
      <c r="E230" s="102" t="n">
        <f aca="false">E167</f>
        <v>726.655745325787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726.655745325787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29.17872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171.354134027778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2271.34580069444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0.065</v>
      </c>
      <c r="C253" s="196"/>
      <c r="D253" s="197" t="s">
        <v>216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2322.80108640254</v>
      </c>
      <c r="C254" s="196"/>
      <c r="D254" s="197" t="s">
        <v>218</v>
      </c>
      <c r="E254" s="197"/>
      <c r="F254" s="199" t="n">
        <f aca="false">F261+F267+F269+B270+B271</f>
        <v>205.624960833333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99.9916666666667</v>
      </c>
      <c r="C255" s="196"/>
      <c r="D255" s="197" t="s">
        <v>220</v>
      </c>
      <c r="E255" s="197"/>
      <c r="F255" s="199" t="n">
        <f aca="false">(B254-F254)+B255</f>
        <v>2217.16779223588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0.115</v>
      </c>
      <c r="C260" s="42"/>
      <c r="D260" s="165" t="s">
        <v>217</v>
      </c>
      <c r="E260" s="165"/>
      <c r="F260" s="145" t="n">
        <f aca="false">B254</f>
        <v>2322.80108640254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0.00979166666666667</v>
      </c>
      <c r="C261" s="31"/>
      <c r="D261" s="165" t="s">
        <v>223</v>
      </c>
      <c r="E261" s="165"/>
      <c r="F261" s="150" t="n">
        <f aca="false">B68*1.2</f>
        <v>205.624960833333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2217.16779223588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9" colorId="64" zoomScale="85" zoomScaleNormal="85" zoomScalePageLayoutView="100" workbookViewId="0">
      <selection pane="topLeft" activeCell="A202" activeCellId="0" sqref="A20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183</v>
      </c>
      <c r="B30" s="103" t="s">
        <v>348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355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366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32.7272727272727</v>
      </c>
      <c r="C94" s="92"/>
      <c r="D94" s="92"/>
      <c r="E94" s="112"/>
      <c r="F94" s="87" t="s">
        <v>118</v>
      </c>
      <c r="G94" s="93" t="n">
        <f aca="false">IF(B26="YES",((E40/B85)*(1+A108)*(C45/100)),"0")</f>
        <v>32.7272727272727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597.293561103525</v>
      </c>
      <c r="C96" s="92"/>
      <c r="D96" s="92"/>
      <c r="E96" s="112"/>
      <c r="F96" s="96" t="s">
        <v>120</v>
      </c>
      <c r="G96" s="97" t="n">
        <f aca="false">G94+G95</f>
        <v>492.507671613885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447" t="s">
        <v>18</v>
      </c>
      <c r="F105" s="447"/>
      <c r="G105" s="447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151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151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152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152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152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154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155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155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174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174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181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181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564.566288376252</v>
      </c>
      <c r="B167" s="176" t="n">
        <f aca="false">B94</f>
        <v>32.7272727272727</v>
      </c>
      <c r="C167" s="173"/>
      <c r="D167" s="173"/>
      <c r="E167" s="176" t="n">
        <f aca="false">B96</f>
        <v>597.293561103525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179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IF(A40=0,(E167),(E170+A185))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6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193.489983333333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597.293561103525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32.7272727272727</v>
      </c>
      <c r="C212" s="173"/>
      <c r="D212" s="173"/>
      <c r="E212" s="176" t="n">
        <f aca="false">E167</f>
        <v>597.293561103525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32.7272727272727</v>
      </c>
      <c r="C230" s="185"/>
      <c r="D230" s="185"/>
      <c r="E230" s="102" t="n">
        <f aca="false">E167</f>
        <v>597.293561103525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2193.48998333333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9" t="n">
        <f aca="false">(E182-B182)-(B201-B182-A185)</f>
        <v>1162.64917213878</v>
      </c>
      <c r="C254" s="196"/>
      <c r="D254" s="197" t="s">
        <v>218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159.99</v>
      </c>
      <c r="C255" s="196"/>
      <c r="D255" s="197" t="s">
        <v>220</v>
      </c>
      <c r="E255" s="197"/>
      <c r="F255" s="199" t="n">
        <f aca="false">(B254-F254)+B255</f>
        <v>1217.63919213878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0.1305</v>
      </c>
      <c r="C260" s="42"/>
      <c r="D260" s="165" t="s">
        <v>217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0.005</v>
      </c>
      <c r="C261" s="31"/>
      <c r="D261" s="165" t="s">
        <v>223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60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1217.63919213878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202" activeCellId="0" sqref="A20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183</v>
      </c>
      <c r="B30" s="103" t="s">
        <v>348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11730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299.539129582044</v>
      </c>
      <c r="F33" s="231"/>
      <c r="G33" s="231"/>
      <c r="H33" s="46"/>
      <c r="I33" s="2"/>
      <c r="J33" s="33" t="s">
        <v>355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299.539129582044</v>
      </c>
      <c r="B36" s="231" t="str">
        <f aca="false">IF(B26="YES",K42,"0.00")</f>
        <v>0.00</v>
      </c>
      <c r="C36" s="231"/>
      <c r="D36" s="231"/>
      <c r="E36" s="231" t="n">
        <f aca="false">K31</f>
        <v>11730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1"/>
    </row>
    <row r="40" customFormat="false" ht="19.5" hidden="false" customHeight="false" outlineLevel="0" collapsed="false">
      <c r="A40" s="106" t="n">
        <f aca="false">E36*A45/100</f>
        <v>11730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7882.31662791798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366</v>
      </c>
      <c r="K45" s="2" t="n">
        <f aca="false">(K39-K44)</f>
        <v>9701.01337208203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299.539129582044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299.539129582044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4452.15254185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174.999966666667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3039.45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405.26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299.539129582044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299.539129582044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299.539129582044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299.539129582044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11730</v>
      </c>
      <c r="C82" s="92"/>
      <c r="D82" s="92"/>
      <c r="E82" s="112"/>
      <c r="F82" s="30" t="s">
        <v>107</v>
      </c>
      <c r="G82" s="32" t="n">
        <f aca="false">IF(A111="YES",A40,0)</f>
        <v>11730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11730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11730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8198.38965912775</v>
      </c>
      <c r="C86" s="92"/>
      <c r="D86" s="92"/>
      <c r="E86" s="112"/>
      <c r="F86" s="30" t="s">
        <v>111</v>
      </c>
      <c r="G86" s="32" t="n">
        <f aca="false">(G82/((1+G84)^(G85+1)))</f>
        <v>9513.956169897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7934.96785267316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7934.96785267316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12801.6063408723</v>
      </c>
      <c r="C88" s="92"/>
      <c r="D88" s="92"/>
      <c r="E88" s="112"/>
      <c r="F88" s="30" t="s">
        <v>113</v>
      </c>
      <c r="G88" s="32" t="n">
        <f aca="false">G81-G86</f>
        <v>11486.039830103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435.301748765817</v>
      </c>
      <c r="C89" s="92"/>
      <c r="D89" s="92"/>
      <c r="E89" s="112"/>
      <c r="F89" s="30" t="s">
        <v>114</v>
      </c>
      <c r="G89" s="32" t="n">
        <f aca="false">(G88/G87)</f>
        <v>363.765624720186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15235.5612068036</v>
      </c>
      <c r="C90" s="92"/>
      <c r="D90" s="92"/>
      <c r="E90" s="112"/>
      <c r="F90" s="30" t="s">
        <v>115</v>
      </c>
      <c r="G90" s="32" t="n">
        <f aca="false">((G89*(G85))+G77)</f>
        <v>12731.7968652065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15235.5612068036</v>
      </c>
      <c r="C92" s="92"/>
      <c r="D92" s="92"/>
      <c r="E92" s="112"/>
      <c r="F92" s="55" t="s">
        <v>117</v>
      </c>
      <c r="G92" s="64" t="n">
        <f aca="false">(G90+G91)</f>
        <v>12731.7968652065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435.301748765817</v>
      </c>
      <c r="C95" s="92"/>
      <c r="D95" s="92"/>
      <c r="E95" s="112"/>
      <c r="F95" s="94" t="s">
        <v>119</v>
      </c>
      <c r="G95" s="95" t="n">
        <f aca="false">G92/(G85)</f>
        <v>363.765624720186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435.301748765817</v>
      </c>
      <c r="C96" s="92"/>
      <c r="D96" s="92"/>
      <c r="E96" s="112"/>
      <c r="F96" s="96" t="s">
        <v>120</v>
      </c>
      <c r="G96" s="97" t="n">
        <f aca="false">G94+G95</f>
        <v>363.765624720186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447" t="s">
        <v>19</v>
      </c>
      <c r="F105" s="447"/>
      <c r="G105" s="447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143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151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151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152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152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152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154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155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155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174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174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181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181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435.301748765817</v>
      </c>
      <c r="B167" s="176" t="str">
        <f aca="false">B94</f>
        <v>0</v>
      </c>
      <c r="C167" s="173"/>
      <c r="D167" s="173"/>
      <c r="E167" s="176" t="n">
        <f aca="false">B96</f>
        <v>435.301748765817</v>
      </c>
      <c r="F167" s="22"/>
      <c r="G167" s="22" t="n">
        <f aca="false">ROUND(G95,2)</f>
        <v>363.77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11730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11730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11730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11730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5965.56520680359</v>
      </c>
      <c r="B182" s="102" t="str">
        <f aca="false">B114</f>
        <v>239.99</v>
      </c>
      <c r="C182" s="102"/>
      <c r="D182" s="22"/>
      <c r="E182" s="102" t="n">
        <f aca="false">E179+A182+B182+A185</f>
        <v>27215.5512068036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E170+A185</f>
        <v>11740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11750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11740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11740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(G158*B67)</f>
        <v>209.99996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309.991626666667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435.301748765817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3461.95399999999</v>
      </c>
      <c r="B201" s="185" t="n">
        <f aca="false">E179+A201+B182+A185</f>
        <v>24711.94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435.301748765817</v>
      </c>
      <c r="B212" s="176" t="str">
        <f aca="false">B167</f>
        <v>0</v>
      </c>
      <c r="C212" s="173"/>
      <c r="D212" s="173"/>
      <c r="E212" s="176" t="n">
        <f aca="false">E167</f>
        <v>435.301748765817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5965.56520680359</v>
      </c>
      <c r="B224" s="102" t="str">
        <f aca="false">B182</f>
        <v>239.99</v>
      </c>
      <c r="C224" s="102"/>
      <c r="D224" s="112"/>
      <c r="E224" s="102" t="n">
        <f aca="false">E182</f>
        <v>27215.5512068036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435.301748765817</v>
      </c>
      <c r="B230" s="102" t="str">
        <f aca="false">B167</f>
        <v>0</v>
      </c>
      <c r="C230" s="185"/>
      <c r="D230" s="185"/>
      <c r="E230" s="102" t="n">
        <f aca="false">E167</f>
        <v>435.301748765817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11730</v>
      </c>
      <c r="B233" s="102" t="n">
        <f aca="false">E185</f>
        <v>11740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174.999966666667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2274.99163333333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2513.61120680359</v>
      </c>
      <c r="C254" s="196"/>
      <c r="D254" s="197" t="s">
        <v>218</v>
      </c>
      <c r="E254" s="197"/>
      <c r="F254" s="199" t="n">
        <f aca="false">F261+F267+F269+B270+B271</f>
        <v>209.99996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99.9916666666667</v>
      </c>
      <c r="C255" s="196"/>
      <c r="D255" s="197" t="s">
        <v>220</v>
      </c>
      <c r="E255" s="197"/>
      <c r="F255" s="199" t="n">
        <f aca="false">(B254-F254)+B255</f>
        <v>2403.60291347026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</v>
      </c>
      <c r="C260" s="42"/>
      <c r="D260" s="165" t="s">
        <v>217</v>
      </c>
      <c r="E260" s="165"/>
      <c r="F260" s="145" t="n">
        <f aca="false">B254</f>
        <v>2513.61120680359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0.01</v>
      </c>
      <c r="C261" s="31"/>
      <c r="D261" s="165" t="s">
        <v>223</v>
      </c>
      <c r="E261" s="165"/>
      <c r="F261" s="150" t="n">
        <f aca="false">B68*1.2</f>
        <v>209.99996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2403.60291347026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201" activeCellId="0" sqref="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183</v>
      </c>
      <c r="B30" s="103" t="s">
        <v>348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355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366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35.4545454545455</v>
      </c>
      <c r="C94" s="92"/>
      <c r="D94" s="92"/>
      <c r="E94" s="112"/>
      <c r="F94" s="87" t="s">
        <v>118</v>
      </c>
      <c r="G94" s="93" t="n">
        <f aca="false">IF(B26="YES",((E40/B85)*(1+A108)*(C45/100)),"0")</f>
        <v>35.4545454545455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600.020833830798</v>
      </c>
      <c r="C96" s="92"/>
      <c r="D96" s="92"/>
      <c r="E96" s="112"/>
      <c r="F96" s="96" t="s">
        <v>120</v>
      </c>
      <c r="G96" s="97" t="n">
        <f aca="false">G94+G95</f>
        <v>495.234944341158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447" t="s">
        <v>18</v>
      </c>
      <c r="F105" s="447"/>
      <c r="G105" s="447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151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151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152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152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152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154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155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155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174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174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181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181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564.566288376252</v>
      </c>
      <c r="B167" s="176" t="n">
        <f aca="false">B94</f>
        <v>35.4545454545455</v>
      </c>
      <c r="C167" s="173"/>
      <c r="D167" s="173"/>
      <c r="E167" s="176" t="n">
        <f aca="false">B96</f>
        <v>600.020833830798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228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E170+A185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9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196.489983333333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600.020833830798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35.4545454545455</v>
      </c>
      <c r="C212" s="173"/>
      <c r="D212" s="173"/>
      <c r="E212" s="176" t="n">
        <f aca="false">E167</f>
        <v>600.020833830798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35.4545454545455</v>
      </c>
      <c r="C230" s="185"/>
      <c r="D230" s="185"/>
      <c r="E230" s="102" t="n">
        <f aca="false">E167</f>
        <v>600.020833830798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2196.48998333333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1162.64917213878</v>
      </c>
      <c r="C254" s="196"/>
      <c r="D254" s="197" t="s">
        <v>218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189.99</v>
      </c>
      <c r="C255" s="196"/>
      <c r="D255" s="197" t="s">
        <v>220</v>
      </c>
      <c r="E255" s="197"/>
      <c r="F255" s="199" t="n">
        <f aca="false">(B254-F254)+B255</f>
        <v>1247.63919213878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0.1305</v>
      </c>
      <c r="C260" s="42"/>
      <c r="D260" s="165" t="s">
        <v>217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0.005</v>
      </c>
      <c r="C261" s="31"/>
      <c r="D261" s="165" t="s">
        <v>223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0.3</v>
      </c>
      <c r="C262" s="31"/>
      <c r="D262" s="165" t="s">
        <v>224</v>
      </c>
      <c r="E262" s="165"/>
      <c r="F262" s="145" t="n">
        <f aca="false">E240*10</f>
        <v>90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1247.63919213878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353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128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182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183</v>
      </c>
      <c r="B30" s="171" t="s">
        <v>348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354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552.861519485774</v>
      </c>
      <c r="E33" s="215"/>
      <c r="F33" s="62"/>
      <c r="G33" s="218" t="s">
        <v>355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371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356</v>
      </c>
      <c r="B35" s="214" t="s">
        <v>357</v>
      </c>
      <c r="C35" s="214"/>
      <c r="D35" s="214" t="s">
        <v>358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552.861519485774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359</v>
      </c>
      <c r="B39" s="214" t="s">
        <v>360</v>
      </c>
      <c r="C39" s="214"/>
      <c r="D39" s="214" t="s">
        <v>361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-26942.5795313712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362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363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364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372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373</v>
      </c>
      <c r="H45" s="237" t="n">
        <f aca="false">(H39-H44)</f>
        <v>17583.33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374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368</v>
      </c>
      <c r="H47" s="237" t="n">
        <f aca="false">H45/H46</f>
        <v>552.861519485774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369</v>
      </c>
      <c r="H48" s="237" t="n">
        <f aca="false">IF(B26="YES",H47+H42,H47)</f>
        <v>552.861519485774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370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552.861519485774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375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291" t="s">
        <v>277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278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223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413.208255</v>
      </c>
      <c r="C67" s="464" t="s">
        <v>223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229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0</v>
      </c>
      <c r="C74" s="214"/>
      <c r="D74" s="214"/>
      <c r="E74" s="215"/>
      <c r="F74" s="62"/>
      <c r="G74" s="291" t="s">
        <v>279</v>
      </c>
      <c r="H74" s="297" t="n">
        <v>165</v>
      </c>
      <c r="I74" s="214"/>
      <c r="J74" s="214"/>
      <c r="K74" s="215"/>
      <c r="L74" s="62"/>
      <c r="M74" s="427" t="s">
        <v>279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/>
      <c r="D75" s="214"/>
      <c r="E75" s="215"/>
      <c r="F75" s="62"/>
      <c r="G75" s="294" t="s">
        <v>280</v>
      </c>
      <c r="H75" s="298" t="n">
        <v>0</v>
      </c>
      <c r="I75" s="214"/>
      <c r="J75" s="214"/>
      <c r="K75" s="215"/>
      <c r="L75" s="62"/>
      <c r="M75" s="429" t="s">
        <v>280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281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282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282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282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283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283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11441.6666666667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326.904761904762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552.861519485774</v>
      </c>
      <c r="C83" s="469"/>
      <c r="D83" s="214"/>
      <c r="E83" s="462" t="n">
        <f aca="false">B83+E80+E77+E64</f>
        <v>873.41707504133</v>
      </c>
      <c r="F83" s="62"/>
      <c r="G83" s="304" t="s">
        <v>105</v>
      </c>
      <c r="H83" s="305" t="n">
        <f aca="false">H47</f>
        <v>552.861519485774</v>
      </c>
      <c r="I83" s="214"/>
      <c r="J83" s="214"/>
      <c r="K83" s="215"/>
      <c r="L83" s="62"/>
      <c r="M83" s="304" t="s">
        <v>105</v>
      </c>
      <c r="N83" s="305" t="n">
        <f aca="false">H47</f>
        <v>552.861519485774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30791.8198486688</v>
      </c>
      <c r="C85" s="469"/>
      <c r="D85" s="469"/>
      <c r="E85" s="462" t="n">
        <f aca="false">B85/(B58+B57)</f>
        <v>879.766281390536</v>
      </c>
      <c r="F85" s="62"/>
      <c r="G85" s="287" t="s">
        <v>115</v>
      </c>
      <c r="H85" s="130" t="n">
        <f aca="false">((H83*H29)+H81)*1.2</f>
        <v>24477.1838184025</v>
      </c>
      <c r="I85" s="214"/>
      <c r="J85" s="214"/>
      <c r="K85" s="215"/>
      <c r="L85" s="62"/>
      <c r="M85" s="287" t="s">
        <v>115</v>
      </c>
      <c r="N85" s="130" t="n">
        <f aca="false">((N83*H29)+N81)</f>
        <v>20067.6531820021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260.842362574443</v>
      </c>
      <c r="C86" s="469" t="s">
        <v>232</v>
      </c>
      <c r="D86" s="214"/>
      <c r="E86" s="462" t="n">
        <f aca="false">B86/(B58+B57)</f>
        <v>7.45263893069837</v>
      </c>
      <c r="F86" s="62"/>
      <c r="G86" s="213" t="s">
        <v>116</v>
      </c>
      <c r="H86" s="299" t="n">
        <f aca="false">((((H83*H29)+H81))/(1-H70))*H70</f>
        <v>172.791737322325</v>
      </c>
      <c r="I86" s="214"/>
      <c r="J86" s="214"/>
      <c r="K86" s="215"/>
      <c r="L86" s="62"/>
      <c r="M86" s="213" t="s">
        <v>116</v>
      </c>
      <c r="N86" s="299" t="n">
        <f aca="false">(N85/(1-N70))*N70</f>
        <v>169.996255273112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31052.6622112432</v>
      </c>
      <c r="C87" s="469"/>
      <c r="D87" s="471"/>
      <c r="E87" s="462" t="n">
        <f aca="false">E86+E85</f>
        <v>887.218920321235</v>
      </c>
      <c r="F87" s="62"/>
      <c r="G87" s="284" t="s">
        <v>117</v>
      </c>
      <c r="H87" s="132" t="n">
        <f aca="false">IF(H110="YES",((H85+H86)-K114),(H85+H86))</f>
        <v>24649.9755557248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20237.6494372752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887.218920321235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616.249388893121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505.94123593188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887.218920321235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616.249388893121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505.94123593188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212" t="s">
        <v>341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376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216" t="s">
        <v>126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130</v>
      </c>
      <c r="Z97" s="62"/>
      <c r="AC97" s="385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213" t="s">
        <v>127</v>
      </c>
      <c r="N98" s="214" t="s">
        <v>23</v>
      </c>
      <c r="O98" s="214"/>
      <c r="P98" s="214" t="s">
        <v>285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1000</v>
      </c>
      <c r="E99" s="106"/>
      <c r="F99" s="62"/>
      <c r="G99" s="219" t="s">
        <v>286</v>
      </c>
      <c r="H99" s="311" t="s">
        <v>265</v>
      </c>
      <c r="I99" s="311"/>
      <c r="J99" s="106" t="n">
        <v>0</v>
      </c>
      <c r="K99" s="106"/>
      <c r="L99" s="62"/>
      <c r="M99" s="219" t="s">
        <v>286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377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213" t="s">
        <v>287</v>
      </c>
      <c r="N101" s="214" t="s">
        <v>288</v>
      </c>
      <c r="O101" s="214"/>
      <c r="P101" s="214" t="s">
        <v>289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267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268</v>
      </c>
      <c r="Z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219" t="s">
        <v>128</v>
      </c>
      <c r="N104" s="62" t="s">
        <v>131</v>
      </c>
      <c r="O104" s="214"/>
      <c r="P104" s="214" t="s">
        <v>142</v>
      </c>
      <c r="Q104" s="215"/>
      <c r="R104" s="62"/>
      <c r="S104" s="62"/>
      <c r="T104" s="62"/>
      <c r="U104" s="62"/>
      <c r="V104" s="62"/>
      <c r="W104" s="62"/>
      <c r="X104" s="62"/>
      <c r="Y104" s="62" t="s">
        <v>269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270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342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216" t="s">
        <v>290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213" t="s">
        <v>291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</v>
      </c>
      <c r="E112" s="106" t="n">
        <v>6000</v>
      </c>
      <c r="F112" s="62"/>
      <c r="G112" s="213" t="s">
        <v>176</v>
      </c>
      <c r="H112" s="214"/>
      <c r="I112" s="214"/>
      <c r="J112" s="312" t="n">
        <v>0</v>
      </c>
      <c r="K112" s="106" t="n">
        <v>0</v>
      </c>
      <c r="L112" s="62"/>
      <c r="M112" s="213" t="s">
        <v>176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177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177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178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0</v>
      </c>
      <c r="K115" s="215"/>
      <c r="L115" s="62"/>
      <c r="M115" s="213" t="s">
        <v>179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287" t="s">
        <v>138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292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292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216" t="s">
        <v>293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213" t="s">
        <v>183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296</v>
      </c>
      <c r="H126" s="327" t="s">
        <v>297</v>
      </c>
      <c r="I126" s="327"/>
      <c r="J126" s="327" t="s">
        <v>298</v>
      </c>
      <c r="K126" s="215"/>
      <c r="L126" s="62"/>
      <c r="M126" s="326" t="s">
        <v>343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332" t="n">
        <f aca="false">H90</f>
        <v>616.249388893121</v>
      </c>
      <c r="H127" s="176" t="n">
        <f aca="false">IF(G105="YES",H89*H57,0)</f>
        <v>0</v>
      </c>
      <c r="I127" s="176"/>
      <c r="J127" s="333" t="n">
        <f aca="false">H91</f>
        <v>616.249388893121</v>
      </c>
      <c r="K127" s="215"/>
      <c r="L127" s="62"/>
      <c r="M127" s="332" t="n">
        <f aca="false">N90</f>
        <v>505.94123593188</v>
      </c>
      <c r="N127" s="176" t="n">
        <f aca="false">IF(M105="YES",N89*N57,0)</f>
        <v>0</v>
      </c>
      <c r="O127" s="176"/>
      <c r="P127" s="176" t="n">
        <f aca="false">N91</f>
        <v>505.94123593188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887.218920321235</v>
      </c>
      <c r="B128" s="320" t="n">
        <f aca="false">IF(A105="YES",B89,0)</f>
        <v>0</v>
      </c>
      <c r="C128" s="324"/>
      <c r="D128" s="320" t="n">
        <f aca="false">B91</f>
        <v>887.218920321235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887.218920321235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213" t="s">
        <v>344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3697.49633335873</v>
      </c>
      <c r="H133" s="102" t="n">
        <f aca="false">IF(G105="YES",H89*H57,0)</f>
        <v>0</v>
      </c>
      <c r="I133" s="220"/>
      <c r="J133" s="183" t="n">
        <f aca="false">H91*H57</f>
        <v>3697.49633335873</v>
      </c>
      <c r="K133" s="215"/>
      <c r="L133" s="62"/>
      <c r="M133" s="184" t="n">
        <f aca="false">N90*N57</f>
        <v>3035.64741559128</v>
      </c>
      <c r="N133" s="102" t="n">
        <f aca="false">IF(M105="YES",N89*N57,0)</f>
        <v>0</v>
      </c>
      <c r="O133" s="220"/>
      <c r="P133" s="183" t="n">
        <f aca="false">N91*N57</f>
        <v>3035.64741559128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887.218920321235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887.218920321235</v>
      </c>
      <c r="B137" s="37" t="n">
        <f aca="false">IF(A105="YES",B89,0)</f>
        <v>0</v>
      </c>
      <c r="C137" s="316"/>
      <c r="D137" s="37" t="n">
        <f aca="false">B91</f>
        <v>887.218920321235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213" t="s">
        <v>141</v>
      </c>
      <c r="N138" s="214" t="s">
        <v>310</v>
      </c>
      <c r="O138" s="214"/>
      <c r="P138" s="214" t="s">
        <v>311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213" t="s">
        <v>313</v>
      </c>
      <c r="N141" s="214" t="s">
        <v>314</v>
      </c>
      <c r="O141" s="214"/>
      <c r="P141" s="214" t="s">
        <v>315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213" t="s">
        <v>317</v>
      </c>
      <c r="N144" s="214" t="s">
        <v>318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345</v>
      </c>
      <c r="N147" s="165" t="s">
        <v>346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413.208255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913.198255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323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616.249388893121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505.94123593188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887.218920321235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378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887.218920321235</v>
      </c>
      <c r="B177" s="354" t="n">
        <f aca="false">IF(A105="YES",B89,0)</f>
        <v>0</v>
      </c>
      <c r="C177" s="356"/>
      <c r="D177" s="354" t="n">
        <f aca="false">B91</f>
        <v>887.218920321235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887.218920321235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887.218920321235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887.218920321235</v>
      </c>
      <c r="B186" s="102" t="n">
        <f aca="false">IF(A105="YES",B89,0)</f>
        <v>0</v>
      </c>
      <c r="C186" s="352"/>
      <c r="D186" s="102" t="n">
        <f aca="false">B91</f>
        <v>887.218920321235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413.208255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913.198255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413.208255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9926.781745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D64</f>
        <v>10000</v>
      </c>
      <c r="C217" s="373" t="s">
        <v>223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B67</f>
        <v>413.208255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(B77-(B77*(E219*100)))*0.1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B78-(B78*(E219*100))</f>
        <v>200</v>
      </c>
      <c r="C223" s="335" t="s">
        <v>220</v>
      </c>
      <c r="D223" s="316"/>
      <c r="E223" s="32" t="n">
        <f aca="false">(B217-B211+D211)</f>
        <v>9926.781745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B71</f>
        <v>200</v>
      </c>
      <c r="C229" s="335" t="s">
        <v>228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B68</f>
        <v>0.0075</v>
      </c>
      <c r="C231" s="335" t="s">
        <v>231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B86</f>
        <v>260.842362574443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B79</f>
        <v>200</v>
      </c>
      <c r="C233" s="379" t="s">
        <v>330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B80</f>
        <v>200</v>
      </c>
      <c r="C235" s="383" t="s">
        <v>331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353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128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182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12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183</v>
      </c>
      <c r="B30" s="171" t="s">
        <v>348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15450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354</v>
      </c>
      <c r="E32" s="215"/>
      <c r="F32" s="62"/>
      <c r="G32" s="217" t="s">
        <v>36</v>
      </c>
      <c r="I32" s="445" t="n">
        <v>1040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12</v>
      </c>
      <c r="B33" s="228" t="n">
        <v>10000</v>
      </c>
      <c r="C33" s="229"/>
      <c r="D33" s="455" t="n">
        <f aca="false">H48</f>
        <v>1232.66338128253</v>
      </c>
      <c r="E33" s="215"/>
      <c r="F33" s="62"/>
      <c r="G33" s="218" t="s">
        <v>355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371</v>
      </c>
      <c r="H34" s="62" t="n">
        <f aca="false">H29</f>
        <v>12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356</v>
      </c>
      <c r="B35" s="214" t="s">
        <v>357</v>
      </c>
      <c r="C35" s="214"/>
      <c r="D35" s="214" t="s">
        <v>358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1206.66338128253</v>
      </c>
      <c r="B36" s="102" t="n">
        <f aca="false">IF(B26="YES",H42,"")</f>
        <v>26</v>
      </c>
      <c r="C36" s="220"/>
      <c r="D36" s="183" t="n">
        <f aca="false">H31</f>
        <v>15450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359</v>
      </c>
      <c r="B39" s="214" t="s">
        <v>360</v>
      </c>
      <c r="C39" s="214"/>
      <c r="D39" s="214" t="s">
        <v>361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19522.4211536279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4635</v>
      </c>
      <c r="B40" s="106" t="n">
        <f aca="false">IF(B26="YES",H42,"0")</f>
        <v>26</v>
      </c>
      <c r="C40" s="106"/>
      <c r="D40" s="183" t="n">
        <f aca="false">I32</f>
        <v>1040</v>
      </c>
      <c r="E40" s="215"/>
      <c r="F40" s="62"/>
      <c r="G40" s="62" t="s">
        <v>107</v>
      </c>
      <c r="H40" s="237" t="n">
        <f aca="false">A40/1.2</f>
        <v>3862.5</v>
      </c>
      <c r="I40" s="237" t="n">
        <f aca="false">H39-I39</f>
        <v>-1939.09115362792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362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363</v>
      </c>
      <c r="H42" s="237" t="n">
        <f aca="false">(I32/H34)*(C45/100)</f>
        <v>26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364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372</v>
      </c>
      <c r="H44" s="237" t="n">
        <f aca="false">(H40/(1+H41)^(H34+1))</f>
        <v>3600.55500439506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373</v>
      </c>
      <c r="H45" s="237" t="n">
        <f aca="false">(H39-H44)</f>
        <v>13982.7749956049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374</v>
      </c>
      <c r="H46" s="237" t="n">
        <f aca="false">((1-(1/((1+H41)^H34)))/H41)</f>
        <v>11.5879666297182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368</v>
      </c>
      <c r="H47" s="237" t="n">
        <f aca="false">H45/H46</f>
        <v>1206.66338128253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369</v>
      </c>
      <c r="H48" s="237" t="n">
        <f aca="false">IF(B26="YES",H47+H42,H47)</f>
        <v>1232.66338128253</v>
      </c>
      <c r="I48" s="237" t="n">
        <f aca="false">I49-H42</f>
        <v>1374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370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H48</f>
        <v>1232.66338128253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11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11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375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291" t="s">
        <v>277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B62+(B62*0.25*((H29/12)-1))</f>
        <v>0.07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0.07</v>
      </c>
      <c r="I63" s="214"/>
      <c r="J63" s="214"/>
      <c r="K63" s="215"/>
      <c r="L63" s="62"/>
      <c r="M63" s="213" t="s">
        <v>278</v>
      </c>
      <c r="N63" s="293" t="n">
        <f aca="false">N62+(N62*0.25*(H29/12-1))</f>
        <v>0.07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461" t="n">
        <v>10000</v>
      </c>
      <c r="D64" s="290" t="n">
        <f aca="false">B64</f>
        <v>1476.99972</v>
      </c>
      <c r="E64" s="462" t="n">
        <f aca="false">D64/(B58+B57)</f>
        <v>123.08331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463" t="s">
        <v>223</v>
      </c>
      <c r="D66" s="214"/>
      <c r="E66" s="215"/>
      <c r="F66" s="62"/>
      <c r="G66" s="213" t="s">
        <v>93</v>
      </c>
      <c r="H66" s="293" t="n">
        <f aca="false">H65+(H65*0.5*(H29/12-1))</f>
        <v>0.01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464" t="s">
        <v>223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468" t="n">
        <f aca="false">B73+B71</f>
        <v>260</v>
      </c>
      <c r="E73" s="215" t="s">
        <v>229</v>
      </c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284" t="s">
        <v>100</v>
      </c>
      <c r="N73" s="132" t="n">
        <f aca="false">N72*H29</f>
        <v>54</v>
      </c>
      <c r="O73" s="214"/>
      <c r="P73" s="290" t="n">
        <f aca="false">N73+N71</f>
        <v>214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275</v>
      </c>
      <c r="C74" s="214"/>
      <c r="D74" s="214"/>
      <c r="E74" s="215"/>
      <c r="F74" s="62"/>
      <c r="G74" s="291" t="s">
        <v>279</v>
      </c>
      <c r="H74" s="297" t="n">
        <v>165</v>
      </c>
      <c r="I74" s="214"/>
      <c r="J74" s="214"/>
      <c r="K74" s="215"/>
      <c r="L74" s="62"/>
      <c r="M74" s="427" t="s">
        <v>279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/>
      <c r="D75" s="214"/>
      <c r="E75" s="215"/>
      <c r="F75" s="62"/>
      <c r="G75" s="294" t="s">
        <v>280</v>
      </c>
      <c r="H75" s="298" t="n">
        <v>0</v>
      </c>
      <c r="I75" s="214"/>
      <c r="J75" s="214"/>
      <c r="K75" s="215"/>
      <c r="L75" s="62"/>
      <c r="M75" s="429" t="s">
        <v>280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((B74+B75)/12)*(H29+1)</f>
        <v>297.916666666667</v>
      </c>
      <c r="C76" s="214"/>
      <c r="D76" s="290" t="n">
        <f aca="false">B76</f>
        <v>297.916666666667</v>
      </c>
      <c r="E76" s="215"/>
      <c r="F76" s="62"/>
      <c r="G76" s="284" t="s">
        <v>281</v>
      </c>
      <c r="H76" s="132" t="n">
        <f aca="false">((H74+H75)/12)*(H29-11)</f>
        <v>13.75</v>
      </c>
      <c r="I76" s="214"/>
      <c r="J76" s="290" t="n">
        <f aca="false">H76</f>
        <v>13.75</v>
      </c>
      <c r="K76" s="215"/>
      <c r="L76" s="62"/>
      <c r="M76" s="431" t="s">
        <v>281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282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282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282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283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283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79.8263888888889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2434.91638666667</v>
      </c>
      <c r="C81" s="469"/>
      <c r="D81" s="470"/>
      <c r="E81" s="462"/>
      <c r="F81" s="62"/>
      <c r="G81" s="302" t="s">
        <v>103</v>
      </c>
      <c r="H81" s="303" t="n">
        <f aca="false">SUM(J64:J80)</f>
        <v>627.75</v>
      </c>
      <c r="I81" s="214"/>
      <c r="J81" s="214"/>
      <c r="K81" s="215"/>
      <c r="L81" s="62"/>
      <c r="M81" s="302" t="s">
        <v>103</v>
      </c>
      <c r="N81" s="303" t="n">
        <f aca="false">SUM(P64:P80)</f>
        <v>614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202.909698888889</v>
      </c>
      <c r="C82" s="469"/>
      <c r="D82" s="214"/>
      <c r="E82" s="462"/>
      <c r="F82" s="62"/>
      <c r="G82" s="213" t="s">
        <v>104</v>
      </c>
      <c r="H82" s="299" t="n">
        <f aca="false">H81/H29</f>
        <v>52.3125</v>
      </c>
      <c r="I82" s="214"/>
      <c r="J82" s="214"/>
      <c r="K82" s="215"/>
      <c r="L82" s="62"/>
      <c r="M82" s="213" t="s">
        <v>104</v>
      </c>
      <c r="N82" s="299" t="n">
        <f aca="false">N81/H29</f>
        <v>51.1666666666667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1206.66338128253</v>
      </c>
      <c r="C83" s="469"/>
      <c r="D83" s="214"/>
      <c r="E83" s="462" t="n">
        <f aca="false">B83+E80+E77+E64</f>
        <v>1409.57308017142</v>
      </c>
      <c r="F83" s="62"/>
      <c r="G83" s="304" t="s">
        <v>105</v>
      </c>
      <c r="H83" s="305" t="n">
        <f aca="false">H47</f>
        <v>1206.66338128253</v>
      </c>
      <c r="I83" s="214"/>
      <c r="J83" s="214"/>
      <c r="K83" s="215"/>
      <c r="L83" s="62"/>
      <c r="M83" s="304" t="s">
        <v>105</v>
      </c>
      <c r="N83" s="305" t="n">
        <f aca="false">H47</f>
        <v>1206.66338128253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20297.8523544684</v>
      </c>
      <c r="C85" s="469"/>
      <c r="D85" s="469"/>
      <c r="E85" s="462" t="n">
        <f aca="false">B85/(B58+B57)</f>
        <v>1691.4876962057</v>
      </c>
      <c r="F85" s="62"/>
      <c r="G85" s="287" t="s">
        <v>115</v>
      </c>
      <c r="H85" s="130" t="n">
        <f aca="false">((H83*H29)+H81)*1.2</f>
        <v>18129.2526904684</v>
      </c>
      <c r="I85" s="214"/>
      <c r="J85" s="214"/>
      <c r="K85" s="215"/>
      <c r="L85" s="62"/>
      <c r="M85" s="287" t="s">
        <v>115</v>
      </c>
      <c r="N85" s="130" t="n">
        <f aca="false">((N83*H29)+N81)</f>
        <v>15093.9605753904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143.288590642678</v>
      </c>
      <c r="C86" s="469" t="s">
        <v>232</v>
      </c>
      <c r="D86" s="214"/>
      <c r="E86" s="462" t="n">
        <f aca="false">B86/(B58+B57)</f>
        <v>11.9407158868898</v>
      </c>
      <c r="F86" s="62"/>
      <c r="G86" s="213" t="s">
        <v>116</v>
      </c>
      <c r="H86" s="299" t="n">
        <f aca="false">((((H83*H29)+H81))/(1-H70))*H70</f>
        <v>127.979799146106</v>
      </c>
      <c r="I86" s="214"/>
      <c r="J86" s="214"/>
      <c r="K86" s="215"/>
      <c r="L86" s="62"/>
      <c r="M86" s="213" t="s">
        <v>116</v>
      </c>
      <c r="N86" s="299" t="n">
        <f aca="false">(N85/(1-N70))*N70</f>
        <v>127.863320727389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20441.1409451111</v>
      </c>
      <c r="C87" s="469"/>
      <c r="D87" s="471"/>
      <c r="E87" s="462" t="n">
        <f aca="false">E86+E85</f>
        <v>1703.42841209259</v>
      </c>
      <c r="F87" s="62"/>
      <c r="G87" s="284" t="s">
        <v>117</v>
      </c>
      <c r="H87" s="132" t="n">
        <f aca="false">IF(H110="YES",((H85+H86)-K114),(H85+H86))</f>
        <v>18257.2324896146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15221.8238961178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37.44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88.0941176470588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73.4117647058824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1703.42841209259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1073.95485233027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895.401405653986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1740.86841209259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1162.04896997733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968.813170359868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212" t="s">
        <v>341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376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216" t="s">
        <v>126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130</v>
      </c>
      <c r="Z97" s="62"/>
      <c r="AC97" s="385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213" t="s">
        <v>127</v>
      </c>
      <c r="N98" s="214" t="s">
        <v>23</v>
      </c>
      <c r="O98" s="214"/>
      <c r="P98" s="214" t="s">
        <v>285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0</v>
      </c>
      <c r="E99" s="106"/>
      <c r="F99" s="62"/>
      <c r="G99" s="219" t="s">
        <v>286</v>
      </c>
      <c r="H99" s="311" t="s">
        <v>265</v>
      </c>
      <c r="I99" s="311"/>
      <c r="J99" s="106" t="n">
        <v>0</v>
      </c>
      <c r="K99" s="106"/>
      <c r="L99" s="62"/>
      <c r="M99" s="219" t="s">
        <v>286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377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213" t="s">
        <v>287</v>
      </c>
      <c r="N101" s="214" t="s">
        <v>288</v>
      </c>
      <c r="O101" s="214"/>
      <c r="P101" s="214" t="s">
        <v>289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267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268</v>
      </c>
      <c r="Z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219" t="s">
        <v>128</v>
      </c>
      <c r="N104" s="62" t="s">
        <v>131</v>
      </c>
      <c r="O104" s="214"/>
      <c r="P104" s="214" t="s">
        <v>142</v>
      </c>
      <c r="Q104" s="215"/>
      <c r="R104" s="62"/>
      <c r="S104" s="62"/>
      <c r="T104" s="62"/>
      <c r="U104" s="62"/>
      <c r="V104" s="62"/>
      <c r="W104" s="62"/>
      <c r="X104" s="62"/>
      <c r="Y104" s="62" t="s">
        <v>269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270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342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216" t="s">
        <v>290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213" t="s">
        <v>291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</v>
      </c>
      <c r="E112" s="106" t="n">
        <v>0</v>
      </c>
      <c r="F112" s="62"/>
      <c r="G112" s="213" t="s">
        <v>176</v>
      </c>
      <c r="H112" s="214"/>
      <c r="I112" s="214"/>
      <c r="J112" s="312" t="n">
        <v>0</v>
      </c>
      <c r="K112" s="106" t="n">
        <v>0</v>
      </c>
      <c r="L112" s="62"/>
      <c r="M112" s="213" t="s">
        <v>176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177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177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178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178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0</v>
      </c>
      <c r="E115" s="215"/>
      <c r="F115" s="62"/>
      <c r="G115" s="213" t="s">
        <v>179</v>
      </c>
      <c r="H115" s="214"/>
      <c r="I115" s="214"/>
      <c r="J115" s="165" t="n">
        <f aca="false">J114-K114</f>
        <v>0</v>
      </c>
      <c r="K115" s="215"/>
      <c r="L115" s="62"/>
      <c r="M115" s="213" t="s">
        <v>179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287" t="s">
        <v>138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(E118)+E117-E114</f>
        <v>239.99</v>
      </c>
      <c r="F119" s="62"/>
      <c r="G119" s="314" t="s">
        <v>292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292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216" t="s">
        <v>293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213" t="s">
        <v>183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296</v>
      </c>
      <c r="H126" s="327" t="s">
        <v>297</v>
      </c>
      <c r="I126" s="327"/>
      <c r="J126" s="327" t="s">
        <v>298</v>
      </c>
      <c r="K126" s="215"/>
      <c r="L126" s="62"/>
      <c r="M126" s="326" t="s">
        <v>343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332" t="n">
        <f aca="false">H90</f>
        <v>1073.95485233027</v>
      </c>
      <c r="H127" s="176" t="n">
        <f aca="false">IF(G105="YES",H89*H57,0)</f>
        <v>528.564705882353</v>
      </c>
      <c r="I127" s="176"/>
      <c r="J127" s="333" t="n">
        <f aca="false">H91</f>
        <v>1162.04896997733</v>
      </c>
      <c r="K127" s="215"/>
      <c r="L127" s="62"/>
      <c r="M127" s="332" t="n">
        <f aca="false">N90</f>
        <v>895.401405653986</v>
      </c>
      <c r="N127" s="176" t="n">
        <f aca="false">IF(M105="YES",N89*N57,0)</f>
        <v>440.470588235294</v>
      </c>
      <c r="O127" s="176"/>
      <c r="P127" s="176" t="n">
        <f aca="false">N91</f>
        <v>968.813170359868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1703.42841209259</v>
      </c>
      <c r="B128" s="320" t="n">
        <f aca="false">IF(A105="YES",B89,0)</f>
        <v>37.44</v>
      </c>
      <c r="C128" s="324"/>
      <c r="D128" s="320" t="n">
        <f aca="false">B91</f>
        <v>1740.86841209259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227" t="n">
        <f aca="false">G152</f>
        <v>12</v>
      </c>
      <c r="H130" s="228" t="n">
        <f aca="false">B151</f>
        <v>0</v>
      </c>
      <c r="I130" s="229"/>
      <c r="J130" s="228" t="n">
        <f aca="false">B58</f>
        <v>11</v>
      </c>
      <c r="K130" s="215"/>
      <c r="L130" s="62"/>
      <c r="M130" s="227" t="n">
        <f aca="false">M155</f>
        <v>12</v>
      </c>
      <c r="N130" s="228" t="n">
        <f aca="false">B151</f>
        <v>0</v>
      </c>
      <c r="O130" s="229"/>
      <c r="P130" s="228" t="n">
        <f aca="false">B58</f>
        <v>11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1703.42841209259</v>
      </c>
      <c r="C131" s="316"/>
      <c r="D131" s="37" t="n">
        <f aca="false">IF(A105="YES",B89*B57,0)</f>
        <v>37.44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213" t="s">
        <v>344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6443.72911398161</v>
      </c>
      <c r="H133" s="102" t="n">
        <f aca="false">IF(G105="YES",H89*H57,0)</f>
        <v>528.564705882353</v>
      </c>
      <c r="I133" s="220"/>
      <c r="J133" s="183" t="n">
        <f aca="false">H91*H57</f>
        <v>6972.29381986396</v>
      </c>
      <c r="K133" s="215"/>
      <c r="L133" s="62"/>
      <c r="M133" s="184" t="n">
        <f aca="false">N90*N57</f>
        <v>5372.40843392392</v>
      </c>
      <c r="N133" s="102" t="n">
        <f aca="false">IF(M105="YES",N89*N57,0)</f>
        <v>440.470588235294</v>
      </c>
      <c r="O133" s="220"/>
      <c r="P133" s="183" t="n">
        <f aca="false">N91*N57</f>
        <v>5812.87902215921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1740.86841209259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1703.42841209259</v>
      </c>
      <c r="B137" s="37" t="n">
        <f aca="false">IF(A105="YES",B89,0)</f>
        <v>37.44</v>
      </c>
      <c r="C137" s="316"/>
      <c r="D137" s="37" t="n">
        <f aca="false">B91</f>
        <v>1740.86841209259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213" t="s">
        <v>141</v>
      </c>
      <c r="N138" s="214" t="s">
        <v>310</v>
      </c>
      <c r="O138" s="214"/>
      <c r="P138" s="214" t="s">
        <v>311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213" t="s">
        <v>313</v>
      </c>
      <c r="N141" s="214" t="s">
        <v>314</v>
      </c>
      <c r="O141" s="214"/>
      <c r="P141" s="214" t="s">
        <v>315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IF(G105="YES",((B36*H105)*0.1)*(G130),0)</f>
        <v>6.24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6.24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213" t="s">
        <v>317</v>
      </c>
      <c r="N144" s="214" t="s">
        <v>318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345</v>
      </c>
      <c r="N147" s="165" t="s">
        <v>346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102" t="n">
        <f aca="false">B102</f>
        <v>0</v>
      </c>
      <c r="C148" s="37"/>
      <c r="D148" s="37" t="n">
        <f aca="false">IF(A105="YES",(B40*B105)*B125,0)*0.1</f>
        <v>6.24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317.231626666667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323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1162.04896997733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12</v>
      </c>
      <c r="N155" s="73" t="n">
        <f aca="false">N91</f>
        <v>968.813170359868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1740.86841209259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2"/>
      <c r="G174" s="384" t="s">
        <v>378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1703.42841209259</v>
      </c>
      <c r="B177" s="354" t="n">
        <f aca="false">IF(A105="YES",B89,0)</f>
        <v>37.44</v>
      </c>
      <c r="C177" s="356"/>
      <c r="D177" s="354" t="n">
        <f aca="false">B91</f>
        <v>1740.86841209259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1703.42841209259</v>
      </c>
      <c r="C180" s="352"/>
      <c r="D180" s="102" t="n">
        <f aca="false">IF(A105="YES",B89*B57,0)</f>
        <v>37.44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1740.86841209259</v>
      </c>
      <c r="B183" s="102" t="n">
        <f aca="false">E114</f>
        <v>0</v>
      </c>
      <c r="C183" s="352"/>
      <c r="D183" s="360" t="n">
        <f aca="false">B58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1703.42841209259</v>
      </c>
      <c r="B186" s="102" t="n">
        <f aca="false">IF(A105="YES",B89,0)</f>
        <v>37.44</v>
      </c>
      <c r="C186" s="352"/>
      <c r="D186" s="102" t="n">
        <f aca="false">B91</f>
        <v>1740.86841209259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210.99996</v>
      </c>
      <c r="B197" s="102" t="n">
        <f aca="false">B102</f>
        <v>0</v>
      </c>
      <c r="C197" s="102"/>
      <c r="D197" s="102" t="n">
        <f aca="false">IF(A105="YES",(B40*B105)*B125,0)*0.1</f>
        <v>6.24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317.231626666667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D64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210.99996</v>
      </c>
      <c r="C211" s="319" t="s">
        <v>219</v>
      </c>
      <c r="D211" s="369" t="n">
        <f aca="false">B225+E221+B221+B223</f>
        <v>162.391666666667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1428.39142666667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D64</f>
        <v>1476.99972</v>
      </c>
      <c r="C217" s="373" t="s">
        <v>223</v>
      </c>
      <c r="D217" s="316"/>
      <c r="E217" s="374" t="n">
        <f aca="false">B66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B67</f>
        <v>210.99996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(B77-(B77*(E219*100)))*0.1</f>
        <v>0</v>
      </c>
      <c r="C221" s="335" t="s">
        <v>225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B78-(B78*(E219*100))</f>
        <v>0</v>
      </c>
      <c r="C223" s="335" t="s">
        <v>220</v>
      </c>
      <c r="D223" s="316"/>
      <c r="E223" s="32" t="n">
        <f aca="false">(B217-B211+D211)</f>
        <v>1428.39142666667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62.4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B71</f>
        <v>200</v>
      </c>
      <c r="C229" s="335" t="s">
        <v>228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D73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B68</f>
        <v>0.0075</v>
      </c>
      <c r="C231" s="335" t="s">
        <v>231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B86</f>
        <v>143.288590642678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B79</f>
        <v>200</v>
      </c>
      <c r="C233" s="379" t="s">
        <v>330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B80</f>
        <v>200</v>
      </c>
      <c r="C235" s="383" t="s">
        <v>331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I32" activeCellId="0" sqref="I3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353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128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182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35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183</v>
      </c>
      <c r="B30" s="171" t="s">
        <v>348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35000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80000</v>
      </c>
      <c r="I31" s="62"/>
      <c r="J31" s="62"/>
      <c r="K31" s="62" t="n">
        <v>80000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354</v>
      </c>
      <c r="E32" s="215"/>
      <c r="F32" s="62"/>
      <c r="G32" s="217" t="s">
        <v>36</v>
      </c>
      <c r="I32" s="445" t="n">
        <v>6000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60.1657064187982</v>
      </c>
      <c r="E33" s="215"/>
      <c r="F33" s="62"/>
      <c r="G33" s="218" t="s">
        <v>355</v>
      </c>
      <c r="H33" s="456" t="n">
        <f aca="false">E21-E11</f>
        <v>16708.33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371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356</v>
      </c>
      <c r="B35" s="214" t="s">
        <v>357</v>
      </c>
      <c r="C35" s="214"/>
      <c r="D35" s="214" t="s">
        <v>358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10.1657064187982</v>
      </c>
      <c r="B36" s="102" t="n">
        <f aca="false">IF(B26="YES",H42,"")</f>
        <v>50</v>
      </c>
      <c r="C36" s="220"/>
      <c r="D36" s="183" t="n">
        <f aca="false">H31</f>
        <v>80000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359</v>
      </c>
      <c r="B39" s="214" t="s">
        <v>360</v>
      </c>
      <c r="C39" s="214"/>
      <c r="D39" s="214" t="s">
        <v>361</v>
      </c>
      <c r="E39" s="215"/>
      <c r="F39" s="62"/>
      <c r="G39" s="62" t="s">
        <v>85</v>
      </c>
      <c r="H39" s="237" t="n">
        <f aca="false">H33</f>
        <v>16708.33</v>
      </c>
      <c r="I39" s="237" t="n">
        <f aca="false">(I48*H46)+H44</f>
        <v>60423.7584914136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20000</v>
      </c>
      <c r="I40" s="237" t="n">
        <f aca="false">H39-I39</f>
        <v>-43715.4284914136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362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363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364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372</v>
      </c>
      <c r="H44" s="237" t="n">
        <f aca="false">(H40/(1+H41)^(H34+1))</f>
        <v>16376.6485270412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373</v>
      </c>
      <c r="H45" s="237" t="n">
        <f aca="false">(H39-H44)</f>
        <v>331.681472958762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374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368</v>
      </c>
      <c r="H47" s="237" t="n">
        <f aca="false">H45/H46</f>
        <v>10.1657064187982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369</v>
      </c>
      <c r="H48" s="237" t="n">
        <f aca="false">IF(B26="YES",H47+H42,H47)</f>
        <v>60.1657064187982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370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60.1657064187982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375</v>
      </c>
      <c r="B60" s="214" t="n">
        <f aca="false">E19</f>
        <v>20049.996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291" t="s">
        <v>277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278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2105.24958</v>
      </c>
      <c r="C64" s="461" t="n">
        <v>10000</v>
      </c>
      <c r="D64" s="290" t="n">
        <f aca="false">B64</f>
        <v>2105.24958</v>
      </c>
      <c r="E64" s="462" t="n">
        <f aca="false">D64/(B58+B57)</f>
        <v>58.479155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223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400.99992</v>
      </c>
      <c r="C67" s="464" t="s">
        <v>223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229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275</v>
      </c>
      <c r="C74" s="214"/>
      <c r="D74" s="214"/>
      <c r="E74" s="215"/>
      <c r="F74" s="62"/>
      <c r="G74" s="291" t="s">
        <v>279</v>
      </c>
      <c r="H74" s="297" t="n">
        <v>165</v>
      </c>
      <c r="I74" s="214"/>
      <c r="J74" s="214"/>
      <c r="K74" s="215"/>
      <c r="L74" s="62"/>
      <c r="M74" s="427" t="s">
        <v>279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/>
      <c r="D75" s="214"/>
      <c r="E75" s="215"/>
      <c r="F75" s="62"/>
      <c r="G75" s="294" t="s">
        <v>280</v>
      </c>
      <c r="H75" s="298" t="n">
        <v>0</v>
      </c>
      <c r="I75" s="214"/>
      <c r="J75" s="214"/>
      <c r="K75" s="215"/>
      <c r="L75" s="62"/>
      <c r="M75" s="429" t="s">
        <v>280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((B74+B75)/12)*(H29+1)</f>
        <v>847.916666666667</v>
      </c>
      <c r="C76" s="214"/>
      <c r="D76" s="290" t="n">
        <f aca="false">B76</f>
        <v>847.916666666667</v>
      </c>
      <c r="E76" s="215"/>
      <c r="F76" s="62"/>
      <c r="G76" s="284" t="s">
        <v>281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281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282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282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282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283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283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45.2199074074074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4399.83291333333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122.217580925926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10.1657064187982</v>
      </c>
      <c r="C83" s="469"/>
      <c r="D83" s="214"/>
      <c r="E83" s="462" t="n">
        <f aca="false">B83+E80+E77+E64</f>
        <v>126.210447838551</v>
      </c>
      <c r="F83" s="62"/>
      <c r="G83" s="304" t="s">
        <v>105</v>
      </c>
      <c r="H83" s="305" t="n">
        <f aca="false">H47</f>
        <v>10.1657064187982</v>
      </c>
      <c r="I83" s="214"/>
      <c r="J83" s="214"/>
      <c r="K83" s="215"/>
      <c r="L83" s="62"/>
      <c r="M83" s="304" t="s">
        <v>105</v>
      </c>
      <c r="N83" s="305" t="n">
        <f aca="false">H47</f>
        <v>10.1657064187982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4765.79834441007</v>
      </c>
      <c r="C85" s="469"/>
      <c r="D85" s="469"/>
      <c r="E85" s="462" t="n">
        <f aca="false">B85/(B58+B57)</f>
        <v>132.383287344724</v>
      </c>
      <c r="F85" s="62"/>
      <c r="G85" s="287" t="s">
        <v>115</v>
      </c>
      <c r="H85" s="130" t="n">
        <f aca="false">((H83*H29)+H81)*1.2</f>
        <v>1718.05851729208</v>
      </c>
      <c r="I85" s="214"/>
      <c r="J85" s="214"/>
      <c r="K85" s="215"/>
      <c r="L85" s="62"/>
      <c r="M85" s="287" t="s">
        <v>115</v>
      </c>
      <c r="N85" s="130" t="n">
        <f aca="false">((N83*H29)+N81)</f>
        <v>1087.96543107673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40.3718294605129</v>
      </c>
      <c r="C86" s="469" t="s">
        <v>232</v>
      </c>
      <c r="D86" s="214"/>
      <c r="E86" s="462" t="n">
        <f aca="false">B86/(B58+B57)</f>
        <v>1.12143970723647</v>
      </c>
      <c r="F86" s="62"/>
      <c r="G86" s="213" t="s">
        <v>116</v>
      </c>
      <c r="H86" s="299" t="n">
        <f aca="false">((((H83*H29)+H81))/(1-H70))*H70</f>
        <v>12.1282872338086</v>
      </c>
      <c r="I86" s="214"/>
      <c r="J86" s="214"/>
      <c r="K86" s="215"/>
      <c r="L86" s="62"/>
      <c r="M86" s="213" t="s">
        <v>116</v>
      </c>
      <c r="N86" s="299" t="n">
        <f aca="false">(N85/(1-N70))*N70</f>
        <v>9.21632676587794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4806.17017387058</v>
      </c>
      <c r="C87" s="469"/>
      <c r="D87" s="471"/>
      <c r="E87" s="462" t="n">
        <f aca="false">E86+E85</f>
        <v>133.504727051961</v>
      </c>
      <c r="F87" s="62"/>
      <c r="G87" s="284" t="s">
        <v>117</v>
      </c>
      <c r="H87" s="132" t="n">
        <f aca="false">IF(H110="YES",((H85+H86)-K114),(H85+H86))</f>
        <v>1730.18680452589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1097.18175784261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133.504727051961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42.1996781591681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26.7605306790881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193.504727051961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252.931385476241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202.370286776649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212" t="s">
        <v>341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376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216" t="s">
        <v>126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130</v>
      </c>
      <c r="Z97" s="62"/>
      <c r="AC97" s="385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213" t="s">
        <v>127</v>
      </c>
      <c r="N98" s="214" t="s">
        <v>23</v>
      </c>
      <c r="O98" s="214"/>
      <c r="P98" s="214" t="s">
        <v>285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1000</v>
      </c>
      <c r="E99" s="106"/>
      <c r="F99" s="62"/>
      <c r="G99" s="219" t="s">
        <v>286</v>
      </c>
      <c r="H99" s="311" t="s">
        <v>265</v>
      </c>
      <c r="I99" s="311"/>
      <c r="J99" s="106" t="n">
        <v>0</v>
      </c>
      <c r="K99" s="106"/>
      <c r="L99" s="62"/>
      <c r="M99" s="219" t="s">
        <v>286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377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213" t="s">
        <v>287</v>
      </c>
      <c r="N101" s="214" t="s">
        <v>288</v>
      </c>
      <c r="O101" s="214"/>
      <c r="P101" s="214" t="s">
        <v>289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267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268</v>
      </c>
      <c r="Z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219" t="s">
        <v>128</v>
      </c>
      <c r="N104" s="62" t="s">
        <v>131</v>
      </c>
      <c r="O104" s="214"/>
      <c r="P104" s="214" t="s">
        <v>142</v>
      </c>
      <c r="Q104" s="215"/>
      <c r="R104" s="62"/>
      <c r="S104" s="62"/>
      <c r="T104" s="62"/>
      <c r="U104" s="62"/>
      <c r="V104" s="62"/>
      <c r="W104" s="62"/>
      <c r="X104" s="62"/>
      <c r="Y104" s="62" t="s">
        <v>269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270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342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216" t="s">
        <v>290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213" t="s">
        <v>291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</v>
      </c>
      <c r="E112" s="106" t="n">
        <v>6000</v>
      </c>
      <c r="F112" s="62"/>
      <c r="G112" s="213" t="s">
        <v>176</v>
      </c>
      <c r="H112" s="214"/>
      <c r="I112" s="214"/>
      <c r="J112" s="312" t="n">
        <v>0</v>
      </c>
      <c r="K112" s="106" t="n">
        <v>0</v>
      </c>
      <c r="L112" s="62"/>
      <c r="M112" s="213" t="s">
        <v>176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177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177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178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0</v>
      </c>
      <c r="K115" s="215"/>
      <c r="L115" s="62"/>
      <c r="M115" s="213" t="s">
        <v>179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287" t="s">
        <v>138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292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292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216" t="s">
        <v>293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213" t="s">
        <v>183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296</v>
      </c>
      <c r="H126" s="327" t="s">
        <v>297</v>
      </c>
      <c r="I126" s="327"/>
      <c r="J126" s="327" t="s">
        <v>298</v>
      </c>
      <c r="K126" s="215"/>
      <c r="L126" s="62"/>
      <c r="M126" s="326" t="s">
        <v>343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332" t="n">
        <f aca="false">H90</f>
        <v>42.1996781591681</v>
      </c>
      <c r="H127" s="176" t="n">
        <f aca="false">IF(G105="YES",H89*H57,0)</f>
        <v>1264.39024390244</v>
      </c>
      <c r="I127" s="176"/>
      <c r="J127" s="333" t="n">
        <f aca="false">H91</f>
        <v>252.931385476241</v>
      </c>
      <c r="K127" s="215"/>
      <c r="L127" s="62"/>
      <c r="M127" s="332" t="n">
        <f aca="false">N90</f>
        <v>26.7605306790881</v>
      </c>
      <c r="N127" s="176" t="n">
        <f aca="false">IF(M105="YES",N89*N57,0)</f>
        <v>1053.65853658537</v>
      </c>
      <c r="O127" s="176"/>
      <c r="P127" s="176" t="n">
        <f aca="false">N91</f>
        <v>202.370286776649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133.504727051961</v>
      </c>
      <c r="B128" s="320" t="n">
        <f aca="false">IF(A105="YES",B89,0)</f>
        <v>60</v>
      </c>
      <c r="C128" s="324"/>
      <c r="D128" s="320" t="n">
        <f aca="false">B91</f>
        <v>193.504727051961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133.504727051961</v>
      </c>
      <c r="C131" s="316"/>
      <c r="D131" s="37" t="n">
        <f aca="false">IF(A105="YES",B89*B57,0)</f>
        <v>60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213" t="s">
        <v>344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253.198068955008</v>
      </c>
      <c r="H133" s="102" t="n">
        <f aca="false">IF(G105="YES",H89*H57,0)</f>
        <v>1264.39024390244</v>
      </c>
      <c r="I133" s="220"/>
      <c r="J133" s="183" t="n">
        <f aca="false">H91*H57</f>
        <v>1517.58831285745</v>
      </c>
      <c r="K133" s="215"/>
      <c r="L133" s="62"/>
      <c r="M133" s="184" t="n">
        <f aca="false">N90*N57</f>
        <v>160.563184074529</v>
      </c>
      <c r="N133" s="102" t="n">
        <f aca="false">IF(M105="YES",N89*N57,0)</f>
        <v>1053.65853658537</v>
      </c>
      <c r="O133" s="220"/>
      <c r="P133" s="183" t="n">
        <f aca="false">N91*N57</f>
        <v>1214.22172065989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193.504727051961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133.504727051961</v>
      </c>
      <c r="B137" s="37" t="n">
        <f aca="false">IF(A105="YES",B89,0)</f>
        <v>60</v>
      </c>
      <c r="C137" s="316"/>
      <c r="D137" s="37" t="n">
        <f aca="false">B91</f>
        <v>193.504727051961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213" t="s">
        <v>141</v>
      </c>
      <c r="N138" s="214" t="s">
        <v>310</v>
      </c>
      <c r="O138" s="214"/>
      <c r="P138" s="214" t="s">
        <v>311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213" t="s">
        <v>313</v>
      </c>
      <c r="N141" s="214" t="s">
        <v>314</v>
      </c>
      <c r="O141" s="214"/>
      <c r="P141" s="214" t="s">
        <v>315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213" t="s">
        <v>317</v>
      </c>
      <c r="N144" s="214" t="s">
        <v>318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345</v>
      </c>
      <c r="N147" s="165" t="s">
        <v>346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400.99992</v>
      </c>
      <c r="B148" s="102" t="n">
        <f aca="false">B102</f>
        <v>400</v>
      </c>
      <c r="C148" s="37"/>
      <c r="D148" s="37" t="n">
        <f aca="false">IF(A105="YES",(B40*B105)*B125,0)*0.1</f>
        <v>36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936.98992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323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252.931385476241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202.370286776649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193.504727051961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378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133.504727051961</v>
      </c>
      <c r="B177" s="354" t="n">
        <f aca="false">IF(A105="YES",B89,0)</f>
        <v>60</v>
      </c>
      <c r="C177" s="356"/>
      <c r="D177" s="354" t="n">
        <f aca="false">B91</f>
        <v>193.504727051961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133.504727051961</v>
      </c>
      <c r="C180" s="352"/>
      <c r="D180" s="102" t="n">
        <f aca="false">IF(A105="YES",B89*B57,0)</f>
        <v>60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193.504727051961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133.504727051961</v>
      </c>
      <c r="B186" s="102" t="n">
        <f aca="false">IF(A105="YES",B89,0)</f>
        <v>60</v>
      </c>
      <c r="C186" s="352"/>
      <c r="D186" s="102" t="n">
        <f aca="false">B91</f>
        <v>193.504727051961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400.99992</v>
      </c>
      <c r="B197" s="102" t="n">
        <f aca="false">B102</f>
        <v>400</v>
      </c>
      <c r="C197" s="102"/>
      <c r="D197" s="102" t="n">
        <f aca="false">IF(A105="YES",(B40*B105)*B125,0)*0.1</f>
        <v>36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936.98992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D64</f>
        <v>2105.24958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400.99992</v>
      </c>
      <c r="C211" s="319" t="s">
        <v>219</v>
      </c>
      <c r="D211" s="369" t="n">
        <f aca="false">B225+E221+B221+B223</f>
        <v>699.99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2404.23966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D64</f>
        <v>2105.24958</v>
      </c>
      <c r="C217" s="373" t="s">
        <v>223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B67</f>
        <v>400.99992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(B77-(B77*(E219*100)))*0.1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B78-(B78*(E219*100))</f>
        <v>200</v>
      </c>
      <c r="C223" s="335" t="s">
        <v>220</v>
      </c>
      <c r="D223" s="316"/>
      <c r="E223" s="32" t="n">
        <f aca="false">(B217-B211+D211)</f>
        <v>2404.23966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360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B71</f>
        <v>200</v>
      </c>
      <c r="C229" s="335" t="s">
        <v>228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B68</f>
        <v>0.0075</v>
      </c>
      <c r="C231" s="335" t="s">
        <v>231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B86</f>
        <v>40.3718294605129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B79</f>
        <v>200</v>
      </c>
      <c r="C233" s="379" t="s">
        <v>330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B80</f>
        <v>200</v>
      </c>
      <c r="C235" s="383" t="s">
        <v>331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232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333.333333333333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336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336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336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336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336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1565.20030261575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121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122</v>
      </c>
      <c r="B109" s="99"/>
      <c r="C109" s="99"/>
      <c r="D109" s="99"/>
      <c r="E109" s="99"/>
      <c r="F109" s="99"/>
      <c r="G109" s="99"/>
      <c r="H109" s="99"/>
      <c r="J109" s="23" t="s">
        <v>123</v>
      </c>
      <c r="K109" s="23"/>
      <c r="L109" s="23"/>
      <c r="M109" s="23"/>
      <c r="N109" s="23"/>
      <c r="O109" s="23"/>
      <c r="P109" s="23"/>
      <c r="Q109" s="23"/>
      <c r="S109" s="99" t="s">
        <v>124</v>
      </c>
      <c r="T109" s="99"/>
      <c r="U109" s="99"/>
      <c r="V109" s="99"/>
      <c r="W109" s="99"/>
      <c r="X109" s="99"/>
      <c r="Y109" s="99"/>
      <c r="Z109" s="99"/>
      <c r="AB109" s="99" t="s">
        <v>125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126</v>
      </c>
      <c r="K111" s="27"/>
      <c r="L111" s="27"/>
      <c r="M111" s="27"/>
      <c r="N111" s="27"/>
      <c r="O111" s="27"/>
      <c r="P111" s="27"/>
      <c r="Q111" s="27"/>
      <c r="S111" s="27" t="s">
        <v>126</v>
      </c>
      <c r="T111" s="27"/>
      <c r="U111" s="27"/>
      <c r="V111" s="27"/>
      <c r="W111" s="27"/>
      <c r="X111" s="27"/>
      <c r="Y111" s="27"/>
      <c r="Z111" s="27"/>
      <c r="AB111" s="27" t="s">
        <v>126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127</v>
      </c>
      <c r="B113" s="31" t="s">
        <v>23</v>
      </c>
      <c r="C113" s="31"/>
      <c r="D113" s="31"/>
      <c r="E113" s="31" t="s">
        <v>128</v>
      </c>
      <c r="F113" s="31"/>
      <c r="G113" s="31"/>
      <c r="H113" s="32"/>
      <c r="J113" s="30" t="s">
        <v>127</v>
      </c>
      <c r="K113" s="31" t="s">
        <v>23</v>
      </c>
      <c r="L113" s="31"/>
      <c r="M113" s="31"/>
      <c r="N113" s="31" t="s">
        <v>128</v>
      </c>
      <c r="O113" s="31"/>
      <c r="P113" s="31"/>
      <c r="Q113" s="32"/>
      <c r="S113" s="30" t="s">
        <v>127</v>
      </c>
      <c r="T113" s="31" t="s">
        <v>23</v>
      </c>
      <c r="U113" s="31"/>
      <c r="V113" s="31"/>
      <c r="W113" s="31" t="s">
        <v>128</v>
      </c>
      <c r="X113" s="31"/>
      <c r="Y113" s="31"/>
      <c r="Z113" s="32"/>
      <c r="AB113" s="30" t="s">
        <v>127</v>
      </c>
      <c r="AC113" s="31" t="s">
        <v>23</v>
      </c>
      <c r="AD113" s="31"/>
      <c r="AE113" s="31"/>
      <c r="AF113" s="31" t="s">
        <v>128</v>
      </c>
      <c r="AG113" s="31"/>
      <c r="AH113" s="31"/>
      <c r="AI113" s="32"/>
    </row>
    <row r="114" customFormat="false" ht="19.5" hidden="false" customHeight="false" outlineLevel="0" collapsed="false">
      <c r="A114" s="35" t="s">
        <v>129</v>
      </c>
      <c r="B114" s="102" t="s">
        <v>130</v>
      </c>
      <c r="C114" s="102"/>
      <c r="D114" s="102"/>
      <c r="E114" s="103" t="s">
        <v>19</v>
      </c>
      <c r="F114" s="103"/>
      <c r="G114" s="103"/>
      <c r="H114" s="101"/>
      <c r="J114" s="35" t="s">
        <v>129</v>
      </c>
      <c r="K114" s="104" t="s">
        <v>130</v>
      </c>
      <c r="L114" s="104"/>
      <c r="M114" s="104"/>
      <c r="N114" s="103" t="s">
        <v>18</v>
      </c>
      <c r="O114" s="103"/>
      <c r="P114" s="103"/>
      <c r="Q114" s="101"/>
      <c r="S114" s="35" t="s">
        <v>129</v>
      </c>
      <c r="T114" s="102" t="s">
        <v>130</v>
      </c>
      <c r="U114" s="102"/>
      <c r="V114" s="102"/>
      <c r="W114" s="103" t="s">
        <v>18</v>
      </c>
      <c r="X114" s="103"/>
      <c r="Y114" s="103"/>
      <c r="Z114" s="101"/>
      <c r="AB114" s="35" t="s">
        <v>129</v>
      </c>
      <c r="AC114" s="102" t="s">
        <v>130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131</v>
      </c>
      <c r="B116" s="31" t="s">
        <v>132</v>
      </c>
      <c r="C116" s="31"/>
      <c r="D116" s="22"/>
      <c r="E116" s="31" t="s">
        <v>133</v>
      </c>
      <c r="F116" s="31"/>
      <c r="G116" s="22"/>
      <c r="H116" s="101"/>
      <c r="J116" s="30" t="s">
        <v>131</v>
      </c>
      <c r="K116" s="31" t="s">
        <v>132</v>
      </c>
      <c r="L116" s="31"/>
      <c r="M116" s="22"/>
      <c r="N116" s="31" t="s">
        <v>133</v>
      </c>
      <c r="O116" s="31"/>
      <c r="P116" s="22"/>
      <c r="Q116" s="101"/>
      <c r="S116" s="30" t="s">
        <v>131</v>
      </c>
      <c r="T116" s="31" t="s">
        <v>132</v>
      </c>
      <c r="U116" s="31"/>
      <c r="V116" s="22"/>
      <c r="W116" s="31" t="s">
        <v>133</v>
      </c>
      <c r="X116" s="31"/>
      <c r="Y116" s="22"/>
      <c r="Z116" s="101"/>
      <c r="AB116" s="30" t="s">
        <v>131</v>
      </c>
      <c r="AC116" s="31" t="s">
        <v>132</v>
      </c>
      <c r="AD116" s="31"/>
      <c r="AE116" s="22"/>
      <c r="AF116" s="31" t="s">
        <v>133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134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134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135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135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136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134</v>
      </c>
    </row>
    <row r="119" customFormat="false" ht="19.5" hidden="false" customHeight="false" outlineLevel="0" collapsed="false">
      <c r="A119" s="30" t="s">
        <v>137</v>
      </c>
      <c r="B119" s="31" t="s">
        <v>138</v>
      </c>
      <c r="C119" s="31"/>
      <c r="D119" s="31"/>
      <c r="E119" s="31" t="s">
        <v>139</v>
      </c>
      <c r="F119" s="31"/>
      <c r="G119" s="31"/>
      <c r="H119" s="32"/>
      <c r="J119" s="30" t="s">
        <v>137</v>
      </c>
      <c r="K119" s="31" t="s">
        <v>138</v>
      </c>
      <c r="L119" s="31"/>
      <c r="M119" s="31"/>
      <c r="N119" s="31" t="s">
        <v>139</v>
      </c>
      <c r="O119" s="31"/>
      <c r="P119" s="31"/>
      <c r="Q119" s="32"/>
      <c r="S119" s="30" t="s">
        <v>137</v>
      </c>
      <c r="T119" s="31" t="s">
        <v>138</v>
      </c>
      <c r="U119" s="31"/>
      <c r="V119" s="31"/>
      <c r="W119" s="31" t="s">
        <v>139</v>
      </c>
      <c r="X119" s="31"/>
      <c r="Y119" s="31"/>
      <c r="Z119" s="32"/>
      <c r="AB119" s="30" t="s">
        <v>137</v>
      </c>
      <c r="AC119" s="31" t="s">
        <v>138</v>
      </c>
      <c r="AD119" s="31"/>
      <c r="AE119" s="31"/>
      <c r="AF119" s="31" t="s">
        <v>139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140</v>
      </c>
      <c r="B122" s="31" t="s">
        <v>141</v>
      </c>
      <c r="C122" s="31"/>
      <c r="D122" s="31"/>
      <c r="E122" s="31" t="s">
        <v>142</v>
      </c>
      <c r="F122" s="31"/>
      <c r="G122" s="22"/>
      <c r="H122" s="101"/>
      <c r="J122" s="109" t="s">
        <v>140</v>
      </c>
      <c r="K122" s="31" t="s">
        <v>141</v>
      </c>
      <c r="L122" s="31"/>
      <c r="M122" s="31"/>
      <c r="N122" s="31" t="s">
        <v>142</v>
      </c>
      <c r="O122" s="31"/>
      <c r="P122" s="22"/>
      <c r="Q122" s="101"/>
      <c r="S122" s="109" t="s">
        <v>140</v>
      </c>
      <c r="T122" s="31" t="s">
        <v>141</v>
      </c>
      <c r="U122" s="31"/>
      <c r="V122" s="31"/>
      <c r="W122" s="31" t="s">
        <v>142</v>
      </c>
      <c r="X122" s="31"/>
      <c r="Y122" s="22"/>
      <c r="Z122" s="101"/>
      <c r="AB122" s="109" t="s">
        <v>140</v>
      </c>
      <c r="AC122" s="31" t="s">
        <v>141</v>
      </c>
      <c r="AD122" s="31"/>
      <c r="AE122" s="31"/>
      <c r="AF122" s="31" t="s">
        <v>142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143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144</v>
      </c>
      <c r="B126" s="27"/>
      <c r="C126" s="27"/>
      <c r="D126" s="27"/>
      <c r="E126" s="27"/>
      <c r="F126" s="27"/>
      <c r="G126" s="27"/>
      <c r="H126" s="27"/>
      <c r="J126" s="27" t="s">
        <v>144</v>
      </c>
      <c r="K126" s="27"/>
      <c r="L126" s="27"/>
      <c r="M126" s="27"/>
      <c r="N126" s="27"/>
      <c r="O126" s="27"/>
      <c r="P126" s="27"/>
      <c r="Q126" s="27"/>
      <c r="S126" s="27" t="s">
        <v>144</v>
      </c>
      <c r="T126" s="27"/>
      <c r="U126" s="27"/>
      <c r="V126" s="27"/>
      <c r="W126" s="27"/>
      <c r="X126" s="27"/>
      <c r="Y126" s="27"/>
      <c r="Z126" s="27"/>
      <c r="AB126" s="27" t="s">
        <v>144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145</v>
      </c>
      <c r="C128" s="113"/>
      <c r="D128" s="113" t="s">
        <v>146</v>
      </c>
      <c r="E128" s="113"/>
      <c r="F128" s="113" t="s">
        <v>147</v>
      </c>
      <c r="G128" s="113"/>
      <c r="H128" s="114" t="s">
        <v>148</v>
      </c>
      <c r="J128" s="77"/>
      <c r="K128" s="113" t="s">
        <v>145</v>
      </c>
      <c r="L128" s="113"/>
      <c r="M128" s="113" t="s">
        <v>146</v>
      </c>
      <c r="N128" s="113"/>
      <c r="O128" s="113" t="s">
        <v>147</v>
      </c>
      <c r="P128" s="113"/>
      <c r="Q128" s="114" t="s">
        <v>148</v>
      </c>
      <c r="S128" s="77"/>
      <c r="T128" s="113" t="s">
        <v>145</v>
      </c>
      <c r="U128" s="113"/>
      <c r="V128" s="113" t="s">
        <v>146</v>
      </c>
      <c r="W128" s="113"/>
      <c r="X128" s="113" t="s">
        <v>147</v>
      </c>
      <c r="Y128" s="113"/>
      <c r="Z128" s="114" t="s">
        <v>148</v>
      </c>
      <c r="AB128" s="77"/>
      <c r="AC128" s="113" t="s">
        <v>145</v>
      </c>
      <c r="AD128" s="113"/>
      <c r="AE128" s="113" t="s">
        <v>146</v>
      </c>
      <c r="AF128" s="113"/>
      <c r="AG128" s="113" t="s">
        <v>147</v>
      </c>
      <c r="AH128" s="113"/>
      <c r="AI128" s="114" t="s">
        <v>148</v>
      </c>
    </row>
    <row r="129" customFormat="false" ht="21.75" hidden="false" customHeight="false" outlineLevel="0" collapsed="false">
      <c r="A129" s="79"/>
      <c r="B129" s="115" t="s">
        <v>149</v>
      </c>
      <c r="C129" s="116" t="s">
        <v>150</v>
      </c>
      <c r="D129" s="115" t="s">
        <v>149</v>
      </c>
      <c r="E129" s="117" t="s">
        <v>150</v>
      </c>
      <c r="F129" s="115" t="s">
        <v>149</v>
      </c>
      <c r="G129" s="117" t="s">
        <v>150</v>
      </c>
      <c r="H129" s="118"/>
      <c r="J129" s="79"/>
      <c r="K129" s="115" t="s">
        <v>149</v>
      </c>
      <c r="L129" s="116" t="s">
        <v>150</v>
      </c>
      <c r="M129" s="115" t="s">
        <v>149</v>
      </c>
      <c r="N129" s="117" t="s">
        <v>150</v>
      </c>
      <c r="O129" s="115" t="s">
        <v>149</v>
      </c>
      <c r="P129" s="117" t="s">
        <v>150</v>
      </c>
      <c r="Q129" s="118"/>
      <c r="S129" s="79"/>
      <c r="T129" s="115" t="s">
        <v>149</v>
      </c>
      <c r="U129" s="116" t="s">
        <v>150</v>
      </c>
      <c r="V129" s="115" t="s">
        <v>149</v>
      </c>
      <c r="W129" s="117" t="s">
        <v>150</v>
      </c>
      <c r="X129" s="115" t="s">
        <v>149</v>
      </c>
      <c r="Y129" s="117" t="s">
        <v>150</v>
      </c>
      <c r="Z129" s="118"/>
      <c r="AB129" s="79"/>
      <c r="AC129" s="115" t="s">
        <v>149</v>
      </c>
      <c r="AD129" s="116" t="s">
        <v>150</v>
      </c>
      <c r="AE129" s="115" t="s">
        <v>149</v>
      </c>
      <c r="AF129" s="117" t="s">
        <v>150</v>
      </c>
      <c r="AG129" s="115" t="s">
        <v>149</v>
      </c>
      <c r="AH129" s="117" t="s">
        <v>150</v>
      </c>
      <c r="AI129" s="118"/>
    </row>
    <row r="130" customFormat="false" ht="19.5" hidden="false" customHeight="false" outlineLevel="0" collapsed="false">
      <c r="A130" s="24" t="s">
        <v>151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151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151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151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152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152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152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152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153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153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153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153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154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154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154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154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155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155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155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155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149</v>
      </c>
      <c r="H136" s="136" t="s">
        <v>150</v>
      </c>
      <c r="J136" s="133"/>
      <c r="K136" s="137"/>
      <c r="L136" s="137"/>
      <c r="M136" s="137"/>
      <c r="N136" s="137"/>
      <c r="O136" s="137"/>
      <c r="P136" s="138" t="s">
        <v>149</v>
      </c>
      <c r="Q136" s="136" t="s">
        <v>150</v>
      </c>
      <c r="S136" s="133"/>
      <c r="T136" s="137"/>
      <c r="U136" s="137"/>
      <c r="V136" s="137"/>
      <c r="W136" s="137"/>
      <c r="X136" s="137"/>
      <c r="Y136" s="138" t="s">
        <v>149</v>
      </c>
      <c r="Z136" s="136" t="s">
        <v>150</v>
      </c>
      <c r="AB136" s="133"/>
      <c r="AC136" s="137"/>
      <c r="AD136" s="137"/>
      <c r="AE136" s="137"/>
      <c r="AF136" s="137"/>
      <c r="AG136" s="137"/>
      <c r="AH136" s="138" t="s">
        <v>149</v>
      </c>
      <c r="AI136" s="136" t="s">
        <v>150</v>
      </c>
    </row>
    <row r="137" customFormat="false" ht="18.75" hidden="false" customHeight="false" outlineLevel="0" collapsed="false">
      <c r="A137" s="139" t="s">
        <v>156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156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156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156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157</v>
      </c>
      <c r="B139" s="143" t="s">
        <v>158</v>
      </c>
      <c r="C139" s="143"/>
      <c r="D139" s="143" t="s">
        <v>159</v>
      </c>
      <c r="E139" s="143"/>
      <c r="F139" s="143" t="s">
        <v>153</v>
      </c>
      <c r="G139" s="143"/>
      <c r="H139" s="144" t="s">
        <v>150</v>
      </c>
      <c r="J139" s="146" t="s">
        <v>157</v>
      </c>
      <c r="K139" s="147" t="s">
        <v>158</v>
      </c>
      <c r="L139" s="147"/>
      <c r="M139" s="143" t="s">
        <v>159</v>
      </c>
      <c r="N139" s="143"/>
      <c r="O139" s="143" t="s">
        <v>153</v>
      </c>
      <c r="P139" s="143"/>
      <c r="Q139" s="144" t="s">
        <v>150</v>
      </c>
      <c r="S139" s="146" t="s">
        <v>157</v>
      </c>
      <c r="T139" s="143" t="s">
        <v>158</v>
      </c>
      <c r="U139" s="143"/>
      <c r="V139" s="143" t="s">
        <v>159</v>
      </c>
      <c r="W139" s="143"/>
      <c r="X139" s="143" t="s">
        <v>153</v>
      </c>
      <c r="Y139" s="143"/>
      <c r="Z139" s="144" t="s">
        <v>150</v>
      </c>
      <c r="AB139" s="146" t="s">
        <v>157</v>
      </c>
      <c r="AC139" s="143" t="s">
        <v>158</v>
      </c>
      <c r="AD139" s="143"/>
      <c r="AE139" s="143" t="s">
        <v>159</v>
      </c>
      <c r="AF139" s="143"/>
      <c r="AG139" s="143" t="s">
        <v>153</v>
      </c>
      <c r="AH139" s="143"/>
      <c r="AI139" s="144" t="s">
        <v>150</v>
      </c>
    </row>
    <row r="140" customFormat="false" ht="19.5" hidden="false" customHeight="false" outlineLevel="0" collapsed="false">
      <c r="A140" s="30" t="s">
        <v>160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160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160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160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161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161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161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161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162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162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162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162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163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163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163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163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164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164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164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164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165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165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165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165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166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166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166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166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167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167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167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167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168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168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168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168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169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169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169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169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170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170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170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170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171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171</v>
      </c>
      <c r="K152" s="158"/>
      <c r="L152" s="158"/>
      <c r="M152" s="158"/>
      <c r="N152" s="158"/>
      <c r="O152" s="158"/>
      <c r="P152" s="37"/>
      <c r="Q152" s="32"/>
      <c r="S152" s="110" t="s">
        <v>171</v>
      </c>
      <c r="T152" s="110"/>
      <c r="U152" s="110"/>
      <c r="V152" s="110"/>
      <c r="W152" s="110"/>
      <c r="X152" s="110"/>
      <c r="Y152" s="37"/>
      <c r="Z152" s="32"/>
      <c r="AB152" s="110" t="s">
        <v>171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172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172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172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172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172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172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172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172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172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172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172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173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173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173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173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174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174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174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174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175</v>
      </c>
      <c r="B159" s="27"/>
      <c r="C159" s="27"/>
      <c r="D159" s="27"/>
      <c r="E159" s="27"/>
      <c r="F159" s="27"/>
      <c r="G159" s="27"/>
      <c r="H159" s="27"/>
      <c r="J159" s="27" t="s">
        <v>175</v>
      </c>
      <c r="K159" s="27"/>
      <c r="L159" s="27"/>
      <c r="M159" s="27"/>
      <c r="N159" s="27"/>
      <c r="O159" s="27"/>
      <c r="P159" s="27"/>
      <c r="Q159" s="27"/>
      <c r="S159" s="27" t="s">
        <v>175</v>
      </c>
      <c r="T159" s="27"/>
      <c r="U159" s="27"/>
      <c r="V159" s="27"/>
      <c r="W159" s="27"/>
      <c r="X159" s="27"/>
      <c r="Y159" s="27"/>
      <c r="Z159" s="27"/>
      <c r="AB159" s="27" t="s">
        <v>175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176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176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176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176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177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177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177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177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178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178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178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178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179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179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179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179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180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180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180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180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181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181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181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181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182</v>
      </c>
      <c r="B171" s="27"/>
      <c r="C171" s="27"/>
      <c r="D171" s="27"/>
      <c r="E171" s="27"/>
      <c r="F171" s="27"/>
      <c r="G171" s="27"/>
      <c r="H171" s="27"/>
      <c r="J171" s="27" t="s">
        <v>182</v>
      </c>
      <c r="K171" s="27"/>
      <c r="L171" s="27"/>
      <c r="M171" s="27"/>
      <c r="N171" s="27"/>
      <c r="O171" s="27"/>
      <c r="P171" s="27"/>
      <c r="Q171" s="27"/>
      <c r="S171" s="27" t="s">
        <v>182</v>
      </c>
      <c r="T171" s="27"/>
      <c r="U171" s="27"/>
      <c r="V171" s="27"/>
      <c r="W171" s="27"/>
      <c r="X171" s="27"/>
      <c r="Y171" s="27"/>
      <c r="Z171" s="27"/>
      <c r="AB171" s="27" t="s">
        <v>182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183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183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183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183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184</v>
      </c>
      <c r="B175" s="173" t="s">
        <v>185</v>
      </c>
      <c r="C175" s="173"/>
      <c r="D175" s="173"/>
      <c r="E175" s="173" t="s">
        <v>186</v>
      </c>
      <c r="F175" s="22"/>
      <c r="G175" s="22" t="s">
        <v>187</v>
      </c>
      <c r="H175" s="32"/>
      <c r="J175" s="172" t="s">
        <v>184</v>
      </c>
      <c r="K175" s="174" t="s">
        <v>185</v>
      </c>
      <c r="L175" s="174"/>
      <c r="M175" s="174"/>
      <c r="N175" s="174" t="s">
        <v>186</v>
      </c>
      <c r="O175" s="22"/>
      <c r="P175" s="22"/>
      <c r="Q175" s="32"/>
      <c r="S175" s="172" t="s">
        <v>184</v>
      </c>
      <c r="T175" s="174" t="s">
        <v>185</v>
      </c>
      <c r="U175" s="174"/>
      <c r="V175" s="174"/>
      <c r="W175" s="174" t="s">
        <v>186</v>
      </c>
      <c r="X175" s="22"/>
      <c r="Y175" s="22"/>
      <c r="Z175" s="32"/>
      <c r="AB175" s="172" t="s">
        <v>184</v>
      </c>
      <c r="AC175" s="174" t="s">
        <v>185</v>
      </c>
      <c r="AD175" s="174"/>
      <c r="AE175" s="174"/>
      <c r="AF175" s="174" t="s">
        <v>186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85.0909090909091</v>
      </c>
      <c r="C176" s="173"/>
      <c r="D176" s="173"/>
      <c r="E176" s="176" t="n">
        <f aca="false">B105</f>
        <v>1565.20030261575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188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188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188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188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189</v>
      </c>
      <c r="B181" s="92" t="s">
        <v>190</v>
      </c>
      <c r="C181" s="92"/>
      <c r="D181" s="22"/>
      <c r="E181" s="92" t="s">
        <v>191</v>
      </c>
      <c r="F181" s="22"/>
      <c r="G181" s="22"/>
      <c r="H181" s="32"/>
      <c r="J181" s="30" t="s">
        <v>189</v>
      </c>
      <c r="K181" s="31" t="s">
        <v>190</v>
      </c>
      <c r="L181" s="31"/>
      <c r="M181" s="22"/>
      <c r="N181" s="31" t="s">
        <v>191</v>
      </c>
      <c r="O181" s="22"/>
      <c r="P181" s="22"/>
      <c r="Q181" s="32"/>
      <c r="S181" s="30" t="s">
        <v>189</v>
      </c>
      <c r="T181" s="31" t="s">
        <v>190</v>
      </c>
      <c r="U181" s="31"/>
      <c r="V181" s="22"/>
      <c r="W181" s="31" t="s">
        <v>191</v>
      </c>
      <c r="X181" s="22"/>
      <c r="Y181" s="22"/>
      <c r="Z181" s="32"/>
      <c r="AB181" s="30" t="s">
        <v>189</v>
      </c>
      <c r="AC181" s="31" t="s">
        <v>190</v>
      </c>
      <c r="AD181" s="31"/>
      <c r="AE181" s="22"/>
      <c r="AF181" s="31" t="s">
        <v>191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192</v>
      </c>
      <c r="B184" s="92" t="s">
        <v>138</v>
      </c>
      <c r="C184" s="92"/>
      <c r="D184" s="22"/>
      <c r="E184" s="92" t="s">
        <v>139</v>
      </c>
      <c r="F184" s="22"/>
      <c r="G184" s="22"/>
      <c r="H184" s="32"/>
      <c r="J184" s="30" t="s">
        <v>192</v>
      </c>
      <c r="K184" s="31" t="s">
        <v>138</v>
      </c>
      <c r="L184" s="31"/>
      <c r="M184" s="22"/>
      <c r="N184" s="31" t="s">
        <v>139</v>
      </c>
      <c r="O184" s="22"/>
      <c r="P184" s="22"/>
      <c r="Q184" s="32"/>
      <c r="S184" s="30" t="s">
        <v>192</v>
      </c>
      <c r="T184" s="31" t="s">
        <v>138</v>
      </c>
      <c r="U184" s="31"/>
      <c r="V184" s="22"/>
      <c r="W184" s="31" t="s">
        <v>139</v>
      </c>
      <c r="X184" s="22"/>
      <c r="Y184" s="22"/>
      <c r="Z184" s="32"/>
      <c r="AB184" s="30" t="s">
        <v>192</v>
      </c>
      <c r="AC184" s="31" t="s">
        <v>138</v>
      </c>
      <c r="AD184" s="31"/>
      <c r="AE184" s="22"/>
      <c r="AF184" s="31" t="s">
        <v>139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140</v>
      </c>
      <c r="B187" s="92" t="s">
        <v>176</v>
      </c>
      <c r="C187" s="92"/>
      <c r="D187" s="22"/>
      <c r="E187" s="92" t="s">
        <v>181</v>
      </c>
      <c r="F187" s="22"/>
      <c r="G187" s="22"/>
      <c r="H187" s="32"/>
      <c r="J187" s="30" t="s">
        <v>140</v>
      </c>
      <c r="K187" s="31" t="s">
        <v>176</v>
      </c>
      <c r="L187" s="31"/>
      <c r="M187" s="22"/>
      <c r="N187" s="31" t="s">
        <v>181</v>
      </c>
      <c r="O187" s="22"/>
      <c r="P187" s="22"/>
      <c r="Q187" s="32"/>
      <c r="S187" s="30" t="s">
        <v>140</v>
      </c>
      <c r="T187" s="31" t="s">
        <v>176</v>
      </c>
      <c r="U187" s="31"/>
      <c r="V187" s="22"/>
      <c r="W187" s="31" t="s">
        <v>181</v>
      </c>
      <c r="X187" s="22"/>
      <c r="Y187" s="22"/>
      <c r="Z187" s="32"/>
      <c r="AB187" s="30" t="s">
        <v>140</v>
      </c>
      <c r="AC187" s="31" t="s">
        <v>176</v>
      </c>
      <c r="AD187" s="31"/>
      <c r="AE187" s="22"/>
      <c r="AF187" s="31" t="s">
        <v>181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193</v>
      </c>
      <c r="B190" s="92" t="s">
        <v>53</v>
      </c>
      <c r="C190" s="92"/>
      <c r="D190" s="22"/>
      <c r="E190" s="92" t="s">
        <v>194</v>
      </c>
      <c r="F190" s="22"/>
      <c r="G190" s="22"/>
      <c r="H190" s="32"/>
      <c r="J190" s="30" t="s">
        <v>193</v>
      </c>
      <c r="K190" s="31" t="s">
        <v>53</v>
      </c>
      <c r="L190" s="31"/>
      <c r="M190" s="22"/>
      <c r="N190" s="31" t="s">
        <v>194</v>
      </c>
      <c r="O190" s="22"/>
      <c r="P190" s="22"/>
      <c r="Q190" s="32"/>
      <c r="S190" s="30" t="s">
        <v>193</v>
      </c>
      <c r="T190" s="31" t="s">
        <v>53</v>
      </c>
      <c r="U190" s="31"/>
      <c r="V190" s="22"/>
      <c r="W190" s="31" t="s">
        <v>194</v>
      </c>
      <c r="X190" s="22"/>
      <c r="Y190" s="22"/>
      <c r="Z190" s="32"/>
      <c r="AB190" s="30" t="s">
        <v>193</v>
      </c>
      <c r="AC190" s="31" t="s">
        <v>53</v>
      </c>
      <c r="AD190" s="31"/>
      <c r="AE190" s="22"/>
      <c r="AF190" s="31" t="s">
        <v>194</v>
      </c>
      <c r="AG190" s="22"/>
      <c r="AH190" s="22"/>
      <c r="AI190" s="32"/>
    </row>
    <row r="191" customFormat="false" ht="18.7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239.99</v>
      </c>
      <c r="C191" s="102"/>
      <c r="D191" s="22"/>
      <c r="E191" s="102" t="n">
        <f aca="false">E188+A191+B191+A194</f>
        <v>22531.1933287732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195</v>
      </c>
      <c r="B193" s="92" t="s">
        <v>196</v>
      </c>
      <c r="C193" s="92"/>
      <c r="D193" s="22"/>
      <c r="E193" s="92" t="s">
        <v>197</v>
      </c>
      <c r="F193" s="22"/>
      <c r="G193" s="22"/>
      <c r="H193" s="32"/>
      <c r="J193" s="30" t="s">
        <v>195</v>
      </c>
      <c r="K193" s="31" t="s">
        <v>196</v>
      </c>
      <c r="L193" s="31"/>
      <c r="M193" s="22"/>
      <c r="N193" s="31" t="s">
        <v>197</v>
      </c>
      <c r="O193" s="22"/>
      <c r="P193" s="22"/>
      <c r="Q193" s="32"/>
      <c r="S193" s="30" t="s">
        <v>195</v>
      </c>
      <c r="T193" s="31" t="s">
        <v>196</v>
      </c>
      <c r="U193" s="31"/>
      <c r="V193" s="22"/>
      <c r="W193" s="31" t="s">
        <v>197</v>
      </c>
      <c r="X193" s="22"/>
      <c r="Y193" s="22"/>
      <c r="Z193" s="32"/>
      <c r="AB193" s="30" t="s">
        <v>195</v>
      </c>
      <c r="AC193" s="31" t="s">
        <v>196</v>
      </c>
      <c r="AD193" s="31"/>
      <c r="AE193" s="22"/>
      <c r="AF193" s="31" t="s">
        <v>197</v>
      </c>
      <c r="AG193" s="22"/>
      <c r="AH193" s="22"/>
      <c r="AI193" s="32"/>
    </row>
    <row r="194" customFormat="false" ht="18.7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E179+A194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198</v>
      </c>
      <c r="B196" s="92" t="s">
        <v>199</v>
      </c>
      <c r="C196" s="92"/>
      <c r="D196" s="92"/>
      <c r="E196" s="165" t="s">
        <v>200</v>
      </c>
      <c r="F196" s="22"/>
      <c r="G196" s="22"/>
      <c r="H196" s="32"/>
      <c r="J196" s="30" t="s">
        <v>198</v>
      </c>
      <c r="K196" s="31" t="s">
        <v>199</v>
      </c>
      <c r="L196" s="31"/>
      <c r="M196" s="31"/>
      <c r="N196" s="38" t="s">
        <v>200</v>
      </c>
      <c r="O196" s="22"/>
      <c r="P196" s="22"/>
      <c r="Q196" s="32"/>
      <c r="S196" s="30" t="s">
        <v>198</v>
      </c>
      <c r="T196" s="31" t="s">
        <v>199</v>
      </c>
      <c r="U196" s="31"/>
      <c r="V196" s="31"/>
      <c r="W196" s="38" t="s">
        <v>200</v>
      </c>
      <c r="X196" s="31"/>
      <c r="Y196" s="31"/>
      <c r="Z196" s="32"/>
      <c r="AB196" s="30" t="s">
        <v>198</v>
      </c>
      <c r="AC196" s="31" t="s">
        <v>199</v>
      </c>
      <c r="AD196" s="31"/>
      <c r="AE196" s="31"/>
      <c r="AF196" s="38" t="s">
        <v>200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8.97696</v>
      </c>
      <c r="B197" s="102" t="n">
        <f aca="false">(G167*B76)/1.2</f>
        <v>98.95835</v>
      </c>
      <c r="C197" s="92"/>
      <c r="D197" s="92"/>
      <c r="E197" s="102" t="n">
        <f aca="false">K55*A117*0.1</f>
        <v>18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201</v>
      </c>
      <c r="B199" s="165" t="s">
        <v>202</v>
      </c>
      <c r="C199" s="92"/>
      <c r="D199" s="92"/>
      <c r="E199" s="165" t="s">
        <v>203</v>
      </c>
      <c r="F199" s="22"/>
      <c r="G199" s="22"/>
      <c r="H199" s="32"/>
      <c r="J199" s="59" t="s">
        <v>201</v>
      </c>
      <c r="K199" s="38" t="s">
        <v>202</v>
      </c>
      <c r="L199" s="31"/>
      <c r="M199" s="31"/>
      <c r="N199" s="38" t="s">
        <v>203</v>
      </c>
      <c r="O199" s="22"/>
      <c r="P199" s="22"/>
      <c r="Q199" s="32"/>
      <c r="S199" s="59" t="s">
        <v>201</v>
      </c>
      <c r="T199" s="38" t="s">
        <v>202</v>
      </c>
      <c r="U199" s="31"/>
      <c r="V199" s="31"/>
      <c r="W199" s="38" t="s">
        <v>203</v>
      </c>
      <c r="X199" s="31"/>
      <c r="Y199" s="31"/>
      <c r="Z199" s="32"/>
      <c r="AB199" s="59" t="s">
        <v>201</v>
      </c>
      <c r="AC199" s="38" t="s">
        <v>202</v>
      </c>
      <c r="AD199" s="31"/>
      <c r="AE199" s="31"/>
      <c r="AF199" s="38" t="s">
        <v>203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216.950016666667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204</v>
      </c>
      <c r="B202" s="92"/>
      <c r="C202" s="92"/>
      <c r="D202" s="66"/>
      <c r="E202" s="66"/>
      <c r="F202" s="66"/>
      <c r="G202" s="66"/>
      <c r="H202" s="67"/>
      <c r="J202" s="65" t="s">
        <v>204</v>
      </c>
      <c r="K202" s="31"/>
      <c r="L202" s="31"/>
      <c r="M202" s="66"/>
      <c r="N202" s="66"/>
      <c r="O202" s="66"/>
      <c r="P202" s="66"/>
      <c r="Q202" s="67"/>
      <c r="S202" s="65" t="s">
        <v>204</v>
      </c>
      <c r="T202" s="31"/>
      <c r="U202" s="31"/>
      <c r="V202" s="66"/>
      <c r="W202" s="66"/>
      <c r="X202" s="66"/>
      <c r="Y202" s="66"/>
      <c r="Z202" s="67"/>
      <c r="AB202" s="65" t="s">
        <v>204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1565.20030261575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205</v>
      </c>
      <c r="B209" s="92" t="s">
        <v>206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8.75" hidden="false" customHeight="false" outlineLevel="0" collapsed="false">
      <c r="A210" s="35" t="n">
        <f aca="false">(G176*B68)+E194-E188-A194</f>
        <v>-2282.24399999999</v>
      </c>
      <c r="B210" s="185" t="n">
        <f aca="false">E188+A210+B191+A194</f>
        <v>21717.75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182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127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207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184</v>
      </c>
      <c r="B220" s="191" t="s">
        <v>185</v>
      </c>
      <c r="C220" s="191"/>
      <c r="D220" s="191"/>
      <c r="E220" s="191" t="s">
        <v>186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85.0909090909091</v>
      </c>
      <c r="C221" s="173"/>
      <c r="D221" s="173"/>
      <c r="E221" s="176" t="n">
        <f aca="false">E176</f>
        <v>1565.20030261575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189</v>
      </c>
      <c r="B223" s="92" t="s">
        <v>190</v>
      </c>
      <c r="C223" s="92"/>
      <c r="D223" s="112"/>
      <c r="E223" s="92" t="s">
        <v>191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192</v>
      </c>
      <c r="B226" s="92" t="s">
        <v>138</v>
      </c>
      <c r="C226" s="92"/>
      <c r="D226" s="112"/>
      <c r="E226" s="92" t="s">
        <v>139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140</v>
      </c>
      <c r="B229" s="92" t="s">
        <v>176</v>
      </c>
      <c r="C229" s="92"/>
      <c r="D229" s="112"/>
      <c r="E229" s="92" t="s">
        <v>181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193</v>
      </c>
      <c r="B232" s="92" t="s">
        <v>53</v>
      </c>
      <c r="C232" s="92"/>
      <c r="D232" s="112"/>
      <c r="E232" s="92" t="s">
        <v>194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239.99</v>
      </c>
      <c r="C233" s="102"/>
      <c r="D233" s="112"/>
      <c r="E233" s="102" t="n">
        <f aca="false">E191</f>
        <v>22531.1933287732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195</v>
      </c>
      <c r="B235" s="92" t="s">
        <v>196</v>
      </c>
      <c r="C235" s="92"/>
      <c r="D235" s="112"/>
      <c r="E235" s="92" t="s">
        <v>208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184</v>
      </c>
      <c r="B238" s="92" t="s">
        <v>185</v>
      </c>
      <c r="C238" s="92"/>
      <c r="D238" s="92"/>
      <c r="E238" s="92" t="s">
        <v>186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85.0909090909091</v>
      </c>
      <c r="C239" s="185"/>
      <c r="D239" s="185"/>
      <c r="E239" s="102" t="n">
        <f aca="false">E176</f>
        <v>1565.20030261575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209</v>
      </c>
      <c r="B241" s="92" t="s">
        <v>210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26.93088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211</v>
      </c>
      <c r="B244" s="165" t="s">
        <v>73</v>
      </c>
      <c r="C244" s="92"/>
      <c r="D244" s="92"/>
      <c r="E244" s="165" t="s">
        <v>132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8.97696</v>
      </c>
      <c r="B245" s="102" t="n">
        <f aca="false">E242+A245</f>
        <v>35.90784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212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213</v>
      </c>
      <c r="B248" s="92" t="s">
        <v>199</v>
      </c>
      <c r="C248" s="92"/>
      <c r="D248" s="92"/>
      <c r="E248" s="165" t="s">
        <v>200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18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201</v>
      </c>
      <c r="B251" s="165" t="s">
        <v>202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2008.62001666666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214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215</v>
      </c>
      <c r="B262" s="195" t="n">
        <f aca="false">B72</f>
        <v>0.065</v>
      </c>
      <c r="C262" s="196"/>
      <c r="D262" s="197" t="s">
        <v>216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217</v>
      </c>
      <c r="B263" s="198" t="n">
        <f aca="false">(E191-B191)-(B210-B191-A194)</f>
        <v>823.443328773228</v>
      </c>
      <c r="C263" s="196"/>
      <c r="D263" s="197" t="s">
        <v>218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219</v>
      </c>
      <c r="B264" s="199" t="n">
        <f aca="false">F271+B272</f>
        <v>279.991666666667</v>
      </c>
      <c r="C264" s="196"/>
      <c r="D264" s="197" t="s">
        <v>220</v>
      </c>
      <c r="E264" s="197"/>
      <c r="F264" s="199" t="n">
        <f aca="false">(B263-F263)+B264</f>
        <v>984.684975439895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215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221</v>
      </c>
      <c r="B268" s="204" t="n">
        <f aca="false">B73</f>
        <v>0.05</v>
      </c>
      <c r="C268" s="31"/>
      <c r="D268" s="165" t="s">
        <v>222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216</v>
      </c>
      <c r="B269" s="208" t="n">
        <f aca="false">B92</f>
        <v>0.1255</v>
      </c>
      <c r="C269" s="42"/>
      <c r="D269" s="165" t="s">
        <v>217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223</v>
      </c>
      <c r="B270" s="208" t="n">
        <f aca="false">B76</f>
        <v>0.005</v>
      </c>
      <c r="C270" s="31"/>
      <c r="D270" s="165" t="s">
        <v>223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224</v>
      </c>
      <c r="B271" s="204" t="n">
        <f aca="false">A117</f>
        <v>0.3</v>
      </c>
      <c r="C271" s="31"/>
      <c r="D271" s="165" t="s">
        <v>224</v>
      </c>
      <c r="E271" s="165"/>
      <c r="F271" s="145" t="n">
        <f aca="false">E249*10</f>
        <v>180</v>
      </c>
      <c r="G271" s="22"/>
      <c r="H271" s="32"/>
    </row>
    <row r="272" customFormat="false" ht="18.75" hidden="false" customHeight="false" outlineLevel="0" collapsed="false">
      <c r="A272" s="30" t="s">
        <v>225</v>
      </c>
      <c r="B272" s="145" t="n">
        <f aca="false">A252</f>
        <v>99.9916666666667</v>
      </c>
      <c r="C272" s="31"/>
      <c r="D272" s="38" t="s">
        <v>220</v>
      </c>
      <c r="E272" s="38"/>
      <c r="F272" s="145" t="n">
        <f aca="false">(B263-F263)+B264</f>
        <v>984.684975439895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226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227</v>
      </c>
      <c r="B275" s="150" t="n">
        <v>0</v>
      </c>
      <c r="C275" s="31"/>
      <c r="D275" s="209" t="s">
        <v>228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229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230</v>
      </c>
      <c r="B277" s="210" t="s">
        <v>4</v>
      </c>
      <c r="C277" s="31"/>
      <c r="D277" s="165" t="s">
        <v>231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232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233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234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05" colorId="64" zoomScale="85" zoomScaleNormal="85" zoomScalePageLayoutView="100" workbookViewId="0">
      <selection pane="topLeft" activeCell="E179" activeCellId="0" sqref="E179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283.333333333333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286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286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286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286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286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1480.10939352484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122</v>
      </c>
      <c r="B109" s="99"/>
      <c r="C109" s="99"/>
      <c r="D109" s="99"/>
      <c r="E109" s="99"/>
      <c r="F109" s="99"/>
      <c r="G109" s="99"/>
      <c r="H109" s="99"/>
      <c r="J109" s="23" t="s">
        <v>123</v>
      </c>
      <c r="K109" s="23"/>
      <c r="L109" s="23"/>
      <c r="M109" s="23"/>
      <c r="N109" s="23"/>
      <c r="O109" s="23"/>
      <c r="P109" s="23"/>
      <c r="Q109" s="23"/>
      <c r="S109" s="99" t="s">
        <v>124</v>
      </c>
      <c r="T109" s="99"/>
      <c r="U109" s="99"/>
      <c r="V109" s="99"/>
      <c r="W109" s="99"/>
      <c r="X109" s="99"/>
      <c r="Y109" s="99"/>
      <c r="Z109" s="99"/>
      <c r="AB109" s="99" t="s">
        <v>125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126</v>
      </c>
      <c r="K111" s="27"/>
      <c r="L111" s="27"/>
      <c r="M111" s="27"/>
      <c r="N111" s="27"/>
      <c r="O111" s="27"/>
      <c r="P111" s="27"/>
      <c r="Q111" s="27"/>
      <c r="S111" s="27" t="s">
        <v>126</v>
      </c>
      <c r="T111" s="27"/>
      <c r="U111" s="27"/>
      <c r="V111" s="27"/>
      <c r="W111" s="27"/>
      <c r="X111" s="27"/>
      <c r="Y111" s="27"/>
      <c r="Z111" s="27"/>
      <c r="AB111" s="27" t="s">
        <v>126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127</v>
      </c>
      <c r="B113" s="31" t="s">
        <v>23</v>
      </c>
      <c r="C113" s="31"/>
      <c r="D113" s="31"/>
      <c r="E113" s="31" t="s">
        <v>128</v>
      </c>
      <c r="F113" s="31"/>
      <c r="G113" s="31"/>
      <c r="H113" s="32"/>
      <c r="J113" s="30" t="s">
        <v>127</v>
      </c>
      <c r="K113" s="31" t="s">
        <v>23</v>
      </c>
      <c r="L113" s="31"/>
      <c r="M113" s="31"/>
      <c r="N113" s="31" t="s">
        <v>128</v>
      </c>
      <c r="O113" s="31"/>
      <c r="P113" s="31"/>
      <c r="Q113" s="32"/>
      <c r="S113" s="30" t="s">
        <v>127</v>
      </c>
      <c r="T113" s="31" t="s">
        <v>23</v>
      </c>
      <c r="U113" s="31"/>
      <c r="V113" s="31"/>
      <c r="W113" s="31" t="s">
        <v>128</v>
      </c>
      <c r="X113" s="31"/>
      <c r="Y113" s="31"/>
      <c r="Z113" s="32"/>
      <c r="AB113" s="30" t="s">
        <v>127</v>
      </c>
      <c r="AC113" s="31" t="s">
        <v>23</v>
      </c>
      <c r="AD113" s="31"/>
      <c r="AE113" s="31"/>
      <c r="AF113" s="31" t="s">
        <v>128</v>
      </c>
      <c r="AG113" s="31"/>
      <c r="AH113" s="31"/>
      <c r="AI113" s="32"/>
    </row>
    <row r="114" customFormat="false" ht="19.5" hidden="false" customHeight="false" outlineLevel="0" collapsed="false">
      <c r="A114" s="35" t="s">
        <v>129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129</v>
      </c>
      <c r="K114" s="104" t="s">
        <v>130</v>
      </c>
      <c r="L114" s="104"/>
      <c r="M114" s="104"/>
      <c r="N114" s="103" t="s">
        <v>18</v>
      </c>
      <c r="O114" s="103"/>
      <c r="P114" s="103"/>
      <c r="Q114" s="101"/>
      <c r="S114" s="35" t="s">
        <v>129</v>
      </c>
      <c r="T114" s="102" t="s">
        <v>130</v>
      </c>
      <c r="U114" s="102"/>
      <c r="V114" s="102"/>
      <c r="W114" s="103" t="s">
        <v>18</v>
      </c>
      <c r="X114" s="103"/>
      <c r="Y114" s="103"/>
      <c r="Z114" s="101"/>
      <c r="AB114" s="35" t="s">
        <v>129</v>
      </c>
      <c r="AC114" s="102" t="s">
        <v>130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131</v>
      </c>
      <c r="B116" s="31" t="s">
        <v>132</v>
      </c>
      <c r="C116" s="31"/>
      <c r="D116" s="22"/>
      <c r="E116" s="31" t="s">
        <v>133</v>
      </c>
      <c r="F116" s="31"/>
      <c r="G116" s="22"/>
      <c r="H116" s="101"/>
      <c r="J116" s="30" t="s">
        <v>131</v>
      </c>
      <c r="K116" s="31" t="s">
        <v>132</v>
      </c>
      <c r="L116" s="31"/>
      <c r="M116" s="22"/>
      <c r="N116" s="31" t="s">
        <v>133</v>
      </c>
      <c r="O116" s="31"/>
      <c r="P116" s="22"/>
      <c r="Q116" s="101"/>
      <c r="S116" s="30" t="s">
        <v>131</v>
      </c>
      <c r="T116" s="31" t="s">
        <v>132</v>
      </c>
      <c r="U116" s="31"/>
      <c r="V116" s="22"/>
      <c r="W116" s="31" t="s">
        <v>133</v>
      </c>
      <c r="X116" s="31"/>
      <c r="Y116" s="22"/>
      <c r="Z116" s="101"/>
      <c r="AB116" s="30" t="s">
        <v>131</v>
      </c>
      <c r="AC116" s="31" t="s">
        <v>132</v>
      </c>
      <c r="AD116" s="31"/>
      <c r="AE116" s="22"/>
      <c r="AF116" s="31" t="s">
        <v>133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134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134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135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135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136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134</v>
      </c>
    </row>
    <row r="119" customFormat="false" ht="19.5" hidden="false" customHeight="false" outlineLevel="0" collapsed="false">
      <c r="A119" s="30" t="s">
        <v>137</v>
      </c>
      <c r="B119" s="31" t="s">
        <v>138</v>
      </c>
      <c r="C119" s="31"/>
      <c r="D119" s="31"/>
      <c r="E119" s="31" t="s">
        <v>139</v>
      </c>
      <c r="F119" s="31"/>
      <c r="G119" s="31"/>
      <c r="H119" s="32"/>
      <c r="J119" s="30" t="s">
        <v>137</v>
      </c>
      <c r="K119" s="31" t="s">
        <v>138</v>
      </c>
      <c r="L119" s="31"/>
      <c r="M119" s="31"/>
      <c r="N119" s="31" t="s">
        <v>139</v>
      </c>
      <c r="O119" s="31"/>
      <c r="P119" s="31"/>
      <c r="Q119" s="32"/>
      <c r="S119" s="30" t="s">
        <v>137</v>
      </c>
      <c r="T119" s="31" t="s">
        <v>138</v>
      </c>
      <c r="U119" s="31"/>
      <c r="V119" s="31"/>
      <c r="W119" s="31" t="s">
        <v>139</v>
      </c>
      <c r="X119" s="31"/>
      <c r="Y119" s="31"/>
      <c r="Z119" s="32"/>
      <c r="AB119" s="30" t="s">
        <v>137</v>
      </c>
      <c r="AC119" s="31" t="s">
        <v>138</v>
      </c>
      <c r="AD119" s="31"/>
      <c r="AE119" s="31"/>
      <c r="AF119" s="31" t="s">
        <v>139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140</v>
      </c>
      <c r="B122" s="31" t="s">
        <v>141</v>
      </c>
      <c r="C122" s="31"/>
      <c r="D122" s="31"/>
      <c r="E122" s="31" t="s">
        <v>142</v>
      </c>
      <c r="F122" s="31"/>
      <c r="G122" s="22"/>
      <c r="H122" s="101"/>
      <c r="J122" s="109" t="s">
        <v>140</v>
      </c>
      <c r="K122" s="31" t="s">
        <v>141</v>
      </c>
      <c r="L122" s="31"/>
      <c r="M122" s="31"/>
      <c r="N122" s="31" t="s">
        <v>142</v>
      </c>
      <c r="O122" s="31"/>
      <c r="P122" s="22"/>
      <c r="Q122" s="101"/>
      <c r="S122" s="109" t="s">
        <v>140</v>
      </c>
      <c r="T122" s="31" t="s">
        <v>141</v>
      </c>
      <c r="U122" s="31"/>
      <c r="V122" s="31"/>
      <c r="W122" s="31" t="s">
        <v>142</v>
      </c>
      <c r="X122" s="31"/>
      <c r="Y122" s="22"/>
      <c r="Z122" s="101"/>
      <c r="AB122" s="109" t="s">
        <v>140</v>
      </c>
      <c r="AC122" s="31" t="s">
        <v>141</v>
      </c>
      <c r="AD122" s="31"/>
      <c r="AE122" s="31"/>
      <c r="AF122" s="31" t="s">
        <v>142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144</v>
      </c>
      <c r="B126" s="27"/>
      <c r="C126" s="27"/>
      <c r="D126" s="27"/>
      <c r="E126" s="27"/>
      <c r="F126" s="27"/>
      <c r="G126" s="27"/>
      <c r="H126" s="27"/>
      <c r="J126" s="27" t="s">
        <v>144</v>
      </c>
      <c r="K126" s="27"/>
      <c r="L126" s="27"/>
      <c r="M126" s="27"/>
      <c r="N126" s="27"/>
      <c r="O126" s="27"/>
      <c r="P126" s="27"/>
      <c r="Q126" s="27"/>
      <c r="S126" s="27" t="s">
        <v>144</v>
      </c>
      <c r="T126" s="27"/>
      <c r="U126" s="27"/>
      <c r="V126" s="27"/>
      <c r="W126" s="27"/>
      <c r="X126" s="27"/>
      <c r="Y126" s="27"/>
      <c r="Z126" s="27"/>
      <c r="AB126" s="27" t="s">
        <v>144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145</v>
      </c>
      <c r="C128" s="113"/>
      <c r="D128" s="113" t="s">
        <v>146</v>
      </c>
      <c r="E128" s="113"/>
      <c r="F128" s="113" t="s">
        <v>147</v>
      </c>
      <c r="G128" s="113"/>
      <c r="H128" s="114" t="s">
        <v>148</v>
      </c>
      <c r="J128" s="77"/>
      <c r="K128" s="113" t="s">
        <v>145</v>
      </c>
      <c r="L128" s="113"/>
      <c r="M128" s="113" t="s">
        <v>146</v>
      </c>
      <c r="N128" s="113"/>
      <c r="O128" s="113" t="s">
        <v>147</v>
      </c>
      <c r="P128" s="113"/>
      <c r="Q128" s="114" t="s">
        <v>148</v>
      </c>
      <c r="S128" s="77"/>
      <c r="T128" s="113" t="s">
        <v>145</v>
      </c>
      <c r="U128" s="113"/>
      <c r="V128" s="113" t="s">
        <v>146</v>
      </c>
      <c r="W128" s="113"/>
      <c r="X128" s="113" t="s">
        <v>147</v>
      </c>
      <c r="Y128" s="113"/>
      <c r="Z128" s="114" t="s">
        <v>148</v>
      </c>
      <c r="AB128" s="77"/>
      <c r="AC128" s="113" t="s">
        <v>145</v>
      </c>
      <c r="AD128" s="113"/>
      <c r="AE128" s="113" t="s">
        <v>146</v>
      </c>
      <c r="AF128" s="113"/>
      <c r="AG128" s="113" t="s">
        <v>147</v>
      </c>
      <c r="AH128" s="113"/>
      <c r="AI128" s="114" t="s">
        <v>148</v>
      </c>
    </row>
    <row r="129" customFormat="false" ht="21.75" hidden="false" customHeight="false" outlineLevel="0" collapsed="false">
      <c r="A129" s="79"/>
      <c r="B129" s="115" t="s">
        <v>149</v>
      </c>
      <c r="C129" s="116" t="s">
        <v>150</v>
      </c>
      <c r="D129" s="115" t="s">
        <v>149</v>
      </c>
      <c r="E129" s="117" t="s">
        <v>150</v>
      </c>
      <c r="F129" s="115" t="s">
        <v>149</v>
      </c>
      <c r="G129" s="117" t="s">
        <v>150</v>
      </c>
      <c r="H129" s="118"/>
      <c r="J129" s="79"/>
      <c r="K129" s="115" t="s">
        <v>149</v>
      </c>
      <c r="L129" s="116" t="s">
        <v>150</v>
      </c>
      <c r="M129" s="115" t="s">
        <v>149</v>
      </c>
      <c r="N129" s="117" t="s">
        <v>150</v>
      </c>
      <c r="O129" s="115" t="s">
        <v>149</v>
      </c>
      <c r="P129" s="117" t="s">
        <v>150</v>
      </c>
      <c r="Q129" s="118"/>
      <c r="S129" s="79"/>
      <c r="T129" s="115" t="s">
        <v>149</v>
      </c>
      <c r="U129" s="116" t="s">
        <v>150</v>
      </c>
      <c r="V129" s="115" t="s">
        <v>149</v>
      </c>
      <c r="W129" s="117" t="s">
        <v>150</v>
      </c>
      <c r="X129" s="115" t="s">
        <v>149</v>
      </c>
      <c r="Y129" s="117" t="s">
        <v>150</v>
      </c>
      <c r="Z129" s="118"/>
      <c r="AB129" s="79"/>
      <c r="AC129" s="115" t="s">
        <v>149</v>
      </c>
      <c r="AD129" s="116" t="s">
        <v>150</v>
      </c>
      <c r="AE129" s="115" t="s">
        <v>149</v>
      </c>
      <c r="AF129" s="117" t="s">
        <v>150</v>
      </c>
      <c r="AG129" s="115" t="s">
        <v>149</v>
      </c>
      <c r="AH129" s="117" t="s">
        <v>150</v>
      </c>
      <c r="AI129" s="118"/>
    </row>
    <row r="130" customFormat="false" ht="19.5" hidden="false" customHeight="false" outlineLevel="0" collapsed="false">
      <c r="A130" s="24" t="s">
        <v>151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151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151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151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152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152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152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152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153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153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153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153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154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154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154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154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155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155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155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155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149</v>
      </c>
      <c r="H136" s="136" t="s">
        <v>150</v>
      </c>
      <c r="J136" s="133"/>
      <c r="K136" s="137"/>
      <c r="L136" s="137"/>
      <c r="M136" s="137"/>
      <c r="N136" s="137"/>
      <c r="O136" s="137"/>
      <c r="P136" s="138" t="s">
        <v>149</v>
      </c>
      <c r="Q136" s="136" t="s">
        <v>150</v>
      </c>
      <c r="S136" s="133"/>
      <c r="T136" s="137"/>
      <c r="U136" s="137"/>
      <c r="V136" s="137"/>
      <c r="W136" s="137"/>
      <c r="X136" s="137"/>
      <c r="Y136" s="138" t="s">
        <v>149</v>
      </c>
      <c r="Z136" s="136" t="s">
        <v>150</v>
      </c>
      <c r="AB136" s="133"/>
      <c r="AC136" s="137"/>
      <c r="AD136" s="137"/>
      <c r="AE136" s="137"/>
      <c r="AF136" s="137"/>
      <c r="AG136" s="137"/>
      <c r="AH136" s="138" t="s">
        <v>149</v>
      </c>
      <c r="AI136" s="136" t="s">
        <v>150</v>
      </c>
    </row>
    <row r="137" customFormat="false" ht="18.75" hidden="false" customHeight="false" outlineLevel="0" collapsed="false">
      <c r="A137" s="139" t="s">
        <v>156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156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156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156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157</v>
      </c>
      <c r="B139" s="143" t="s">
        <v>158</v>
      </c>
      <c r="C139" s="143"/>
      <c r="D139" s="143" t="s">
        <v>159</v>
      </c>
      <c r="E139" s="143"/>
      <c r="F139" s="143" t="s">
        <v>153</v>
      </c>
      <c r="G139" s="143"/>
      <c r="H139" s="144" t="s">
        <v>150</v>
      </c>
      <c r="J139" s="146" t="s">
        <v>157</v>
      </c>
      <c r="K139" s="147" t="s">
        <v>158</v>
      </c>
      <c r="L139" s="147"/>
      <c r="M139" s="143" t="s">
        <v>159</v>
      </c>
      <c r="N139" s="143"/>
      <c r="O139" s="143" t="s">
        <v>153</v>
      </c>
      <c r="P139" s="143"/>
      <c r="Q139" s="144" t="s">
        <v>150</v>
      </c>
      <c r="S139" s="146" t="s">
        <v>157</v>
      </c>
      <c r="T139" s="143" t="s">
        <v>158</v>
      </c>
      <c r="U139" s="143"/>
      <c r="V139" s="143" t="s">
        <v>159</v>
      </c>
      <c r="W139" s="143"/>
      <c r="X139" s="143" t="s">
        <v>153</v>
      </c>
      <c r="Y139" s="143"/>
      <c r="Z139" s="144" t="s">
        <v>150</v>
      </c>
      <c r="AB139" s="146" t="s">
        <v>157</v>
      </c>
      <c r="AC139" s="143" t="s">
        <v>158</v>
      </c>
      <c r="AD139" s="143"/>
      <c r="AE139" s="143" t="s">
        <v>159</v>
      </c>
      <c r="AF139" s="143"/>
      <c r="AG139" s="143" t="s">
        <v>153</v>
      </c>
      <c r="AH139" s="143"/>
      <c r="AI139" s="144" t="s">
        <v>150</v>
      </c>
    </row>
    <row r="140" customFormat="false" ht="19.5" hidden="false" customHeight="false" outlineLevel="0" collapsed="false">
      <c r="A140" s="30" t="s">
        <v>160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160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160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160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161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161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161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161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162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162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162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162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163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163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163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163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164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164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164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164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165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165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165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165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166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166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166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166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167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167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167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167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168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168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168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168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169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169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169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169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170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170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170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170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171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171</v>
      </c>
      <c r="K152" s="158"/>
      <c r="L152" s="158"/>
      <c r="M152" s="158"/>
      <c r="N152" s="158"/>
      <c r="O152" s="158"/>
      <c r="P152" s="37"/>
      <c r="Q152" s="32"/>
      <c r="S152" s="110" t="s">
        <v>171</v>
      </c>
      <c r="T152" s="110"/>
      <c r="U152" s="110"/>
      <c r="V152" s="110"/>
      <c r="W152" s="110"/>
      <c r="X152" s="110"/>
      <c r="Y152" s="37"/>
      <c r="Z152" s="32"/>
      <c r="AB152" s="110" t="s">
        <v>171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172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172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172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172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172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172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172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172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172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172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172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173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173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173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173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174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174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174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174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175</v>
      </c>
      <c r="B159" s="27"/>
      <c r="C159" s="27"/>
      <c r="D159" s="27"/>
      <c r="E159" s="27"/>
      <c r="F159" s="27"/>
      <c r="G159" s="27"/>
      <c r="H159" s="27"/>
      <c r="J159" s="27" t="s">
        <v>175</v>
      </c>
      <c r="K159" s="27"/>
      <c r="L159" s="27"/>
      <c r="M159" s="27"/>
      <c r="N159" s="27"/>
      <c r="O159" s="27"/>
      <c r="P159" s="27"/>
      <c r="Q159" s="27"/>
      <c r="S159" s="27" t="s">
        <v>175</v>
      </c>
      <c r="T159" s="27"/>
      <c r="U159" s="27"/>
      <c r="V159" s="27"/>
      <c r="W159" s="27"/>
      <c r="X159" s="27"/>
      <c r="Y159" s="27"/>
      <c r="Z159" s="27"/>
      <c r="AB159" s="27" t="s">
        <v>175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176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176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176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176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177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177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177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177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178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178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178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178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179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179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179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179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180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180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180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180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181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181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181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181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182</v>
      </c>
      <c r="B171" s="27"/>
      <c r="C171" s="27"/>
      <c r="D171" s="27"/>
      <c r="E171" s="27"/>
      <c r="F171" s="27"/>
      <c r="G171" s="27"/>
      <c r="H171" s="27"/>
      <c r="J171" s="27" t="s">
        <v>182</v>
      </c>
      <c r="K171" s="27"/>
      <c r="L171" s="27"/>
      <c r="M171" s="27"/>
      <c r="N171" s="27"/>
      <c r="O171" s="27"/>
      <c r="P171" s="27"/>
      <c r="Q171" s="27"/>
      <c r="S171" s="27" t="s">
        <v>182</v>
      </c>
      <c r="T171" s="27"/>
      <c r="U171" s="27"/>
      <c r="V171" s="27"/>
      <c r="W171" s="27"/>
      <c r="X171" s="27"/>
      <c r="Y171" s="27"/>
      <c r="Z171" s="27"/>
      <c r="AB171" s="27" t="s">
        <v>182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183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183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183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183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184</v>
      </c>
      <c r="B175" s="173" t="s">
        <v>185</v>
      </c>
      <c r="C175" s="173"/>
      <c r="D175" s="173"/>
      <c r="E175" s="173" t="s">
        <v>186</v>
      </c>
      <c r="F175" s="22"/>
      <c r="G175" s="22" t="s">
        <v>187</v>
      </c>
      <c r="H175" s="32"/>
      <c r="J175" s="172" t="s">
        <v>184</v>
      </c>
      <c r="K175" s="174" t="s">
        <v>185</v>
      </c>
      <c r="L175" s="174"/>
      <c r="M175" s="174"/>
      <c r="N175" s="174" t="s">
        <v>186</v>
      </c>
      <c r="O175" s="22"/>
      <c r="P175" s="22"/>
      <c r="Q175" s="32"/>
      <c r="S175" s="172" t="s">
        <v>184</v>
      </c>
      <c r="T175" s="174" t="s">
        <v>185</v>
      </c>
      <c r="U175" s="174"/>
      <c r="V175" s="174"/>
      <c r="W175" s="174" t="s">
        <v>186</v>
      </c>
      <c r="X175" s="22"/>
      <c r="Y175" s="22"/>
      <c r="Z175" s="32"/>
      <c r="AB175" s="172" t="s">
        <v>184</v>
      </c>
      <c r="AC175" s="174" t="s">
        <v>185</v>
      </c>
      <c r="AD175" s="174"/>
      <c r="AE175" s="174"/>
      <c r="AF175" s="174" t="s">
        <v>186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0</v>
      </c>
      <c r="C176" s="173"/>
      <c r="D176" s="173"/>
      <c r="E176" s="176" t="n">
        <f aca="false">B105</f>
        <v>1480.10939352484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188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188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188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188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189</v>
      </c>
      <c r="B181" s="92" t="s">
        <v>190</v>
      </c>
      <c r="C181" s="92"/>
      <c r="D181" s="22"/>
      <c r="E181" s="92" t="s">
        <v>191</v>
      </c>
      <c r="F181" s="22"/>
      <c r="G181" s="22"/>
      <c r="H181" s="32"/>
      <c r="J181" s="30" t="s">
        <v>189</v>
      </c>
      <c r="K181" s="31" t="s">
        <v>190</v>
      </c>
      <c r="L181" s="31"/>
      <c r="M181" s="22"/>
      <c r="N181" s="31" t="s">
        <v>191</v>
      </c>
      <c r="O181" s="22"/>
      <c r="P181" s="22"/>
      <c r="Q181" s="32"/>
      <c r="S181" s="30" t="s">
        <v>189</v>
      </c>
      <c r="T181" s="31" t="s">
        <v>190</v>
      </c>
      <c r="U181" s="31"/>
      <c r="V181" s="22"/>
      <c r="W181" s="31" t="s">
        <v>191</v>
      </c>
      <c r="X181" s="22"/>
      <c r="Y181" s="22"/>
      <c r="Z181" s="32"/>
      <c r="AB181" s="30" t="s">
        <v>189</v>
      </c>
      <c r="AC181" s="31" t="s">
        <v>190</v>
      </c>
      <c r="AD181" s="31"/>
      <c r="AE181" s="22"/>
      <c r="AF181" s="31" t="s">
        <v>191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192</v>
      </c>
      <c r="B184" s="92" t="s">
        <v>138</v>
      </c>
      <c r="C184" s="92"/>
      <c r="D184" s="22"/>
      <c r="E184" s="92" t="s">
        <v>139</v>
      </c>
      <c r="F184" s="22"/>
      <c r="G184" s="22"/>
      <c r="H184" s="32"/>
      <c r="J184" s="30" t="s">
        <v>192</v>
      </c>
      <c r="K184" s="31" t="s">
        <v>138</v>
      </c>
      <c r="L184" s="31"/>
      <c r="M184" s="22"/>
      <c r="N184" s="31" t="s">
        <v>139</v>
      </c>
      <c r="O184" s="22"/>
      <c r="P184" s="22"/>
      <c r="Q184" s="32"/>
      <c r="S184" s="30" t="s">
        <v>192</v>
      </c>
      <c r="T184" s="31" t="s">
        <v>138</v>
      </c>
      <c r="U184" s="31"/>
      <c r="V184" s="22"/>
      <c r="W184" s="31" t="s">
        <v>139</v>
      </c>
      <c r="X184" s="22"/>
      <c r="Y184" s="22"/>
      <c r="Z184" s="32"/>
      <c r="AB184" s="30" t="s">
        <v>192</v>
      </c>
      <c r="AC184" s="31" t="s">
        <v>138</v>
      </c>
      <c r="AD184" s="31"/>
      <c r="AE184" s="22"/>
      <c r="AF184" s="31" t="s">
        <v>139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140</v>
      </c>
      <c r="B187" s="92" t="s">
        <v>176</v>
      </c>
      <c r="C187" s="92"/>
      <c r="D187" s="22"/>
      <c r="E187" s="92" t="s">
        <v>181</v>
      </c>
      <c r="F187" s="22"/>
      <c r="G187" s="22"/>
      <c r="H187" s="32"/>
      <c r="J187" s="30" t="s">
        <v>140</v>
      </c>
      <c r="K187" s="31" t="s">
        <v>176</v>
      </c>
      <c r="L187" s="31"/>
      <c r="M187" s="22"/>
      <c r="N187" s="31" t="s">
        <v>181</v>
      </c>
      <c r="O187" s="22"/>
      <c r="P187" s="22"/>
      <c r="Q187" s="32"/>
      <c r="S187" s="30" t="s">
        <v>140</v>
      </c>
      <c r="T187" s="31" t="s">
        <v>176</v>
      </c>
      <c r="U187" s="31"/>
      <c r="V187" s="22"/>
      <c r="W187" s="31" t="s">
        <v>181</v>
      </c>
      <c r="X187" s="22"/>
      <c r="Y187" s="22"/>
      <c r="Z187" s="32"/>
      <c r="AB187" s="30" t="s">
        <v>140</v>
      </c>
      <c r="AC187" s="31" t="s">
        <v>176</v>
      </c>
      <c r="AD187" s="31"/>
      <c r="AE187" s="22"/>
      <c r="AF187" s="31" t="s">
        <v>181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193</v>
      </c>
      <c r="B190" s="92" t="s">
        <v>53</v>
      </c>
      <c r="C190" s="92"/>
      <c r="D190" s="22"/>
      <c r="E190" s="92" t="s">
        <v>194</v>
      </c>
      <c r="F190" s="22"/>
      <c r="G190" s="22"/>
      <c r="H190" s="32"/>
      <c r="J190" s="30" t="s">
        <v>193</v>
      </c>
      <c r="K190" s="31" t="s">
        <v>53</v>
      </c>
      <c r="L190" s="31"/>
      <c r="M190" s="22"/>
      <c r="N190" s="31" t="s">
        <v>194</v>
      </c>
      <c r="O190" s="22"/>
      <c r="P190" s="22"/>
      <c r="Q190" s="32"/>
      <c r="S190" s="30" t="s">
        <v>193</v>
      </c>
      <c r="T190" s="31" t="s">
        <v>53</v>
      </c>
      <c r="U190" s="31"/>
      <c r="V190" s="22"/>
      <c r="W190" s="31" t="s">
        <v>194</v>
      </c>
      <c r="X190" s="22"/>
      <c r="Y190" s="22"/>
      <c r="Z190" s="32"/>
      <c r="AB190" s="30" t="s">
        <v>193</v>
      </c>
      <c r="AC190" s="31" t="s">
        <v>53</v>
      </c>
      <c r="AD190" s="31"/>
      <c r="AE190" s="22"/>
      <c r="AF190" s="31" t="s">
        <v>194</v>
      </c>
      <c r="AG190" s="22"/>
      <c r="AH190" s="22"/>
      <c r="AI190" s="32"/>
    </row>
    <row r="191" customFormat="false" ht="18.7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199.99</v>
      </c>
      <c r="C191" s="102"/>
      <c r="D191" s="22"/>
      <c r="E191" s="102" t="n">
        <f aca="false">E188+A191+(B191*1.2)+A194</f>
        <v>22531.1913287732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195</v>
      </c>
      <c r="B193" s="92" t="s">
        <v>196</v>
      </c>
      <c r="C193" s="92"/>
      <c r="D193" s="22"/>
      <c r="E193" s="92" t="s">
        <v>197</v>
      </c>
      <c r="F193" s="22"/>
      <c r="G193" s="22"/>
      <c r="H193" s="32"/>
      <c r="J193" s="30" t="s">
        <v>195</v>
      </c>
      <c r="K193" s="31" t="s">
        <v>196</v>
      </c>
      <c r="L193" s="31"/>
      <c r="M193" s="22"/>
      <c r="N193" s="31" t="s">
        <v>197</v>
      </c>
      <c r="O193" s="22"/>
      <c r="P193" s="22"/>
      <c r="Q193" s="32"/>
      <c r="S193" s="30" t="s">
        <v>195</v>
      </c>
      <c r="T193" s="31" t="s">
        <v>196</v>
      </c>
      <c r="U193" s="31"/>
      <c r="V193" s="22"/>
      <c r="W193" s="31" t="s">
        <v>197</v>
      </c>
      <c r="X193" s="22"/>
      <c r="Y193" s="22"/>
      <c r="Z193" s="32"/>
      <c r="AB193" s="30" t="s">
        <v>195</v>
      </c>
      <c r="AC193" s="31" t="s">
        <v>196</v>
      </c>
      <c r="AD193" s="31"/>
      <c r="AE193" s="22"/>
      <c r="AF193" s="31" t="s">
        <v>197</v>
      </c>
      <c r="AG193" s="22"/>
      <c r="AH193" s="22"/>
      <c r="AI193" s="32"/>
    </row>
    <row r="194" customFormat="false" ht="18.7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E179+A194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198</v>
      </c>
      <c r="B196" s="92" t="s">
        <v>199</v>
      </c>
      <c r="C196" s="92"/>
      <c r="D196" s="92"/>
      <c r="E196" s="165" t="s">
        <v>200</v>
      </c>
      <c r="F196" s="22"/>
      <c r="G196" s="22"/>
      <c r="H196" s="32"/>
      <c r="J196" s="30" t="s">
        <v>198</v>
      </c>
      <c r="K196" s="31" t="s">
        <v>199</v>
      </c>
      <c r="L196" s="31"/>
      <c r="M196" s="31"/>
      <c r="N196" s="38" t="s">
        <v>200</v>
      </c>
      <c r="O196" s="22"/>
      <c r="P196" s="22"/>
      <c r="Q196" s="32"/>
      <c r="S196" s="30" t="s">
        <v>198</v>
      </c>
      <c r="T196" s="31" t="s">
        <v>199</v>
      </c>
      <c r="U196" s="31"/>
      <c r="V196" s="31"/>
      <c r="W196" s="38" t="s">
        <v>200</v>
      </c>
      <c r="X196" s="31"/>
      <c r="Y196" s="31"/>
      <c r="Z196" s="32"/>
      <c r="AB196" s="30" t="s">
        <v>198</v>
      </c>
      <c r="AC196" s="31" t="s">
        <v>199</v>
      </c>
      <c r="AD196" s="31"/>
      <c r="AE196" s="31"/>
      <c r="AF196" s="38" t="s">
        <v>200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7.4808</v>
      </c>
      <c r="B197" s="102" t="n">
        <f aca="false">(G167*B76)/1.2</f>
        <v>98.95835</v>
      </c>
      <c r="C197" s="92"/>
      <c r="D197" s="92"/>
      <c r="E197" s="102" t="n">
        <f aca="false">K55*A117*0.1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201</v>
      </c>
      <c r="B199" s="165" t="s">
        <v>202</v>
      </c>
      <c r="C199" s="92"/>
      <c r="D199" s="92"/>
      <c r="E199" s="165" t="s">
        <v>203</v>
      </c>
      <c r="F199" s="22"/>
      <c r="G199" s="22"/>
      <c r="H199" s="32"/>
      <c r="J199" s="59" t="s">
        <v>201</v>
      </c>
      <c r="K199" s="38" t="s">
        <v>202</v>
      </c>
      <c r="L199" s="31"/>
      <c r="M199" s="31"/>
      <c r="N199" s="38" t="s">
        <v>203</v>
      </c>
      <c r="O199" s="22"/>
      <c r="P199" s="22"/>
      <c r="Q199" s="32"/>
      <c r="S199" s="59" t="s">
        <v>201</v>
      </c>
      <c r="T199" s="38" t="s">
        <v>202</v>
      </c>
      <c r="U199" s="31"/>
      <c r="V199" s="31"/>
      <c r="W199" s="38" t="s">
        <v>203</v>
      </c>
      <c r="X199" s="31"/>
      <c r="Y199" s="31"/>
      <c r="Z199" s="32"/>
      <c r="AB199" s="59" t="s">
        <v>201</v>
      </c>
      <c r="AC199" s="38" t="s">
        <v>202</v>
      </c>
      <c r="AD199" s="31"/>
      <c r="AE199" s="31"/>
      <c r="AF199" s="38" t="s">
        <v>203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198.94835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204</v>
      </c>
      <c r="B202" s="92"/>
      <c r="C202" s="92"/>
      <c r="D202" s="66"/>
      <c r="E202" s="66"/>
      <c r="F202" s="66"/>
      <c r="G202" s="66"/>
      <c r="H202" s="67"/>
      <c r="J202" s="65" t="s">
        <v>204</v>
      </c>
      <c r="K202" s="31"/>
      <c r="L202" s="31"/>
      <c r="M202" s="66"/>
      <c r="N202" s="66"/>
      <c r="O202" s="66"/>
      <c r="P202" s="66"/>
      <c r="Q202" s="67"/>
      <c r="S202" s="65" t="s">
        <v>204</v>
      </c>
      <c r="T202" s="31"/>
      <c r="U202" s="31"/>
      <c r="V202" s="66"/>
      <c r="W202" s="66"/>
      <c r="X202" s="66"/>
      <c r="Y202" s="66"/>
      <c r="Z202" s="67"/>
      <c r="AB202" s="65" t="s">
        <v>204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1480.10939352484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205</v>
      </c>
      <c r="B209" s="92" t="s">
        <v>206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8.75" hidden="false" customHeight="false" outlineLevel="0" collapsed="false">
      <c r="A210" s="35" t="n">
        <f aca="false">(G176*B68)+E194-E188-A194</f>
        <v>-2282.24399999999</v>
      </c>
      <c r="B210" s="185" t="n">
        <f aca="false">E188+A210+(B191*1.2)+A194</f>
        <v>21717.748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182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127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207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184</v>
      </c>
      <c r="B220" s="191" t="s">
        <v>185</v>
      </c>
      <c r="C220" s="191"/>
      <c r="D220" s="191"/>
      <c r="E220" s="191" t="s">
        <v>186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0</v>
      </c>
    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189</v>
      </c>
      <c r="B223" s="92" t="s">
        <v>190</v>
      </c>
      <c r="C223" s="92"/>
      <c r="D223" s="112"/>
      <c r="E223" s="92" t="s">
        <v>191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192</v>
      </c>
      <c r="B226" s="92" t="s">
        <v>138</v>
      </c>
      <c r="C226" s="92"/>
      <c r="D226" s="112"/>
      <c r="E226" s="92" t="s">
        <v>139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140</v>
      </c>
      <c r="B229" s="92" t="s">
        <v>176</v>
      </c>
      <c r="C229" s="92"/>
      <c r="D229" s="112"/>
      <c r="E229" s="92" t="s">
        <v>181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193</v>
      </c>
      <c r="B232" s="92" t="s">
        <v>53</v>
      </c>
      <c r="C232" s="92"/>
      <c r="D232" s="112"/>
      <c r="E232" s="92" t="s">
        <v>194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199.99</v>
      </c>
      <c r="C233" s="102"/>
      <c r="D233" s="112"/>
      <c r="E233" s="102" t="n">
        <f aca="false">E191</f>
        <v>22531.1913287732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195</v>
      </c>
      <c r="B235" s="92" t="s">
        <v>196</v>
      </c>
      <c r="C235" s="92"/>
      <c r="D235" s="112"/>
      <c r="E235" s="92" t="s">
        <v>208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184</v>
      </c>
      <c r="B238" s="92" t="s">
        <v>185</v>
      </c>
      <c r="C238" s="92"/>
      <c r="D238" s="92"/>
      <c r="E238" s="92" t="s">
        <v>186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0</v>
      </c>
      <c r="C239" s="185"/>
      <c r="D239" s="185"/>
      <c r="E239" s="102" t="n">
        <f aca="false">E176</f>
        <v>1480.10939352484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209</v>
      </c>
      <c r="B241" s="92" t="s">
        <v>210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22.4424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211</v>
      </c>
      <c r="B244" s="165" t="s">
        <v>73</v>
      </c>
      <c r="C244" s="92"/>
      <c r="D244" s="92"/>
      <c r="E244" s="165" t="s">
        <v>132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7.4808</v>
      </c>
      <c r="B245" s="102" t="n">
        <f aca="false">E242+A245</f>
        <v>29.9232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212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213</v>
      </c>
      <c r="B248" s="92" t="s">
        <v>199</v>
      </c>
      <c r="C248" s="92"/>
      <c r="D248" s="92"/>
      <c r="E248" s="165" t="s">
        <v>200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201</v>
      </c>
      <c r="B251" s="165" t="s">
        <v>202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1990.61835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214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215</v>
      </c>
      <c r="B262" s="195" t="n">
        <f aca="false">B72</f>
        <v>0.065</v>
      </c>
      <c r="C262" s="196"/>
      <c r="D262" s="197" t="s">
        <v>216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217</v>
      </c>
      <c r="B263" s="199" t="n">
        <f aca="false">(E191-B191)-(B210-B191-A194)</f>
        <v>823.443328773228</v>
      </c>
      <c r="C263" s="196"/>
      <c r="D263" s="197" t="s">
        <v>218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219</v>
      </c>
      <c r="B264" s="199" t="n">
        <f aca="false">F271+B272</f>
        <v>99.99</v>
      </c>
      <c r="C264" s="196"/>
      <c r="D264" s="197" t="s">
        <v>220</v>
      </c>
      <c r="E264" s="197"/>
      <c r="F264" s="199" t="n">
        <f aca="false">(B263-F263)+B264</f>
        <v>804.683308773228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215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221</v>
      </c>
      <c r="B268" s="204" t="n">
        <f aca="false">B73</f>
        <v>0.05</v>
      </c>
      <c r="C268" s="31"/>
      <c r="D268" s="165" t="s">
        <v>222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216</v>
      </c>
      <c r="B269" s="208" t="n">
        <f aca="false">B92</f>
        <v>0.1255</v>
      </c>
      <c r="C269" s="42"/>
      <c r="D269" s="165" t="s">
        <v>217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223</v>
      </c>
      <c r="B270" s="208" t="n">
        <f aca="false">B76</f>
        <v>0.005</v>
      </c>
      <c r="C270" s="31"/>
      <c r="D270" s="165" t="s">
        <v>223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224</v>
      </c>
      <c r="B271" s="204" t="n">
        <f aca="false">A117</f>
        <v>0.2</v>
      </c>
      <c r="C271" s="31"/>
      <c r="D271" s="165" t="s">
        <v>224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225</v>
      </c>
      <c r="B272" s="145" t="n">
        <f aca="false">A252</f>
        <v>99.99</v>
      </c>
      <c r="C272" s="31"/>
      <c r="D272" s="38" t="s">
        <v>220</v>
      </c>
      <c r="E272" s="38"/>
      <c r="F272" s="145" t="n">
        <f aca="false">(B263-F263)+B264</f>
        <v>804.683308773228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226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227</v>
      </c>
      <c r="B275" s="150" t="n">
        <v>0</v>
      </c>
      <c r="C275" s="31"/>
      <c r="D275" s="209" t="s">
        <v>228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229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230</v>
      </c>
      <c r="B277" s="210" t="s">
        <v>4</v>
      </c>
      <c r="C277" s="31"/>
      <c r="D277" s="165" t="s">
        <v>231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232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233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234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K32" activeCellId="0" sqref="K3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379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18410.7869299442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222.6562875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16220.1467407538</v>
      </c>
      <c r="C88" s="92" t="n">
        <f aca="false">B81-B86</f>
        <v>16220.1467407538</v>
      </c>
      <c r="D88" s="92"/>
      <c r="E88" s="112"/>
      <c r="F88" s="30" t="s">
        <v>113</v>
      </c>
      <c r="G88" s="32" t="n">
        <f aca="false">G81-G86</f>
        <v>15579.689207262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590.973455197119</v>
      </c>
      <c r="C89" s="92" t="n">
        <f aca="false">(B88/B87)</f>
        <v>590.973455197119</v>
      </c>
      <c r="D89" s="92"/>
      <c r="E89" s="112"/>
      <c r="F89" s="30" t="s">
        <v>114</v>
      </c>
      <c r="G89" s="32" t="n">
        <f aca="false">(G88/G87)</f>
        <v>531.592757536213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18911.1505663078</v>
      </c>
      <c r="C90" s="92"/>
      <c r="D90" s="92"/>
      <c r="E90" s="112"/>
      <c r="F90" s="30" t="s">
        <v>115</v>
      </c>
      <c r="G90" s="32" t="n">
        <f aca="false">((G89*(G85))+G77)</f>
        <v>17010.9682411588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18911.1505663078</v>
      </c>
      <c r="C92" s="92"/>
      <c r="D92" s="92"/>
      <c r="E92" s="112"/>
      <c r="F92" s="55" t="s">
        <v>117</v>
      </c>
      <c r="G92" s="64" t="n">
        <f aca="false">(G90+G91)</f>
        <v>17010.9682411588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590.973455197119</v>
      </c>
      <c r="C95" s="92"/>
      <c r="D95" s="92"/>
      <c r="E95" s="112"/>
      <c r="F95" s="94" t="s">
        <v>119</v>
      </c>
      <c r="G95" s="95" t="n">
        <f aca="false">G92/(G85)</f>
        <v>531.592757536213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590.973455197119</v>
      </c>
      <c r="C96" s="92"/>
      <c r="D96" s="92"/>
      <c r="E96" s="112"/>
      <c r="F96" s="96" t="s">
        <v>120</v>
      </c>
      <c r="G96" s="97" t="n">
        <f aca="false">G94+G95</f>
        <v>531.592757536213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121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143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175" t="n">
        <f aca="false">B95</f>
        <v>590.973455197119</v>
      </c>
      <c r="B167" s="176" t="str">
        <f aca="false">B94</f>
        <v>0</v>
      </c>
      <c r="C167" s="173"/>
      <c r="D167" s="173"/>
      <c r="E167" s="176" t="n">
        <f aca="false">B96</f>
        <v>590.973455197119</v>
      </c>
      <c r="F167" s="22"/>
      <c r="G167" s="22" t="n">
        <f aca="false">ROUND(G95,2)</f>
        <v>531.59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1161.14656630781</v>
      </c>
      <c r="B182" s="102" t="str">
        <f aca="false">B114</f>
        <v>239.99</v>
      </c>
      <c r="C182" s="102"/>
      <c r="D182" s="22"/>
      <c r="E182" s="102" t="n">
        <f aca="false">E179+A182+B182+A185</f>
        <v>25161.1405663078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E170+A185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185.54690625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285.538572916667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590.973455197119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-739.123999999996</v>
      </c>
      <c r="B201" s="185" t="n">
        <f aca="false">E179+A201+B182+A185</f>
        <v>23260.87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590.973455197119</v>
      </c>
      <c r="B212" s="176" t="str">
        <f aca="false">B167</f>
        <v>0</v>
      </c>
      <c r="C212" s="173"/>
      <c r="D212" s="173"/>
      <c r="E212" s="176" t="n">
        <f aca="false">E167</f>
        <v>590.973455197119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1161.14656630781</v>
      </c>
      <c r="B224" s="102" t="str">
        <f aca="false">B182</f>
        <v>239.99</v>
      </c>
      <c r="C224" s="102"/>
      <c r="D224" s="112"/>
      <c r="E224" s="102" t="n">
        <f aca="false">E182</f>
        <v>25161.1405663078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590.973455197119</v>
      </c>
      <c r="B230" s="102" t="str">
        <f aca="false">B167</f>
        <v>0</v>
      </c>
      <c r="C230" s="185"/>
      <c r="D230" s="185"/>
      <c r="E230" s="102" t="n">
        <f aca="false">E167</f>
        <v>590.973455197119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26.93088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8.97696</v>
      </c>
      <c r="B236" s="102" t="n">
        <f aca="false">E233+A236</f>
        <v>35.90784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185.54690625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2077.20857291666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1910.27056630781</v>
      </c>
      <c r="C254" s="196"/>
      <c r="D254" s="197" t="s">
        <v>218</v>
      </c>
      <c r="E254" s="197"/>
      <c r="F254" s="199" t="n">
        <f aca="false">F261+F267+F269+B270+B271</f>
        <v>222.6562875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99.9916666666667</v>
      </c>
      <c r="C255" s="196"/>
      <c r="D255" s="197" t="s">
        <v>220</v>
      </c>
      <c r="E255" s="197"/>
      <c r="F255" s="199" t="n">
        <f aca="false">(B254-F254)+B255</f>
        <v>1787.60594547448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0.115</v>
      </c>
      <c r="C260" s="42"/>
      <c r="D260" s="165" t="s">
        <v>217</v>
      </c>
      <c r="E260" s="165"/>
      <c r="F260" s="145" t="n">
        <f aca="false">B254</f>
        <v>1910.27056630781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0.009375</v>
      </c>
      <c r="C261" s="31"/>
      <c r="D261" s="165" t="s">
        <v>223</v>
      </c>
      <c r="E261" s="165"/>
      <c r="F261" s="150" t="n">
        <f aca="false">B68</f>
        <v>222.6562875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1787.60594547448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379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121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175" t="n">
        <f aca="false">B95</f>
        <v>1480.10939352484</v>
      </c>
      <c r="B167" s="176" t="n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E170+A185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n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n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22.4424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7.4808</v>
      </c>
      <c r="B236" s="102" t="n">
        <f aca="false">E233+A236</f>
        <v>29.9232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9" t="n">
        <f aca="false">(E182-B182)-(B201-B182-A185)</f>
        <v>823.443328773228</v>
      </c>
      <c r="C254" s="196"/>
      <c r="D254" s="197" t="s">
        <v>218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</v>
      </c>
      <c r="C255" s="196"/>
      <c r="D255" s="197" t="s">
        <v>220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0.1255</v>
      </c>
      <c r="C260" s="42"/>
      <c r="D260" s="165" t="s">
        <v>217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0.005</v>
      </c>
      <c r="C261" s="31"/>
      <c r="D261" s="165" t="s">
        <v>223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379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272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143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239.99</v>
      </c>
      <c r="C182" s="102"/>
      <c r="D182" s="22"/>
      <c r="E182" s="102" t="n">
        <f aca="false">E179+A182+B182+A185</f>
        <v>22531.1933287732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E170+A185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198.950016666667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-2282.24399999999</v>
      </c>
      <c r="B201" s="185" t="n">
        <f aca="false">E179+A201+B182+A185</f>
        <v>21717.75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239.99</v>
      </c>
      <c r="C224" s="102"/>
      <c r="D224" s="112"/>
      <c r="E224" s="102" t="n">
        <f aca="false">E182</f>
        <v>22531.1933287732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8.97696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1990.62001666666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823.443328773228</v>
      </c>
      <c r="C254" s="196"/>
      <c r="D254" s="197" t="s">
        <v>218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99.9916666666667</v>
      </c>
      <c r="C255" s="196"/>
      <c r="D255" s="197" t="s">
        <v>220</v>
      </c>
      <c r="E255" s="197"/>
      <c r="F255" s="199" t="n">
        <f aca="false">(B254-F254)+B255</f>
        <v>804.684975439895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0.1255</v>
      </c>
      <c r="C260" s="42"/>
      <c r="D260" s="165" t="s">
        <v>217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0.005</v>
      </c>
      <c r="C261" s="31"/>
      <c r="D261" s="165" t="s">
        <v>223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804.684975439895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379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121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E170+A185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7.4808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9" t="n">
        <f aca="false">(E182-B182)-(B201-B182-A185)</f>
        <v>823.443328773228</v>
      </c>
      <c r="C254" s="196"/>
      <c r="D254" s="197" t="s">
        <v>218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</v>
      </c>
      <c r="C255" s="196"/>
      <c r="D255" s="197" t="s">
        <v>220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0.1255</v>
      </c>
      <c r="C260" s="42"/>
      <c r="D260" s="165" t="s">
        <v>217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0.005</v>
      </c>
      <c r="C261" s="31"/>
      <c r="D261" s="165" t="s">
        <v>223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45370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334</v>
      </c>
      <c r="B41" s="103" t="s">
        <v>335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335</v>
      </c>
      <c r="D43" s="239" t="s">
        <v>211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336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337</v>
      </c>
      <c r="B46" s="229" t="s">
        <v>338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337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339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286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337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276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5"/>
      <c r="G68" s="396" t="s">
        <v>277</v>
      </c>
      <c r="H68" s="397" t="n">
        <v>0.07</v>
      </c>
      <c r="I68" s="316"/>
      <c r="J68" s="316"/>
      <c r="K68" s="317"/>
      <c r="L68" s="385"/>
      <c r="M68" s="396" t="s">
        <v>277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278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278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0.005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0.005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108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160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4.5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54</v>
      </c>
      <c r="C79" s="316"/>
      <c r="D79" s="31" t="n">
        <f aca="false">B79+B77</f>
        <v>214</v>
      </c>
      <c r="E79" s="401" t="n">
        <f aca="false">D79+D85+D86</f>
        <v>614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279</v>
      </c>
      <c r="B80" s="85" t="n">
        <v>180</v>
      </c>
      <c r="C80" s="316"/>
      <c r="D80" s="316"/>
      <c r="E80" s="401" t="n">
        <f aca="false">E79+D82</f>
        <v>809</v>
      </c>
      <c r="F80" s="385"/>
      <c r="G80" s="396" t="s">
        <v>279</v>
      </c>
      <c r="H80" s="85" t="n">
        <v>150</v>
      </c>
      <c r="I80" s="316"/>
      <c r="J80" s="316"/>
      <c r="K80" s="317"/>
      <c r="L80" s="385"/>
      <c r="M80" s="402" t="s">
        <v>279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280</v>
      </c>
      <c r="B81" s="76" t="n">
        <v>0</v>
      </c>
      <c r="C81" s="316"/>
      <c r="D81" s="316"/>
      <c r="E81" s="317" t="n">
        <f aca="false">E80/12</f>
        <v>67.4166666666667</v>
      </c>
      <c r="F81" s="385"/>
      <c r="G81" s="398" t="s">
        <v>280</v>
      </c>
      <c r="H81" s="76" t="n">
        <f aca="false">IF(G18&gt;40000,325,0)</f>
        <v>0</v>
      </c>
      <c r="I81" s="316"/>
      <c r="J81" s="316"/>
      <c r="K81" s="317"/>
      <c r="L81" s="385"/>
      <c r="M81" s="404" t="s">
        <v>280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281</v>
      </c>
      <c r="B82" s="64" t="n">
        <f aca="false">((B80+B81)/12)*(H29+1)</f>
        <v>195</v>
      </c>
      <c r="C82" s="316"/>
      <c r="D82" s="31" t="n">
        <f aca="false">IF(A50="YES",0,B82)</f>
        <v>195</v>
      </c>
      <c r="E82" s="317"/>
      <c r="F82" s="385"/>
      <c r="G82" s="365" t="s">
        <v>281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281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282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282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282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340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283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283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300</v>
      </c>
      <c r="C85" s="316"/>
      <c r="D85" s="31" t="n">
        <f aca="false">B85</f>
        <v>300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100</v>
      </c>
      <c r="C86" s="316"/>
      <c r="D86" s="31" t="n">
        <f aca="false">B86</f>
        <v>100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4093.94666666667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341.162222222222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9031.136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63.7534812424365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9094.88948124244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757.907456770203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757.907456770203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385"/>
      <c r="G100" s="212" t="s">
        <v>284</v>
      </c>
      <c r="H100" s="212"/>
      <c r="I100" s="212"/>
      <c r="J100" s="212"/>
      <c r="K100" s="212"/>
      <c r="L100" s="385"/>
      <c r="M100" s="212" t="s">
        <v>341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385"/>
      <c r="G102" s="216" t="s">
        <v>126</v>
      </c>
      <c r="H102" s="216"/>
      <c r="I102" s="216"/>
      <c r="J102" s="216"/>
      <c r="K102" s="216"/>
      <c r="L102" s="385"/>
      <c r="M102" s="216" t="s">
        <v>126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130</v>
      </c>
    </row>
    <row r="104" customFormat="false" ht="18.75" hidden="false" customHeight="true" outlineLevel="0" collapsed="false">
      <c r="A104" s="315" t="s">
        <v>127</v>
      </c>
      <c r="B104" s="316" t="s">
        <v>23</v>
      </c>
      <c r="C104" s="316"/>
      <c r="D104" s="316" t="s">
        <v>285</v>
      </c>
      <c r="E104" s="317"/>
      <c r="F104" s="385"/>
      <c r="G104" s="315" t="s">
        <v>127</v>
      </c>
      <c r="H104" s="316" t="s">
        <v>23</v>
      </c>
      <c r="I104" s="316"/>
      <c r="J104" s="316" t="s">
        <v>285</v>
      </c>
      <c r="K104" s="317"/>
      <c r="L104" s="385"/>
      <c r="M104" s="315" t="s">
        <v>127</v>
      </c>
      <c r="N104" s="316" t="s">
        <v>23</v>
      </c>
      <c r="O104" s="316"/>
      <c r="P104" s="316" t="s">
        <v>285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130</v>
      </c>
      <c r="C105" s="311"/>
      <c r="D105" s="418" t="n">
        <v>1000</v>
      </c>
      <c r="E105" s="418"/>
      <c r="F105" s="385"/>
      <c r="G105" s="372" t="s">
        <v>286</v>
      </c>
      <c r="H105" s="311" t="s">
        <v>268</v>
      </c>
      <c r="I105" s="311"/>
      <c r="J105" s="418" t="n">
        <v>5000</v>
      </c>
      <c r="K105" s="418"/>
      <c r="L105" s="385"/>
      <c r="M105" s="372" t="s">
        <v>286</v>
      </c>
      <c r="N105" s="311" t="s">
        <v>267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5"/>
      <c r="G107" s="315" t="s">
        <v>287</v>
      </c>
      <c r="H107" s="316" t="s">
        <v>288</v>
      </c>
      <c r="I107" s="316"/>
      <c r="J107" s="316" t="s">
        <v>289</v>
      </c>
      <c r="K107" s="317"/>
      <c r="L107" s="385"/>
      <c r="M107" s="315" t="s">
        <v>287</v>
      </c>
      <c r="N107" s="316" t="s">
        <v>288</v>
      </c>
      <c r="O107" s="316"/>
      <c r="P107" s="316" t="s">
        <v>289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267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268</v>
      </c>
    </row>
    <row r="110" customFormat="false" ht="18.75" hidden="false" customHeight="true" outlineLevel="0" collapsed="false">
      <c r="A110" s="372" t="s">
        <v>128</v>
      </c>
      <c r="B110" s="385" t="s">
        <v>131</v>
      </c>
      <c r="C110" s="316"/>
      <c r="D110" s="316" t="s">
        <v>142</v>
      </c>
      <c r="E110" s="317"/>
      <c r="F110" s="385"/>
      <c r="G110" s="372" t="s">
        <v>128</v>
      </c>
      <c r="H110" s="385" t="s">
        <v>131</v>
      </c>
      <c r="I110" s="316"/>
      <c r="J110" s="316" t="s">
        <v>142</v>
      </c>
      <c r="K110" s="317"/>
      <c r="L110" s="385"/>
      <c r="M110" s="372" t="s">
        <v>128</v>
      </c>
      <c r="N110" s="385" t="s">
        <v>131</v>
      </c>
      <c r="O110" s="316"/>
      <c r="P110" s="316" t="s">
        <v>142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269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270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342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385"/>
      <c r="G114" s="216" t="s">
        <v>290</v>
      </c>
      <c r="H114" s="216"/>
      <c r="I114" s="216"/>
      <c r="J114" s="216"/>
      <c r="K114" s="216"/>
      <c r="L114" s="385"/>
      <c r="M114" s="216" t="s">
        <v>290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291</v>
      </c>
      <c r="B116" s="386" t="s">
        <v>19</v>
      </c>
      <c r="C116" s="316"/>
      <c r="D116" s="316"/>
      <c r="E116" s="317"/>
      <c r="F116" s="385"/>
      <c r="G116" s="315" t="s">
        <v>291</v>
      </c>
      <c r="H116" s="386" t="s">
        <v>18</v>
      </c>
      <c r="I116" s="316"/>
      <c r="J116" s="316"/>
      <c r="K116" s="317"/>
      <c r="L116" s="385"/>
      <c r="M116" s="315" t="s">
        <v>291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176</v>
      </c>
      <c r="B118" s="316"/>
      <c r="C118" s="316"/>
      <c r="D118" s="312" t="n">
        <v>0</v>
      </c>
      <c r="E118" s="106" t="n">
        <v>6000</v>
      </c>
      <c r="F118" s="385"/>
      <c r="G118" s="315" t="s">
        <v>176</v>
      </c>
      <c r="H118" s="316"/>
      <c r="I118" s="316"/>
      <c r="J118" s="312" t="n">
        <v>10000</v>
      </c>
      <c r="K118" s="106" t="n">
        <v>5000</v>
      </c>
      <c r="L118" s="385"/>
      <c r="M118" s="315" t="s">
        <v>176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177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177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177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178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178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178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179</v>
      </c>
      <c r="B121" s="316"/>
      <c r="C121" s="316"/>
      <c r="D121" s="38" t="n">
        <f aca="false">D120-E120</f>
        <v>-6000</v>
      </c>
      <c r="E121" s="317"/>
      <c r="F121" s="385"/>
      <c r="G121" s="315" t="s">
        <v>179</v>
      </c>
      <c r="H121" s="316"/>
      <c r="I121" s="316"/>
      <c r="J121" s="38" t="n">
        <f aca="false">J120-K120</f>
        <v>5000</v>
      </c>
      <c r="K121" s="317"/>
      <c r="L121" s="385"/>
      <c r="M121" s="315" t="s">
        <v>179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138</v>
      </c>
      <c r="B123" s="394"/>
      <c r="C123" s="394"/>
      <c r="D123" s="394"/>
      <c r="E123" s="26" t="n">
        <f aca="false">D105</f>
        <v>1000</v>
      </c>
      <c r="F123" s="385"/>
      <c r="G123" s="393" t="s">
        <v>138</v>
      </c>
      <c r="H123" s="394"/>
      <c r="I123" s="394"/>
      <c r="J123" s="394"/>
      <c r="K123" s="26" t="n">
        <f aca="false">J105</f>
        <v>5000</v>
      </c>
      <c r="L123" s="385"/>
      <c r="M123" s="393" t="s">
        <v>138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292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292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292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385"/>
      <c r="G128" s="216" t="s">
        <v>293</v>
      </c>
      <c r="H128" s="216"/>
      <c r="I128" s="216"/>
      <c r="J128" s="216"/>
      <c r="K128" s="216"/>
      <c r="L128" s="385"/>
      <c r="M128" s="216" t="s">
        <v>293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385"/>
      <c r="G130" s="315" t="s">
        <v>183</v>
      </c>
      <c r="H130" s="171" t="n">
        <v>0</v>
      </c>
      <c r="I130" s="171"/>
      <c r="J130" s="316"/>
      <c r="K130" s="317"/>
      <c r="L130" s="385"/>
      <c r="M130" s="315" t="s">
        <v>183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757.907456770203</v>
      </c>
      <c r="B134" s="320" t="n">
        <f aca="false">IF(A111="YES",B95,0)</f>
        <v>0</v>
      </c>
      <c r="C134" s="324"/>
      <c r="D134" s="320" t="n">
        <f aca="false">B97</f>
        <v>757.907456770203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296</v>
      </c>
      <c r="H135" s="421" t="s">
        <v>297</v>
      </c>
      <c r="I135" s="421"/>
      <c r="J135" s="421" t="s">
        <v>298</v>
      </c>
      <c r="K135" s="317"/>
      <c r="L135" s="385"/>
      <c r="M135" s="420" t="s">
        <v>343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757.907456770203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301</v>
      </c>
      <c r="H138" s="316" t="s">
        <v>302</v>
      </c>
      <c r="I138" s="316"/>
      <c r="J138" s="316" t="s">
        <v>303</v>
      </c>
      <c r="K138" s="317"/>
      <c r="L138" s="385"/>
      <c r="M138" s="315" t="s">
        <v>344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757.907456770203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306</v>
      </c>
      <c r="H141" s="316" t="s">
        <v>307</v>
      </c>
      <c r="I141" s="316"/>
      <c r="J141" s="316" t="s">
        <v>308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757.907456770203</v>
      </c>
      <c r="B143" s="37" t="n">
        <f aca="false">IF(A111="YES",B95,0)</f>
        <v>0</v>
      </c>
      <c r="C143" s="316"/>
      <c r="D143" s="37" t="n">
        <f aca="false">B97</f>
        <v>757.907456770203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309</v>
      </c>
      <c r="H144" s="316" t="s">
        <v>310</v>
      </c>
      <c r="I144" s="316"/>
      <c r="J144" s="316" t="s">
        <v>311</v>
      </c>
      <c r="K144" s="317"/>
      <c r="L144" s="385"/>
      <c r="M144" s="315" t="s">
        <v>141</v>
      </c>
      <c r="N144" s="316" t="s">
        <v>310</v>
      </c>
      <c r="O144" s="316"/>
      <c r="P144" s="316" t="s">
        <v>311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313</v>
      </c>
      <c r="H147" s="316" t="s">
        <v>314</v>
      </c>
      <c r="I147" s="316"/>
      <c r="J147" s="316" t="s">
        <v>315</v>
      </c>
      <c r="K147" s="317"/>
      <c r="L147" s="385"/>
      <c r="M147" s="315" t="s">
        <v>313</v>
      </c>
      <c r="N147" s="316" t="s">
        <v>314</v>
      </c>
      <c r="O147" s="316"/>
      <c r="P147" s="316" t="s">
        <v>315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317</v>
      </c>
      <c r="H150" s="316" t="s">
        <v>318</v>
      </c>
      <c r="I150" s="316"/>
      <c r="J150" s="316"/>
      <c r="K150" s="317"/>
      <c r="L150" s="385"/>
      <c r="M150" s="315" t="s">
        <v>317</v>
      </c>
      <c r="N150" s="316" t="s">
        <v>318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345</v>
      </c>
      <c r="N153" s="38" t="s">
        <v>346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108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323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607.991666666667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323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757.907456770203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757.907456770203</v>
      </c>
      <c r="B177" s="354" t="n">
        <f aca="false">IF(A111="YES",B95,0)</f>
        <v>0</v>
      </c>
      <c r="C177" s="356"/>
      <c r="D177" s="354" t="n">
        <f aca="false">A177+B177</f>
        <v>757.907456770203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757.907456770203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757.907456770203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757.907456770203</v>
      </c>
      <c r="B186" s="102" t="n">
        <f aca="false">IF(A111="YES",B95,0)</f>
        <v>0</v>
      </c>
      <c r="C186" s="352"/>
      <c r="D186" s="102" t="n">
        <f aca="false">B97</f>
        <v>757.907456770203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108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607.991666666667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D70</f>
        <v>2618.28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218</v>
      </c>
      <c r="B211" s="320" t="n">
        <f aca="false">B219</f>
        <v>108</v>
      </c>
      <c r="C211" s="319" t="s">
        <v>219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220</v>
      </c>
      <c r="B213" s="320" t="n">
        <f aca="false">E223</f>
        <v>2850.27166666667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217</v>
      </c>
      <c r="B217" s="103" t="n">
        <f aca="false">D70</f>
        <v>2618.28</v>
      </c>
      <c r="C217" s="373" t="s">
        <v>223</v>
      </c>
      <c r="D217" s="316"/>
      <c r="E217" s="374" t="n">
        <f aca="false">B72</f>
        <v>0.005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223</v>
      </c>
      <c r="B219" s="103" t="n">
        <f aca="false">B73</f>
        <v>108</v>
      </c>
      <c r="C219" s="335" t="s">
        <v>326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2850.27166666667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227</v>
      </c>
      <c r="B229" s="103" t="n">
        <f aca="false">B77</f>
        <v>160</v>
      </c>
      <c r="C229" s="335" t="s">
        <v>228</v>
      </c>
      <c r="D229" s="342"/>
      <c r="E229" s="148" t="n">
        <f aca="false">B78</f>
        <v>4.5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214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63.7534812424365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233</v>
      </c>
      <c r="B233" s="103" t="n">
        <f aca="false">B85</f>
        <v>300</v>
      </c>
      <c r="C233" s="379" t="s">
        <v>330</v>
      </c>
      <c r="D233" s="380"/>
      <c r="E233" s="148" t="n">
        <f aca="false">B80</f>
        <v>180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234</v>
      </c>
      <c r="B235" s="103" t="n">
        <f aca="false">B86</f>
        <v>100</v>
      </c>
      <c r="C235" s="383" t="s">
        <v>331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45370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337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334</v>
      </c>
      <c r="B41" s="103" t="s">
        <v>335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211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336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337</v>
      </c>
      <c r="B46" s="229" t="s">
        <v>338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337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339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337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276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277</v>
      </c>
      <c r="B68" s="292" t="n">
        <v>0.07</v>
      </c>
      <c r="C68" s="316"/>
      <c r="D68" s="316"/>
      <c r="E68" s="317"/>
      <c r="F68" s="385"/>
      <c r="G68" s="396" t="s">
        <v>277</v>
      </c>
      <c r="H68" s="397" t="n">
        <v>0.07</v>
      </c>
      <c r="I68" s="316"/>
      <c r="J68" s="316"/>
      <c r="K68" s="317"/>
      <c r="L68" s="385"/>
      <c r="M68" s="396" t="s">
        <v>277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278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278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279</v>
      </c>
      <c r="B80" s="85" t="n">
        <v>165</v>
      </c>
      <c r="C80" s="316"/>
      <c r="D80" s="316"/>
      <c r="E80" s="401" t="n">
        <f aca="false">E79+D82</f>
        <v>838.75</v>
      </c>
      <c r="F80" s="385"/>
      <c r="G80" s="396" t="s">
        <v>279</v>
      </c>
      <c r="H80" s="85" t="n">
        <v>150</v>
      </c>
      <c r="I80" s="316"/>
      <c r="J80" s="316"/>
      <c r="K80" s="317"/>
      <c r="L80" s="385"/>
      <c r="M80" s="402" t="s">
        <v>279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280</v>
      </c>
      <c r="B81" s="76" t="n">
        <v>0</v>
      </c>
      <c r="C81" s="316"/>
      <c r="D81" s="316"/>
      <c r="E81" s="317" t="n">
        <f aca="false">E80/12</f>
        <v>69.8958333333333</v>
      </c>
      <c r="F81" s="385"/>
      <c r="G81" s="398" t="s">
        <v>280</v>
      </c>
      <c r="H81" s="76" t="n">
        <f aca="false">IF(G18&gt;40000,325,0)</f>
        <v>0</v>
      </c>
      <c r="I81" s="316"/>
      <c r="J81" s="316"/>
      <c r="K81" s="317"/>
      <c r="L81" s="385"/>
      <c r="M81" s="404" t="s">
        <v>280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281</v>
      </c>
      <c r="B82" s="64" t="n">
        <f aca="false">((B80+B81)/12)*(H29+1)</f>
        <v>178.75</v>
      </c>
      <c r="C82" s="316"/>
      <c r="D82" s="31" t="n">
        <f aca="false">IF(A50="YES",0,B82)</f>
        <v>178.75</v>
      </c>
      <c r="E82" s="317"/>
      <c r="F82" s="385"/>
      <c r="G82" s="365" t="s">
        <v>281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281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282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282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282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340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283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283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4123.69666666667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343.641388888889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7555.69666666667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64.0054981847519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7619.70216485142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634.975180404285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634.975180404285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385"/>
      <c r="G100" s="212" t="s">
        <v>284</v>
      </c>
      <c r="H100" s="212"/>
      <c r="I100" s="212"/>
      <c r="J100" s="212"/>
      <c r="K100" s="212"/>
      <c r="L100" s="385"/>
      <c r="M100" s="212" t="s">
        <v>341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385"/>
      <c r="G102" s="216" t="s">
        <v>126</v>
      </c>
      <c r="H102" s="216"/>
      <c r="I102" s="216"/>
      <c r="J102" s="216"/>
      <c r="K102" s="216"/>
      <c r="L102" s="385"/>
      <c r="M102" s="216" t="s">
        <v>126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130</v>
      </c>
    </row>
    <row r="104" customFormat="false" ht="18.75" hidden="false" customHeight="true" outlineLevel="0" collapsed="false">
      <c r="A104" s="315" t="s">
        <v>127</v>
      </c>
      <c r="B104" s="316" t="s">
        <v>23</v>
      </c>
      <c r="C104" s="316"/>
      <c r="D104" s="316" t="s">
        <v>285</v>
      </c>
      <c r="E104" s="317"/>
      <c r="F104" s="385"/>
      <c r="G104" s="315" t="s">
        <v>127</v>
      </c>
      <c r="H104" s="316" t="s">
        <v>23</v>
      </c>
      <c r="I104" s="316"/>
      <c r="J104" s="316" t="s">
        <v>285</v>
      </c>
      <c r="K104" s="317"/>
      <c r="L104" s="385"/>
      <c r="M104" s="315" t="s">
        <v>127</v>
      </c>
      <c r="N104" s="316" t="s">
        <v>23</v>
      </c>
      <c r="O104" s="316"/>
      <c r="P104" s="316" t="s">
        <v>285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351</v>
      </c>
      <c r="C105" s="311"/>
      <c r="D105" s="418" t="n">
        <v>1000</v>
      </c>
      <c r="E105" s="418"/>
      <c r="F105" s="385"/>
      <c r="G105" s="372" t="s">
        <v>286</v>
      </c>
      <c r="H105" s="311" t="s">
        <v>268</v>
      </c>
      <c r="I105" s="311"/>
      <c r="J105" s="418" t="n">
        <v>5000</v>
      </c>
      <c r="K105" s="418"/>
      <c r="L105" s="385"/>
      <c r="M105" s="372" t="s">
        <v>286</v>
      </c>
      <c r="N105" s="311" t="s">
        <v>267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5"/>
      <c r="G107" s="315" t="s">
        <v>287</v>
      </c>
      <c r="H107" s="316" t="s">
        <v>288</v>
      </c>
      <c r="I107" s="316"/>
      <c r="J107" s="316" t="s">
        <v>289</v>
      </c>
      <c r="K107" s="317"/>
      <c r="L107" s="385"/>
      <c r="M107" s="315" t="s">
        <v>287</v>
      </c>
      <c r="N107" s="316" t="s">
        <v>288</v>
      </c>
      <c r="O107" s="316"/>
      <c r="P107" s="316" t="s">
        <v>289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267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268</v>
      </c>
    </row>
    <row r="110" customFormat="false" ht="18.75" hidden="false" customHeight="true" outlineLevel="0" collapsed="false">
      <c r="A110" s="372" t="s">
        <v>128</v>
      </c>
      <c r="B110" s="385" t="s">
        <v>131</v>
      </c>
      <c r="C110" s="316"/>
      <c r="D110" s="316" t="s">
        <v>142</v>
      </c>
      <c r="E110" s="317"/>
      <c r="F110" s="385"/>
      <c r="G110" s="372" t="s">
        <v>128</v>
      </c>
      <c r="H110" s="385" t="s">
        <v>131</v>
      </c>
      <c r="I110" s="316"/>
      <c r="J110" s="316" t="s">
        <v>142</v>
      </c>
      <c r="K110" s="317"/>
      <c r="L110" s="385"/>
      <c r="M110" s="372" t="s">
        <v>128</v>
      </c>
      <c r="N110" s="385" t="s">
        <v>131</v>
      </c>
      <c r="O110" s="316"/>
      <c r="P110" s="316" t="s">
        <v>142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269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352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270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342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385"/>
      <c r="G114" s="216" t="s">
        <v>290</v>
      </c>
      <c r="H114" s="216"/>
      <c r="I114" s="216"/>
      <c r="J114" s="216"/>
      <c r="K114" s="216"/>
      <c r="L114" s="385"/>
      <c r="M114" s="216" t="s">
        <v>290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291</v>
      </c>
      <c r="B116" s="386" t="s">
        <v>19</v>
      </c>
      <c r="C116" s="316"/>
      <c r="D116" s="316"/>
      <c r="E116" s="317"/>
      <c r="F116" s="385"/>
      <c r="G116" s="315" t="s">
        <v>291</v>
      </c>
      <c r="H116" s="386" t="s">
        <v>18</v>
      </c>
      <c r="I116" s="316"/>
      <c r="J116" s="316"/>
      <c r="K116" s="317"/>
      <c r="L116" s="385"/>
      <c r="M116" s="315" t="s">
        <v>291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176</v>
      </c>
      <c r="B118" s="316"/>
      <c r="C118" s="316"/>
      <c r="D118" s="312" t="n">
        <v>0</v>
      </c>
      <c r="E118" s="106" t="n">
        <v>6000</v>
      </c>
      <c r="F118" s="385"/>
      <c r="G118" s="315" t="s">
        <v>176</v>
      </c>
      <c r="H118" s="316"/>
      <c r="I118" s="316"/>
      <c r="J118" s="312" t="n">
        <v>10000</v>
      </c>
      <c r="K118" s="106" t="n">
        <v>5000</v>
      </c>
      <c r="L118" s="385"/>
      <c r="M118" s="315" t="s">
        <v>176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177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177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177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178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178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178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179</v>
      </c>
      <c r="B121" s="316"/>
      <c r="C121" s="316"/>
      <c r="D121" s="38" t="n">
        <f aca="false">D120-E120</f>
        <v>-6000</v>
      </c>
      <c r="E121" s="317"/>
      <c r="F121" s="385"/>
      <c r="G121" s="315" t="s">
        <v>179</v>
      </c>
      <c r="H121" s="316"/>
      <c r="I121" s="316"/>
      <c r="J121" s="38" t="n">
        <f aca="false">J120-K120</f>
        <v>5000</v>
      </c>
      <c r="K121" s="317"/>
      <c r="L121" s="385"/>
      <c r="M121" s="315" t="s">
        <v>179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138</v>
      </c>
      <c r="B123" s="394"/>
      <c r="C123" s="394"/>
      <c r="D123" s="394"/>
      <c r="E123" s="26" t="n">
        <f aca="false">D105</f>
        <v>1000</v>
      </c>
      <c r="F123" s="385"/>
      <c r="G123" s="393" t="s">
        <v>138</v>
      </c>
      <c r="H123" s="394"/>
      <c r="I123" s="394"/>
      <c r="J123" s="394"/>
      <c r="K123" s="26" t="n">
        <f aca="false">J105</f>
        <v>5000</v>
      </c>
      <c r="L123" s="385"/>
      <c r="M123" s="393" t="s">
        <v>138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292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292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292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385"/>
      <c r="G128" s="216" t="s">
        <v>293</v>
      </c>
      <c r="H128" s="216"/>
      <c r="I128" s="216"/>
      <c r="J128" s="216"/>
      <c r="K128" s="216"/>
      <c r="L128" s="385"/>
      <c r="M128" s="216" t="s">
        <v>293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385"/>
      <c r="G130" s="315" t="s">
        <v>183</v>
      </c>
      <c r="H130" s="171" t="n">
        <v>0</v>
      </c>
      <c r="I130" s="171"/>
      <c r="J130" s="316"/>
      <c r="K130" s="317"/>
      <c r="L130" s="385"/>
      <c r="M130" s="315" t="s">
        <v>183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634.975180404285</v>
      </c>
      <c r="B134" s="320" t="n">
        <f aca="false">IF(A111="YES",B95,0)</f>
        <v>0</v>
      </c>
      <c r="C134" s="325"/>
      <c r="D134" s="320" t="n">
        <f aca="false">B97</f>
        <v>634.975180404285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296</v>
      </c>
      <c r="H135" s="421" t="s">
        <v>297</v>
      </c>
      <c r="I135" s="421"/>
      <c r="J135" s="421" t="s">
        <v>298</v>
      </c>
      <c r="K135" s="317"/>
      <c r="L135" s="385"/>
      <c r="M135" s="420" t="s">
        <v>343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5714.77662363857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301</v>
      </c>
      <c r="H138" s="316" t="s">
        <v>302</v>
      </c>
      <c r="I138" s="316"/>
      <c r="J138" s="316" t="s">
        <v>303</v>
      </c>
      <c r="K138" s="317"/>
      <c r="L138" s="385"/>
      <c r="M138" s="315" t="s">
        <v>344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5714.77662363857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306</v>
      </c>
      <c r="H141" s="316" t="s">
        <v>307</v>
      </c>
      <c r="I141" s="316"/>
      <c r="J141" s="316" t="s">
        <v>308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634.975180404285</v>
      </c>
      <c r="B143" s="37" t="n">
        <f aca="false">IF(A111="YES",B95,0)</f>
        <v>0</v>
      </c>
      <c r="C143" s="316"/>
      <c r="D143" s="37" t="n">
        <f aca="false">B97</f>
        <v>634.975180404285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309</v>
      </c>
      <c r="H144" s="316" t="s">
        <v>310</v>
      </c>
      <c r="I144" s="316"/>
      <c r="J144" s="316" t="s">
        <v>311</v>
      </c>
      <c r="K144" s="317"/>
      <c r="L144" s="385"/>
      <c r="M144" s="315" t="s">
        <v>141</v>
      </c>
      <c r="N144" s="316" t="s">
        <v>310</v>
      </c>
      <c r="O144" s="316"/>
      <c r="P144" s="316" t="s">
        <v>311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313</v>
      </c>
      <c r="H147" s="316" t="s">
        <v>314</v>
      </c>
      <c r="I147" s="316"/>
      <c r="J147" s="316" t="s">
        <v>315</v>
      </c>
      <c r="K147" s="317"/>
      <c r="L147" s="385"/>
      <c r="M147" s="315" t="s">
        <v>313</v>
      </c>
      <c r="N147" s="316" t="s">
        <v>314</v>
      </c>
      <c r="O147" s="316"/>
      <c r="P147" s="316" t="s">
        <v>315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317</v>
      </c>
      <c r="H150" s="316" t="s">
        <v>318</v>
      </c>
      <c r="I150" s="316"/>
      <c r="J150" s="316"/>
      <c r="K150" s="317"/>
      <c r="L150" s="385"/>
      <c r="M150" s="315" t="s">
        <v>317</v>
      </c>
      <c r="N150" s="316" t="s">
        <v>318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345</v>
      </c>
      <c r="N153" s="38" t="s">
        <v>346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323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323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634.975180404285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634.975180404285</v>
      </c>
      <c r="B177" s="354" t="n">
        <f aca="false">IF(A111="YES",B95,0)</f>
        <v>0</v>
      </c>
      <c r="C177" s="357"/>
      <c r="D177" s="354" t="n">
        <f aca="false">B91</f>
        <v>7555.69666666667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5714.77662363857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5714.77662363857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634.975180404285</v>
      </c>
      <c r="B186" s="102" t="n">
        <f aca="false">IF(A111="YES",B95,0)</f>
        <v>0</v>
      </c>
      <c r="C186" s="352"/>
      <c r="D186" s="102" t="n">
        <f aca="false">B97</f>
        <v>634.975180404285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D70</f>
        <v>2618.28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218</v>
      </c>
      <c r="B211" s="320" t="n">
        <f aca="false">B219</f>
        <v>216</v>
      </c>
      <c r="C211" s="319" t="s">
        <v>219</v>
      </c>
      <c r="D211" s="369" t="n">
        <f aca="false">B225+E221+B221+B223</f>
        <v>339.99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220</v>
      </c>
      <c r="B213" s="320" t="n">
        <f aca="false">E223</f>
        <v>2742.27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217</v>
      </c>
      <c r="B217" s="103" t="n">
        <f aca="false">D70</f>
        <v>2618.28</v>
      </c>
      <c r="C217" s="373" t="s">
        <v>223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223</v>
      </c>
      <c r="B219" s="103" t="n">
        <f aca="false">B73</f>
        <v>216</v>
      </c>
      <c r="C219" s="335" t="s">
        <v>326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2742.27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64.0054981847519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348</v>
      </c>
      <c r="B41" s="240" t="str">
        <f aca="false">IF(B38="YES",D38+A41,D38)</f>
        <v>500</v>
      </c>
      <c r="C41" s="240"/>
      <c r="D41" s="103" t="s">
        <v>334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336</v>
      </c>
      <c r="C44" s="103"/>
      <c r="D44" s="103" t="s">
        <v>348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349</v>
      </c>
      <c r="C47" s="425"/>
      <c r="D47" s="103" t="s">
        <v>349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338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279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280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350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216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1512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348</v>
      </c>
      <c r="B41" s="240" t="str">
        <f aca="false">IF(B38="YES",D38+A41,D38)</f>
        <v>500</v>
      </c>
      <c r="C41" s="240"/>
      <c r="D41" s="103" t="s">
        <v>334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336</v>
      </c>
      <c r="C44" s="103"/>
      <c r="D44" s="103" t="s">
        <v>348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349</v>
      </c>
      <c r="C47" s="425"/>
      <c r="D47" s="103" t="s">
        <v>349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284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B97</f>
        <v>909.315801062256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216</v>
      </c>
      <c r="C211" s="319" t="s">
        <v>219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1512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334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336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349</v>
      </c>
      <c r="C47" s="425"/>
      <c r="D47" s="103" t="s">
        <v>349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9029.41666666667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9105.90627941374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758.825523284479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758.825523284479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758.825523284479</v>
      </c>
      <c r="B134" s="320" t="n">
        <f aca="false">IF(A111="YES",B95,0)</f>
        <v>0</v>
      </c>
      <c r="C134" s="325"/>
      <c r="D134" s="320" t="n">
        <f aca="false">B97</f>
        <v>758.825523284479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758.825523284479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758.825523284479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758.825523284479</v>
      </c>
      <c r="B143" s="37" t="n">
        <f aca="false">IF(A111="YES",B95,0)</f>
        <v>0</v>
      </c>
      <c r="C143" s="316"/>
      <c r="D143" s="37" t="n">
        <f aca="false">B97</f>
        <v>758.825523284479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1387.838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1347.84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758.825523284479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758.825523284479</v>
      </c>
      <c r="B177" s="354" t="n">
        <f aca="false">IF(A111="YES",B95,0)</f>
        <v>0</v>
      </c>
      <c r="C177" s="357"/>
      <c r="D177" s="354" t="n">
        <f aca="false">B91</f>
        <v>9029.41666666667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758.825523284479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758.825523284479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758.825523284479</v>
      </c>
      <c r="B186" s="102" t="n">
        <f aca="false">IF(A111="YES",B95,0)</f>
        <v>0</v>
      </c>
      <c r="C186" s="352"/>
      <c r="D186" s="102" t="n">
        <f aca="false">B97</f>
        <v>758.825523284479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216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1512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279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280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341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216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1512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284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B91</f>
        <v>10835.3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216</v>
      </c>
      <c r="C211" s="319" t="s">
        <v>219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1512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216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60000</v>
      </c>
      <c r="C9" s="9" t="n">
        <f aca="false">B9*0.2</f>
        <v>12000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60000</v>
      </c>
      <c r="C15" s="9" t="n">
        <f aca="false">SUM(C9:C13)</f>
        <v>12000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72000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60000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276</v>
      </c>
      <c r="B66" s="214" t="n">
        <f aca="false">E19</f>
        <v>72000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5040</v>
      </c>
      <c r="C70" s="214" t="n">
        <v>10000</v>
      </c>
      <c r="D70" s="290" t="n">
        <f aca="false">B70-A149</f>
        <v>5040</v>
      </c>
      <c r="E70" s="215" t="n">
        <f aca="false">D70/12</f>
        <v>420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720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6545.41666666667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545.451388888889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12557.4166666667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106.375857200484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12663.7925238672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1055.3160436556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1055.3160436556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6000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IF(A111="YES",B95,0)</f>
        <v>0</v>
      </c>
      <c r="C134" s="325"/>
      <c r="D134" s="320" t="n">
        <f aca="false">B97</f>
        <v>1055.3160436556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1055.3160436556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1055.3160436556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1055.3160436556</v>
      </c>
      <c r="B143" s="37" t="n">
        <f aca="false">IF(A111="YES",B95,0)</f>
        <v>0</v>
      </c>
      <c r="C143" s="316"/>
      <c r="D143" s="37" t="n">
        <f aca="false">B97</f>
        <v>1055.3160436556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720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1219.99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1055.3160436556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IF(A111="YES",B95,0)</f>
        <v>0</v>
      </c>
      <c r="C177" s="357"/>
      <c r="D177" s="354" t="n">
        <f aca="false">B91</f>
        <v>12557.4166666667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1055.3160436556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1055.3160436556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1055.3160436556</v>
      </c>
      <c r="B186" s="102" t="n">
        <f aca="false">IF(A111="YES",B95,0)</f>
        <v>0</v>
      </c>
      <c r="C186" s="352"/>
      <c r="D186" s="102" t="n">
        <f aca="false">B97</f>
        <v>1055.3160436556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720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1219.99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5040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720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4659.99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5040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720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4659.99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106.375857200484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7" colorId="64" zoomScale="85" zoomScaleNormal="85" zoomScalePageLayoutView="100" workbookViewId="0">
      <selection pane="topLeft" activeCell="A201" activeCellId="0" sqref="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183</v>
      </c>
      <c r="B30" s="103" t="s">
        <v>348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355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366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5900.53588952154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190.4167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22850.004</v>
      </c>
      <c r="C81" s="92"/>
      <c r="D81" s="92"/>
      <c r="E81" s="112"/>
      <c r="F81" s="24" t="s">
        <v>106</v>
      </c>
      <c r="G81" s="26" t="n">
        <f aca="false">G158</f>
        <v>22850.004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12261.291013147</v>
      </c>
      <c r="C88" s="92"/>
      <c r="D88" s="92"/>
      <c r="E88" s="112"/>
      <c r="F88" s="30" t="s">
        <v>113</v>
      </c>
      <c r="G88" s="32" t="n">
        <f aca="false">G81-G86</f>
        <v>10562.1577959131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416.929038280818</v>
      </c>
      <c r="C89" s="92"/>
      <c r="D89" s="92"/>
      <c r="E89" s="112"/>
      <c r="F89" s="30" t="s">
        <v>114</v>
      </c>
      <c r="G89" s="32" t="n">
        <f aca="false">(G88/G87)</f>
        <v>334.506060039412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14592.5163398286</v>
      </c>
      <c r="C90" s="92"/>
      <c r="D90" s="92"/>
      <c r="E90" s="112"/>
      <c r="F90" s="30" t="s">
        <v>115</v>
      </c>
      <c r="G90" s="32" t="n">
        <f aca="false">((G89*(G85))+G77)</f>
        <v>11707.7121013794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14592.5163398286</v>
      </c>
      <c r="C92" s="92"/>
      <c r="D92" s="92"/>
      <c r="E92" s="112"/>
      <c r="F92" s="55" t="s">
        <v>117</v>
      </c>
      <c r="G92" s="64" t="n">
        <f aca="false">(G90+G91)</f>
        <v>11707.7121013794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416.929038280818</v>
      </c>
      <c r="C95" s="92"/>
      <c r="D95" s="92"/>
      <c r="E95" s="112"/>
      <c r="F95" s="94" t="s">
        <v>119</v>
      </c>
      <c r="G95" s="95" t="n">
        <f aca="false">G92/(G85)</f>
        <v>334.506060039412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416.929038280818</v>
      </c>
      <c r="C96" s="92"/>
      <c r="D96" s="92"/>
      <c r="E96" s="112"/>
      <c r="F96" s="96" t="s">
        <v>120</v>
      </c>
      <c r="G96" s="97" t="n">
        <f aca="false">G94+G95</f>
        <v>334.506060039412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447" t="s">
        <v>19</v>
      </c>
      <c r="F105" s="447"/>
      <c r="G105" s="447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143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151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151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152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152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152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154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155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155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-17548.6116666667</v>
      </c>
      <c r="J148" s="153" t="s">
        <v>174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174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22850.004</v>
      </c>
      <c r="H158" s="169"/>
      <c r="J158" s="168" t="s">
        <v>181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181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416.929038280818</v>
      </c>
      <c r="B167" s="176" t="str">
        <f aca="false">B94</f>
        <v>0</v>
      </c>
      <c r="C167" s="173"/>
      <c r="D167" s="173"/>
      <c r="E167" s="176" t="n">
        <f aca="false">B96</f>
        <v>416.929038280818</v>
      </c>
      <c r="F167" s="22"/>
      <c r="G167" s="22" t="n">
        <f aca="false">ROUND(G95,2)</f>
        <v>334.51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22850.004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6892.51233982864</v>
      </c>
      <c r="B182" s="102" t="str">
        <f aca="false">B114</f>
        <v>239.99</v>
      </c>
      <c r="C182" s="102"/>
      <c r="D182" s="22"/>
      <c r="E182" s="102" t="n">
        <f aca="false">E179+A182+B182+A185</f>
        <v>29992.5063398286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190.4167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290.408366666667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416.929038280818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4007.846</v>
      </c>
      <c r="B201" s="185" t="n">
        <f aca="false">E179+A201+B182+A185</f>
        <v>27107.84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416.929038280818</v>
      </c>
      <c r="B212" s="176" t="str">
        <f aca="false">B167</f>
        <v>0</v>
      </c>
      <c r="C212" s="173"/>
      <c r="D212" s="173"/>
      <c r="E212" s="176" t="n">
        <f aca="false">E167</f>
        <v>416.929038280818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22850.004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6892.51233982864</v>
      </c>
      <c r="B224" s="102" t="str">
        <f aca="false">B182</f>
        <v>239.99</v>
      </c>
      <c r="C224" s="102"/>
      <c r="D224" s="112"/>
      <c r="E224" s="102" t="n">
        <f aca="false">E182</f>
        <v>29992.5063398286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416.929038280818</v>
      </c>
      <c r="B230" s="102" t="str">
        <f aca="false">B167</f>
        <v>0</v>
      </c>
      <c r="C230" s="185"/>
      <c r="D230" s="185"/>
      <c r="E230" s="102" t="n">
        <f aca="false">E167</f>
        <v>416.929038280818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J18*0.000006*100*1.2</f>
        <v>26.9316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26.9316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190.4167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2082.07836666666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2894.66633982864</v>
      </c>
      <c r="C254" s="196"/>
      <c r="D254" s="197" t="s">
        <v>218</v>
      </c>
      <c r="E254" s="197"/>
      <c r="F254" s="199" t="n">
        <f aca="false">F261+F267+F269+B270+B271</f>
        <v>228.50004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99.9916666666667</v>
      </c>
      <c r="C255" s="196"/>
      <c r="D255" s="197" t="s">
        <v>220</v>
      </c>
      <c r="E255" s="197"/>
      <c r="F255" s="199" t="n">
        <f aca="false">(B254-F254)+B255</f>
        <v>2766.15796649531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</v>
      </c>
      <c r="C260" s="42"/>
      <c r="D260" s="165" t="s">
        <v>217</v>
      </c>
      <c r="E260" s="165"/>
      <c r="F260" s="145" t="n">
        <f aca="false">B254</f>
        <v>2894.66633982864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0.01</v>
      </c>
      <c r="C261" s="31"/>
      <c r="D261" s="165" t="s">
        <v>223</v>
      </c>
      <c r="E261" s="165"/>
      <c r="F261" s="150" t="n">
        <f aca="false">B68*1.2</f>
        <v>228.50004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2766.15796649531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7" colorId="64" zoomScale="85" zoomScaleNormal="85" zoomScalePageLayoutView="100" workbookViewId="0">
      <selection pane="topLeft" activeCell="A201" activeCellId="0" sqref="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183</v>
      </c>
      <c r="B30" s="103" t="s">
        <v>348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577.658917599342</v>
      </c>
      <c r="F33" s="231"/>
      <c r="G33" s="231"/>
      <c r="H33" s="46"/>
      <c r="I33" s="2"/>
      <c r="J33" s="33" t="s">
        <v>355</v>
      </c>
      <c r="K33" s="47" t="n">
        <f aca="false">E21</f>
        <v>18708.33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577.658917599342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18708.33</v>
      </c>
      <c r="L39" s="2" t="n">
        <f aca="false">(L47*K46)+K44</f>
        <v>25909.1715613066</v>
      </c>
      <c r="N39" s="1" t="n">
        <f aca="false">K39-L39</f>
        <v>-7200.84156130656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-7200.84156130656</v>
      </c>
      <c r="N40" s="1" t="n">
        <f aca="false">N38-N39</f>
        <v>10112.5215613066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366</v>
      </c>
      <c r="K45" s="2" t="n">
        <f aca="false">(K39-K44)</f>
        <v>18708.33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577.658917599342</v>
      </c>
      <c r="L47" s="2" t="n">
        <f aca="false">L49-K42</f>
        <v>800</v>
      </c>
      <c r="M47" s="1" t="n">
        <f aca="false">K47-L47</f>
        <v>-222.341082400658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577.658917599342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577.658917599342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5684.64618167444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185.416666666667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577.658917599342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577.658917599342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577.658917599342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577.658917599342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22250</v>
      </c>
      <c r="C81" s="92"/>
      <c r="D81" s="92"/>
      <c r="E81" s="112"/>
      <c r="F81" s="24" t="s">
        <v>106</v>
      </c>
      <c r="G81" s="26" t="n">
        <f aca="false">G158</f>
        <v>22250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B59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22250</v>
      </c>
      <c r="C88" s="92"/>
      <c r="D88" s="92"/>
      <c r="E88" s="112"/>
      <c r="F88" s="30" t="s">
        <v>113</v>
      </c>
      <c r="G88" s="32" t="n">
        <f aca="false">G81-G86</f>
        <v>22250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756.581920435736</v>
      </c>
      <c r="C89" s="92"/>
      <c r="D89" s="92"/>
      <c r="E89" s="112"/>
      <c r="F89" s="30" t="s">
        <v>114</v>
      </c>
      <c r="G89" s="32" t="n">
        <f aca="false">(G88/G87)</f>
        <v>704.662814141709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26480.3672152507</v>
      </c>
      <c r="C90" s="92"/>
      <c r="D90" s="92"/>
      <c r="E90" s="112"/>
      <c r="F90" s="30" t="s">
        <v>115</v>
      </c>
      <c r="G90" s="32" t="n">
        <f aca="false">((G89*(G85))+G77)</f>
        <v>24663.1984949598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26480.3672152507</v>
      </c>
      <c r="C92" s="92"/>
      <c r="D92" s="92"/>
      <c r="E92" s="112"/>
      <c r="F92" s="55" t="s">
        <v>117</v>
      </c>
      <c r="G92" s="64" t="n">
        <f aca="false">(G90+G91)</f>
        <v>24663.1984949598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756.581920435736</v>
      </c>
      <c r="C95" s="92"/>
      <c r="D95" s="92"/>
      <c r="E95" s="112"/>
      <c r="F95" s="94" t="s">
        <v>119</v>
      </c>
      <c r="G95" s="95" t="n">
        <f aca="false">G92/(G85)</f>
        <v>704.662814141709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756.581920435736</v>
      </c>
      <c r="C96" s="92"/>
      <c r="D96" s="92"/>
      <c r="E96" s="112"/>
      <c r="F96" s="96" t="s">
        <v>120</v>
      </c>
      <c r="G96" s="97" t="n">
        <f aca="false">G94+G95</f>
        <v>704.662814141709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447" t="s">
        <v>19</v>
      </c>
      <c r="F105" s="447"/>
      <c r="G105" s="447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B9</f>
        <v>18708.33</v>
      </c>
      <c r="C121" s="120" t="n">
        <v>20625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151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151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152</v>
      </c>
      <c r="K122" s="122" t="n">
        <f aca="false">B4</f>
        <v>22449.996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152</v>
      </c>
      <c r="T122" s="122" t="n">
        <f aca="false">B4</f>
        <v>22449.996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152</v>
      </c>
      <c r="AC122" s="122" t="n">
        <f aca="false">B4</f>
        <v>22449.996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154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18708.33</v>
      </c>
      <c r="C125" s="132" t="n">
        <f aca="false">C121-C124</f>
        <v>20625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155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155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B121</f>
        <v>18708.33</v>
      </c>
      <c r="H135" s="152" t="n">
        <f aca="false">C125+E125+G125+H128</f>
        <v>20625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3741.666</v>
      </c>
      <c r="H137" s="32" t="n">
        <f aca="false">(H135+H136)*20%</f>
        <v>4125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22449.996</v>
      </c>
      <c r="H141" s="156" t="n">
        <f aca="false">(H135+H136+H139+H140+H137)-H138</f>
        <v>24750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22449.996</v>
      </c>
      <c r="H147" s="163" t="n">
        <f aca="false">H141-((H144*1.2)+(H145*1.2)+(H146*1.2)+(H142*1.2))</f>
        <v>24750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1916.67</v>
      </c>
      <c r="I148" s="1" t="n">
        <f aca="false">(H148-G81)/1.2</f>
        <v>-16944.4416666667</v>
      </c>
      <c r="J148" s="153" t="s">
        <v>174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174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22250</v>
      </c>
      <c r="H158" s="169"/>
      <c r="J158" s="168" t="s">
        <v>181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181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756.581920435736</v>
      </c>
      <c r="B167" s="176" t="str">
        <f aca="false">B94</f>
        <v>0</v>
      </c>
      <c r="C167" s="173"/>
      <c r="D167" s="173"/>
      <c r="E167" s="176" t="n">
        <f aca="false">B96</f>
        <v>756.581920435736</v>
      </c>
      <c r="F167" s="22"/>
      <c r="G167" s="22" t="n">
        <f aca="false">ROUND(G95,2)</f>
        <v>704.66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20625</v>
      </c>
      <c r="B173" s="102" t="n">
        <f aca="false">H137</f>
        <v>4125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24750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22250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4986.94913568649</v>
      </c>
      <c r="B182" s="102" t="str">
        <f aca="false">B114</f>
        <v>199.99</v>
      </c>
      <c r="C182" s="102"/>
      <c r="D182" s="22"/>
      <c r="E182" s="102" t="n">
        <f aca="false">E179+A182+(B182*1.2)+A185</f>
        <v>27486.9371356865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766.581920435736</v>
      </c>
      <c r="F185" s="22"/>
      <c r="G185" s="10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185.416666666667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285.406666666667</v>
      </c>
      <c r="C191" s="92"/>
      <c r="D191" s="92"/>
      <c r="E191" s="102" t="n">
        <f aca="false">H148</f>
        <v>1916.67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756.581920435736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3117.76</v>
      </c>
      <c r="B201" s="185" t="n">
        <f aca="false">E179+A201+(B182*1.2)+A185</f>
        <v>25617.748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756.581920435736</v>
      </c>
      <c r="B212" s="176" t="str">
        <f aca="false">B167</f>
        <v>0</v>
      </c>
      <c r="C212" s="173"/>
      <c r="D212" s="173"/>
      <c r="E212" s="176" t="n">
        <f aca="false">E167</f>
        <v>756.581920435736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20625</v>
      </c>
      <c r="B215" s="102" t="n">
        <f aca="false">B173</f>
        <v>4125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24750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22250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4986.94913568649</v>
      </c>
      <c r="B224" s="102" t="str">
        <f aca="false">B182</f>
        <v>199.99</v>
      </c>
      <c r="C224" s="102"/>
      <c r="D224" s="112"/>
      <c r="E224" s="102" t="n">
        <f aca="false">E182</f>
        <v>27486.9371356865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756.581920435736</v>
      </c>
      <c r="B230" s="102" t="str">
        <f aca="false">B167</f>
        <v>0</v>
      </c>
      <c r="C230" s="185"/>
      <c r="D230" s="185"/>
      <c r="E230" s="102" t="n">
        <f aca="false">E167</f>
        <v>756.581920435736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766.581920435736</v>
      </c>
      <c r="C233" s="92"/>
      <c r="D233" s="92"/>
      <c r="E233" s="102" t="n">
        <f aca="false">J18*0.000006*100</f>
        <v>22.443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22.443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1916.67</v>
      </c>
      <c r="B240" s="102" t="n">
        <f aca="false">B68</f>
        <v>185.416666666667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2202.07666666666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9" t="n">
        <f aca="false">(E182-B182)-(B201-B182-A185)</f>
        <v>1879.18913568649</v>
      </c>
      <c r="C254" s="196"/>
      <c r="D254" s="197" t="s">
        <v>218</v>
      </c>
      <c r="E254" s="197"/>
      <c r="F254" s="199" t="n">
        <f aca="false">F261+F267+F269+B270+B271</f>
        <v>222.5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</v>
      </c>
      <c r="C255" s="196"/>
      <c r="D255" s="197" t="s">
        <v>220</v>
      </c>
      <c r="E255" s="197"/>
      <c r="F255" s="199" t="n">
        <f aca="false">(B254-F254)+B255</f>
        <v>1756.67913568649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</v>
      </c>
      <c r="C260" s="42"/>
      <c r="D260" s="165" t="s">
        <v>217</v>
      </c>
      <c r="E260" s="165"/>
      <c r="F260" s="145" t="n">
        <f aca="false">B254</f>
        <v>1879.18913568649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0.01</v>
      </c>
      <c r="C261" s="31"/>
      <c r="D261" s="165" t="s">
        <v>223</v>
      </c>
      <c r="E261" s="165"/>
      <c r="F261" s="150" t="n">
        <f aca="false">B68*1.2</f>
        <v>222.5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1756.67913568649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8" colorId="64" zoomScale="85" zoomScaleNormal="85" zoomScalePageLayoutView="100" workbookViewId="0">
      <selection pane="topLeft" activeCell="A201" activeCellId="0" sqref="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183</v>
      </c>
      <c r="B30" s="103" t="s">
        <v>348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355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40</v>
      </c>
      <c r="D45" s="61"/>
      <c r="E45" s="61"/>
      <c r="F45" s="92"/>
      <c r="G45" s="92"/>
      <c r="H45" s="32"/>
      <c r="J45" s="2" t="s">
        <v>366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447" t="s">
        <v>19</v>
      </c>
      <c r="F105" s="447"/>
      <c r="G105" s="447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143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151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151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152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152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152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154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155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155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174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174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181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181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239.99</v>
      </c>
      <c r="C182" s="102"/>
      <c r="D182" s="22"/>
      <c r="E182" s="102" t="n">
        <f aca="false">E179+A182+B182+A185</f>
        <v>28088.3001580578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IF(E105="YES",B61*0.000002,0)*100*1.2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277.075033333333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E179+A201+B182+A185</f>
        <v>25334.04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239.99</v>
      </c>
      <c r="C224" s="102"/>
      <c r="D224" s="112"/>
      <c r="E224" s="102" t="n">
        <f aca="false">E182</f>
        <v>28088.3001580578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2068.74503333333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2764.2601580578</v>
      </c>
      <c r="C254" s="196"/>
      <c r="D254" s="197" t="s">
        <v>218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99.9916666666667</v>
      </c>
      <c r="C255" s="196"/>
      <c r="D255" s="197" t="s">
        <v>220</v>
      </c>
      <c r="E255" s="197"/>
      <c r="F255" s="199" t="n">
        <f aca="false">(B254-F254)+B255</f>
        <v>2651.75178472447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</v>
      </c>
      <c r="C260" s="42"/>
      <c r="D260" s="165" t="s">
        <v>217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0.01</v>
      </c>
      <c r="C261" s="31"/>
      <c r="D261" s="165" t="s">
        <v>223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2651.75178472447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0" colorId="64" zoomScale="85" zoomScaleNormal="85" zoomScalePageLayoutView="100" workbookViewId="0">
      <selection pane="topLeft" activeCell="A201" activeCellId="0" sqref="A201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 t="n">
        <v>0</v>
      </c>
      <c r="D4" s="268" t="n">
        <v>0</v>
      </c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 t="n">
        <v>0</v>
      </c>
      <c r="C5" s="62" t="n">
        <v>0</v>
      </c>
      <c r="D5" s="62" t="n">
        <v>0</v>
      </c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183</v>
      </c>
      <c r="B30" s="103" t="s">
        <v>348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355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366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447" t="s">
        <v>19</v>
      </c>
      <c r="F105" s="447"/>
      <c r="G105" s="447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B9</f>
        <v>18000</v>
      </c>
      <c r="C121" s="120" t="n">
        <v>19791.67</v>
      </c>
      <c r="D121" s="119" t="n"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str">
        <f aca="false">B3</f>
        <v> </v>
      </c>
      <c r="L121" s="120" t="n">
        <v>28629.17</v>
      </c>
      <c r="M121" s="119" t="str">
        <f aca="false">D3</f>
        <v> </v>
      </c>
      <c r="N121" s="120" t="str">
        <f aca="false">M121</f>
        <v> 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151</v>
      </c>
      <c r="T121" s="119" t="str">
        <f aca="false">B3</f>
        <v> </v>
      </c>
      <c r="U121" s="120" t="str">
        <f aca="false">T121</f>
        <v> </v>
      </c>
      <c r="V121" s="119" t="str">
        <f aca="false">D3</f>
        <v> </v>
      </c>
      <c r="W121" s="120" t="str">
        <f aca="false">V121</f>
        <v> 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151</v>
      </c>
      <c r="AC121" s="119" t="str">
        <f aca="false">B3</f>
        <v> </v>
      </c>
      <c r="AD121" s="120" t="str">
        <f aca="false">AC121</f>
        <v> </v>
      </c>
      <c r="AE121" s="119" t="str">
        <f aca="false">D3</f>
        <v> </v>
      </c>
      <c r="AF121" s="120" t="str">
        <f aca="false">AE121</f>
        <v> 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152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152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152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e">
        <f aca="false">(K121*K122)+K123</f>
        <v>#VALUE!</v>
      </c>
      <c r="L124" s="130" t="n">
        <f aca="false">(L121*L122)+L123</f>
        <v>0</v>
      </c>
      <c r="M124" s="129" t="e">
        <f aca="false">(M121*M122)+M123</f>
        <v>#VALUE!</v>
      </c>
      <c r="N124" s="130" t="e">
        <f aca="false">(N121*N122)+N123</f>
        <v>#VALUE!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154</v>
      </c>
      <c r="T124" s="129" t="e">
        <f aca="false">(T121*T122)+T123</f>
        <v>#VALUE!</v>
      </c>
      <c r="U124" s="130" t="e">
        <f aca="false">(U121*U122)+U123</f>
        <v>#VALUE!</v>
      </c>
      <c r="V124" s="129" t="e">
        <f aca="false">(V121*V122)+V123</f>
        <v>#VALUE!</v>
      </c>
      <c r="W124" s="130" t="e">
        <f aca="false">(W121*W122)+W123</f>
        <v>#VALUE!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154</v>
      </c>
      <c r="AC124" s="129" t="e">
        <f aca="false">(AC121*AC122)+AC123</f>
        <v>#VALUE!</v>
      </c>
      <c r="AD124" s="130" t="e">
        <f aca="false">(AD121*AD122)+AD123</f>
        <v>#VALUE!</v>
      </c>
      <c r="AE124" s="129" t="e">
        <f aca="false">(AE121*AE122)+AE123</f>
        <v>#VALUE!</v>
      </c>
      <c r="AF124" s="130" t="e">
        <f aca="false">(AF121*AF122)+AF123</f>
        <v>#VALUE!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e">
        <f aca="false">K121-K124</f>
        <v>#VALUE!</v>
      </c>
      <c r="L125" s="132" t="n">
        <f aca="false">L121-L124</f>
        <v>28629.17</v>
      </c>
      <c r="M125" s="131" t="e">
        <f aca="false">M121-M124</f>
        <v>#VALUE!</v>
      </c>
      <c r="N125" s="132" t="e">
        <f aca="false">N121-N124</f>
        <v>#VALUE!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155</v>
      </c>
      <c r="T125" s="131" t="e">
        <f aca="false">T121-T124</f>
        <v>#VALUE!</v>
      </c>
      <c r="U125" s="132" t="e">
        <f aca="false">U121-U124</f>
        <v>#VALUE!</v>
      </c>
      <c r="V125" s="131" t="e">
        <f aca="false">V121-V124</f>
        <v>#VALUE!</v>
      </c>
      <c r="W125" s="132" t="e">
        <f aca="false">W121-W124</f>
        <v>#VALUE!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155</v>
      </c>
      <c r="AC125" s="131" t="e">
        <f aca="false">AC121-AC124</f>
        <v>#VALUE!</v>
      </c>
      <c r="AD125" s="132" t="e">
        <f aca="false">AD121-AD124</f>
        <v>#VALUE!</v>
      </c>
      <c r="AE125" s="131" t="e">
        <f aca="false">AE121-AE124</f>
        <v>#VALUE!</v>
      </c>
      <c r="AF125" s="132" t="e">
        <f aca="false">AF121-AF124</f>
        <v>#VALUE!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174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174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181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181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199.99</v>
      </c>
      <c r="C182" s="102"/>
      <c r="D182" s="22"/>
      <c r="E182" s="102" t="n">
        <f aca="false">E179+A182+(B182*1.2)+A185</f>
        <v>28088.2981580578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277.073366666667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E179+A201+(B182*1.2)+A185</f>
        <v>25334.038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199.99</v>
      </c>
      <c r="C224" s="102"/>
      <c r="D224" s="112"/>
      <c r="E224" s="102" t="n">
        <f aca="false">E182</f>
        <v>28088.2981580578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2068.74336666666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2764.2601580578</v>
      </c>
      <c r="C254" s="196"/>
      <c r="D254" s="197" t="s">
        <v>218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</v>
      </c>
      <c r="C255" s="196"/>
      <c r="D255" s="197" t="s">
        <v>220</v>
      </c>
      <c r="E255" s="197"/>
      <c r="F255" s="199" t="n">
        <f aca="false">(B254-F254)+B255</f>
        <v>2651.7501180578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</v>
      </c>
      <c r="C260" s="42"/>
      <c r="D260" s="165" t="s">
        <v>217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0.01</v>
      </c>
      <c r="C261" s="31"/>
      <c r="D261" s="165" t="s">
        <v>223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2651.7501180578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141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274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275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0</v>
      </c>
      <c r="C74" s="214"/>
      <c r="D74" s="214"/>
      <c r="E74" s="215"/>
      <c r="F74" s="62"/>
      <c r="G74" s="291" t="s">
        <v>279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280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282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283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10620.8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10695.7753933038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891.314616108646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891.314616108646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1024.59311617588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284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286</v>
      </c>
      <c r="B99" s="311" t="s">
        <v>351</v>
      </c>
      <c r="C99" s="311"/>
      <c r="D99" s="106" t="n">
        <v>1000</v>
      </c>
      <c r="E99" s="106"/>
      <c r="F99" s="62"/>
      <c r="G99" s="219" t="s">
        <v>286</v>
      </c>
      <c r="H99" s="311" t="s">
        <v>130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289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130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352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267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268</v>
      </c>
      <c r="AA107" s="62"/>
    </row>
    <row r="108" customFormat="false" ht="18.75" hidden="false" customHeight="true" outlineLevel="0" collapsed="false">
      <c r="A108" s="216" t="s">
        <v>290</v>
      </c>
      <c r="B108" s="216" t="n">
        <v>0</v>
      </c>
      <c r="C108" s="216"/>
      <c r="D108" s="216" t="n">
        <v>0</v>
      </c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269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270</v>
      </c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10000</v>
      </c>
      <c r="E112" s="106" t="n">
        <v>6000</v>
      </c>
      <c r="F112" s="62"/>
      <c r="G112" s="213" t="s">
        <v>176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177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4000</v>
      </c>
      <c r="E115" s="215"/>
      <c r="F115" s="62"/>
      <c r="G115" s="213" t="s">
        <v>179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(E118+E117)-D115</f>
        <v>-2760.012</v>
      </c>
      <c r="F119" s="62"/>
      <c r="G119" s="314" t="s">
        <v>292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891.314616108646</v>
      </c>
      <c r="B128" s="320" t="n">
        <f aca="false">IF(A105="YES",B89,0)</f>
        <v>0</v>
      </c>
      <c r="C128" s="325"/>
      <c r="D128" s="320" t="n">
        <f aca="false">B91</f>
        <v>891.314616108646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296</v>
      </c>
      <c r="H129" s="327" t="s">
        <v>297</v>
      </c>
      <c r="I129" s="327"/>
      <c r="J129" s="327" t="s">
        <v>298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332" t="n">
        <f aca="false">H90</f>
        <v>1024.59311617588</v>
      </c>
      <c r="H130" s="176" t="n">
        <f aca="false">IF(G105="YES",H89*H57,0)</f>
        <v>0</v>
      </c>
      <c r="I130" s="176"/>
      <c r="J130" s="333" t="n">
        <f aca="false">H91</f>
        <v>1024.59311617588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8021.83154497781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1024.59311617588</v>
      </c>
      <c r="H133" s="102" t="n">
        <f aca="false">IF(G105="YES",H89*H57,0)</f>
        <v>0</v>
      </c>
      <c r="I133" s="220"/>
      <c r="J133" s="183" t="n">
        <f aca="false">H91*H57</f>
        <v>1024.59311617588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8021.83154497781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891.314616108646</v>
      </c>
      <c r="B137" s="37" t="n">
        <f aca="false">IF(A105="YES",B89,0)</f>
        <v>0</v>
      </c>
      <c r="C137" s="316"/>
      <c r="D137" s="37" t="n">
        <f aca="false">B91</f>
        <v>891.314616108646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1407.013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0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715.99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1024.59311617588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891.314616108646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127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294</v>
      </c>
      <c r="C170" s="354"/>
      <c r="D170" s="353" t="s">
        <v>295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891.314616108646</v>
      </c>
      <c r="B171" s="354" t="n">
        <f aca="false">IF(A105="YES",B89,0)</f>
        <v>0</v>
      </c>
      <c r="C171" s="357"/>
      <c r="D171" s="354" t="n">
        <f aca="false">B91</f>
        <v>891.314616108646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9"/>
      <c r="D173" s="358" t="s">
        <v>300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8021.83154497781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304</v>
      </c>
      <c r="B176" s="165" t="s">
        <v>305</v>
      </c>
      <c r="C176" s="359"/>
      <c r="D176" s="240" t="s">
        <v>208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8021.83154497781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294</v>
      </c>
      <c r="C179" s="352"/>
      <c r="D179" s="352" t="s">
        <v>295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891.314616108646</v>
      </c>
      <c r="B180" s="102" t="n">
        <f aca="false">IF(A105="YES",B89,0)</f>
        <v>0</v>
      </c>
      <c r="C180" s="352"/>
      <c r="D180" s="102" t="n">
        <f aca="false">B91</f>
        <v>891.314616108646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102"/>
      <c r="D185" s="363" t="s">
        <v>282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715.99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214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215</v>
      </c>
      <c r="B203" s="368" t="n">
        <f aca="false">B209</f>
        <v>0.065</v>
      </c>
      <c r="C203" s="320" t="s">
        <v>217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218</v>
      </c>
      <c r="B205" s="320" t="n">
        <f aca="false">B213</f>
        <v>216</v>
      </c>
      <c r="C205" s="319" t="s">
        <v>219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220</v>
      </c>
      <c r="B207" s="320" t="n">
        <f aca="false">E217</f>
        <v>1635.99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215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217</v>
      </c>
      <c r="B211" s="103" t="n">
        <f aca="false">D64</f>
        <v>1512</v>
      </c>
      <c r="C211" s="373" t="s">
        <v>223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223</v>
      </c>
      <c r="B213" s="103" t="n">
        <f aca="false">B67</f>
        <v>216</v>
      </c>
      <c r="C213" s="335" t="s">
        <v>326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326</v>
      </c>
      <c r="B215" s="240" t="n">
        <f aca="false">B191*E213*100</f>
        <v>40</v>
      </c>
      <c r="C215" s="335" t="s">
        <v>225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327</v>
      </c>
      <c r="B217" s="240" t="n">
        <f aca="false">B78-(B78*(E213*100))</f>
        <v>200</v>
      </c>
      <c r="C217" s="335" t="s">
        <v>220</v>
      </c>
      <c r="D217" s="316"/>
      <c r="E217" s="32" t="n">
        <f aca="false">(B211-B205+D205)</f>
        <v>1635.99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328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329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227</v>
      </c>
      <c r="B223" s="103" t="n">
        <f aca="false">B71</f>
        <v>200</v>
      </c>
      <c r="C223" s="335" t="s">
        <v>228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229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230</v>
      </c>
      <c r="B225" s="378" t="n">
        <f aca="false">B68</f>
        <v>0.0075</v>
      </c>
      <c r="C225" s="335" t="s">
        <v>231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232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233</v>
      </c>
      <c r="B227" s="103" t="n">
        <f aca="false">B79</f>
        <v>200</v>
      </c>
      <c r="C227" s="379" t="s">
        <v>330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234</v>
      </c>
      <c r="B229" s="103" t="n">
        <f aca="false">B80</f>
        <v>200</v>
      </c>
      <c r="C229" s="383" t="s">
        <v>331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141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274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275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0</v>
      </c>
      <c r="C74" s="214"/>
      <c r="D74" s="214"/>
      <c r="E74" s="215"/>
      <c r="F74" s="62"/>
      <c r="G74" s="291" t="s">
        <v>279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/>
      <c r="D75" s="214"/>
      <c r="E75" s="215"/>
      <c r="F75" s="62"/>
      <c r="G75" s="294" t="s">
        <v>280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282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283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8850.66666666667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8925.64205997042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743.803504997535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808.803504997535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1096.59311617588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286</v>
      </c>
      <c r="B99" s="311" t="s">
        <v>351</v>
      </c>
      <c r="C99" s="311"/>
      <c r="D99" s="106" t="n">
        <v>0</v>
      </c>
      <c r="E99" s="106"/>
      <c r="F99" s="62"/>
      <c r="G99" s="219" t="s">
        <v>286</v>
      </c>
      <c r="H99" s="311" t="s">
        <v>130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289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130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s">
        <v>352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267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268</v>
      </c>
      <c r="AA107" s="62"/>
    </row>
    <row r="108" customFormat="false" ht="18.75" hidden="false" customHeight="true" outlineLevel="0" collapsed="false">
      <c r="A108" s="216" t="s">
        <v>290</v>
      </c>
      <c r="B108" s="216" t="n">
        <v>0</v>
      </c>
      <c r="C108" s="216"/>
      <c r="D108" s="216" t="n">
        <v>0</v>
      </c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269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270</v>
      </c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</v>
      </c>
      <c r="E112" s="106" t="n">
        <v>6000</v>
      </c>
      <c r="F112" s="62"/>
      <c r="G112" s="213" t="s">
        <v>176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177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((E118*1.2)+E117)-E114</f>
        <v>-3760.012</v>
      </c>
      <c r="F119" s="62"/>
      <c r="G119" s="314" t="s">
        <v>292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743.803504997535</v>
      </c>
      <c r="B128" s="320" t="n">
        <f aca="false">IF(A105="YES",B89,0)</f>
        <v>65</v>
      </c>
      <c r="C128" s="325"/>
      <c r="D128" s="320" t="n">
        <f aca="false">B91</f>
        <v>808.803504997535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296</v>
      </c>
      <c r="H129" s="327" t="s">
        <v>297</v>
      </c>
      <c r="I129" s="327"/>
      <c r="J129" s="327" t="s">
        <v>298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332" t="n">
        <f aca="false">H90</f>
        <v>1024.59311617588</v>
      </c>
      <c r="H130" s="176" t="n">
        <f aca="false">IF(G105="YES",H89*H57,0)</f>
        <v>72</v>
      </c>
      <c r="I130" s="176"/>
      <c r="J130" s="333" t="n">
        <f aca="false">H91</f>
        <v>1096.59311617588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6694.23154497782</v>
      </c>
      <c r="C131" s="316"/>
      <c r="D131" s="37" t="n">
        <f aca="false">IF(A105="YES",B89*B57,0)</f>
        <v>585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1024.59311617588</v>
      </c>
      <c r="H133" s="102" t="n">
        <f aca="false">IF(G105="YES",H89*H57,0)</f>
        <v>72</v>
      </c>
      <c r="I133" s="220"/>
      <c r="J133" s="183" t="n">
        <f aca="false">H91*H57</f>
        <v>1096.59311617588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7279.23154497782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743.803504997535</v>
      </c>
      <c r="B137" s="37" t="n">
        <f aca="false">IF(A105="YES",B89,0)</f>
        <v>65</v>
      </c>
      <c r="C137" s="316"/>
      <c r="D137" s="37" t="n">
        <f aca="false">B91</f>
        <v>808.803504997535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1414.213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733.99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1096.59311617588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808.803504997535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127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294</v>
      </c>
      <c r="C170" s="354"/>
      <c r="D170" s="353" t="s">
        <v>295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743.803504997535</v>
      </c>
      <c r="B171" s="354" t="n">
        <f aca="false">IF(A105="YES",B89,0)</f>
        <v>65</v>
      </c>
      <c r="C171" s="357"/>
      <c r="D171" s="354" t="n">
        <f aca="false">B91</f>
        <v>808.803504997535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9"/>
      <c r="D173" s="358" t="s">
        <v>300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6694.23154497782</v>
      </c>
      <c r="C174" s="352"/>
      <c r="D174" s="102" t="n">
        <f aca="false">IF(A105="YES",B89*B57,0)</f>
        <v>585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304</v>
      </c>
      <c r="B176" s="165" t="s">
        <v>305</v>
      </c>
      <c r="C176" s="359"/>
      <c r="D176" s="240" t="s">
        <v>208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7279.23154497782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294</v>
      </c>
      <c r="C179" s="352"/>
      <c r="D179" s="352" t="s">
        <v>295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743.803504997535</v>
      </c>
      <c r="B180" s="102" t="n">
        <f aca="false">IF(A105="YES",B89,0)</f>
        <v>65</v>
      </c>
      <c r="C180" s="352"/>
      <c r="D180" s="102" t="n">
        <f aca="false">B91</f>
        <v>808.803504997535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102"/>
      <c r="D185" s="363" t="s">
        <v>282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733.99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214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215</v>
      </c>
      <c r="B203" s="368" t="n">
        <f aca="false">H29</f>
        <v>12</v>
      </c>
      <c r="C203" s="320" t="s">
        <v>217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218</v>
      </c>
      <c r="B205" s="320" t="n">
        <f aca="false">B213</f>
        <v>216</v>
      </c>
      <c r="C205" s="319" t="s">
        <v>219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220</v>
      </c>
      <c r="B207" s="320" t="n">
        <f aca="false">E217</f>
        <v>1815.99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215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217</v>
      </c>
      <c r="B211" s="103" t="n">
        <f aca="false">D64</f>
        <v>1512</v>
      </c>
      <c r="C211" s="373" t="s">
        <v>223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223</v>
      </c>
      <c r="B213" s="103" t="n">
        <f aca="false">B67</f>
        <v>216</v>
      </c>
      <c r="C213" s="335" t="s">
        <v>326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326</v>
      </c>
      <c r="B215" s="240" t="n">
        <f aca="false">B191*E213*100</f>
        <v>40</v>
      </c>
      <c r="C215" s="335" t="s">
        <v>225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327</v>
      </c>
      <c r="B217" s="240" t="n">
        <f aca="false">B78-(B78*(E213*100))</f>
        <v>200</v>
      </c>
      <c r="C217" s="335" t="s">
        <v>220</v>
      </c>
      <c r="D217" s="316"/>
      <c r="E217" s="32" t="n">
        <f aca="false">(B211-B205+D205)</f>
        <v>1815.99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328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329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227</v>
      </c>
      <c r="B223" s="103" t="n">
        <f aca="false">B71</f>
        <v>200</v>
      </c>
      <c r="C223" s="335" t="s">
        <v>228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229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230</v>
      </c>
      <c r="B225" s="378" t="n">
        <f aca="false">B68</f>
        <v>0.0075</v>
      </c>
      <c r="C225" s="335" t="s">
        <v>231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232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233</v>
      </c>
      <c r="B227" s="103" t="n">
        <f aca="false">B79</f>
        <v>200</v>
      </c>
      <c r="C227" s="379" t="s">
        <v>330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234</v>
      </c>
      <c r="B229" s="103" t="n">
        <f aca="false">B80</f>
        <v>200</v>
      </c>
      <c r="C229" s="383" t="s">
        <v>331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353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128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182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183</v>
      </c>
      <c r="B30" s="171" t="s">
        <v>348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66666.6666666667</v>
      </c>
      <c r="I31" s="62"/>
      <c r="J31" s="62"/>
      <c r="K31" s="62" t="n">
        <v>66666.6666666667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354</v>
      </c>
      <c r="E32" s="215"/>
      <c r="F32" s="62"/>
      <c r="G32" s="217" t="s">
        <v>36</v>
      </c>
      <c r="I32" s="445" t="n">
        <v>6000</v>
      </c>
      <c r="J32" s="62"/>
      <c r="K32" s="62" t="n">
        <v>6000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190.81237436313</v>
      </c>
      <c r="E33" s="215"/>
      <c r="F33" s="62"/>
      <c r="G33" s="218" t="s">
        <v>355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371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356</v>
      </c>
      <c r="B35" s="214" t="s">
        <v>357</v>
      </c>
      <c r="C35" s="214"/>
      <c r="D35" s="214" t="s">
        <v>358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140.81237436313</v>
      </c>
      <c r="B36" s="102" t="n">
        <f aca="false">IF(B26="YES",H42,"")</f>
        <v>50</v>
      </c>
      <c r="C36" s="220"/>
      <c r="D36" s="183" t="n">
        <f aca="false">H31</f>
        <v>66666.6666666667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359</v>
      </c>
      <c r="B39" s="214" t="s">
        <v>360</v>
      </c>
      <c r="C39" s="214"/>
      <c r="D39" s="214" t="s">
        <v>361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57161.3120530432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-39161.3120530432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362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363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364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372</v>
      </c>
      <c r="H44" s="237" t="n">
        <f aca="false">(H40/(1+H41)^(H34+1))</f>
        <v>13439.5850433384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373</v>
      </c>
      <c r="H45" s="237" t="n">
        <f aca="false">(H39-H44)</f>
        <v>4560.41495666158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374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368</v>
      </c>
      <c r="H47" s="237" t="n">
        <f aca="false">H45/H46</f>
        <v>140.81237436313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369</v>
      </c>
      <c r="H48" s="237" t="n">
        <f aca="false">IF(B26="YES",H47+H42,H47)</f>
        <v>190.81237436313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370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190.81237436313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375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291" t="s">
        <v>277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278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223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223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229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0</v>
      </c>
      <c r="C74" s="214"/>
      <c r="D74" s="214"/>
      <c r="E74" s="215"/>
      <c r="F74" s="62"/>
      <c r="G74" s="291" t="s">
        <v>279</v>
      </c>
      <c r="H74" s="297" t="n">
        <v>165</v>
      </c>
      <c r="I74" s="214"/>
      <c r="J74" s="214"/>
      <c r="K74" s="215"/>
      <c r="L74" s="62"/>
      <c r="M74" s="427" t="s">
        <v>279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/>
      <c r="D75" s="214"/>
      <c r="E75" s="215"/>
      <c r="F75" s="62"/>
      <c r="G75" s="294" t="s">
        <v>280</v>
      </c>
      <c r="H75" s="298" t="n">
        <v>0</v>
      </c>
      <c r="I75" s="214"/>
      <c r="J75" s="214"/>
      <c r="K75" s="215"/>
      <c r="L75" s="62"/>
      <c r="M75" s="429" t="s">
        <v>280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281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282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282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282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283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283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10780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299.444444444444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140.81237436313</v>
      </c>
      <c r="C83" s="469"/>
      <c r="D83" s="214"/>
      <c r="E83" s="462" t="n">
        <f aca="false">B83+E80+E77+E64</f>
        <v>440.256818807575</v>
      </c>
      <c r="F83" s="62"/>
      <c r="G83" s="304" t="s">
        <v>105</v>
      </c>
      <c r="H83" s="305" t="n">
        <f aca="false">H47</f>
        <v>140.81237436313</v>
      </c>
      <c r="I83" s="214"/>
      <c r="J83" s="214"/>
      <c r="K83" s="215"/>
      <c r="L83" s="62"/>
      <c r="M83" s="304" t="s">
        <v>105</v>
      </c>
      <c r="N83" s="305" t="n">
        <f aca="false">H47</f>
        <v>140.81237436313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15849.2454770727</v>
      </c>
      <c r="C85" s="469"/>
      <c r="D85" s="469"/>
      <c r="E85" s="462" t="n">
        <f aca="false">B85/(B58+B57)</f>
        <v>440.256818807575</v>
      </c>
      <c r="F85" s="62"/>
      <c r="G85" s="287" t="s">
        <v>115</v>
      </c>
      <c r="H85" s="130" t="n">
        <f aca="false">((H83*H29)+H81)*1.2</f>
        <v>7361.99457248723</v>
      </c>
      <c r="I85" s="214"/>
      <c r="J85" s="214"/>
      <c r="K85" s="215"/>
      <c r="L85" s="62"/>
      <c r="M85" s="287" t="s">
        <v>115</v>
      </c>
      <c r="N85" s="130" t="n">
        <f aca="false">((N83*H29)+N81)</f>
        <v>5791.24547707269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134.261458256767</v>
      </c>
      <c r="C86" s="469" t="s">
        <v>232</v>
      </c>
      <c r="D86" s="214"/>
      <c r="E86" s="462" t="n">
        <f aca="false">B86/(B58+B57)</f>
        <v>3.72948495157687</v>
      </c>
      <c r="F86" s="62"/>
      <c r="G86" s="213" t="s">
        <v>116</v>
      </c>
      <c r="H86" s="299" t="n">
        <f aca="false">((((H83*H29)+H81))/(1-H70))*H70</f>
        <v>51.9705143277638</v>
      </c>
      <c r="I86" s="214"/>
      <c r="J86" s="214"/>
      <c r="K86" s="215"/>
      <c r="L86" s="62"/>
      <c r="M86" s="213" t="s">
        <v>116</v>
      </c>
      <c r="N86" s="299" t="n">
        <f aca="false">(N85/(1-N70))*N70</f>
        <v>49.0585538598332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15983.5069353295</v>
      </c>
      <c r="C87" s="469"/>
      <c r="D87" s="471"/>
      <c r="E87" s="462" t="n">
        <f aca="false">E86+E85</f>
        <v>443.986303759152</v>
      </c>
      <c r="F87" s="62"/>
      <c r="G87" s="284" t="s">
        <v>117</v>
      </c>
      <c r="H87" s="132" t="n">
        <f aca="false">IF(H110="YES",((H85+H86)-K114),(H85+H86))</f>
        <v>7413.96508681499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5840.30403093252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443.986303759152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180.828416751585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142.446439778842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508.986303759152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391.560124068658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318.056195876403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212" t="s">
        <v>341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376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216" t="s">
        <v>126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130</v>
      </c>
      <c r="Z97" s="62"/>
      <c r="AC97" s="385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213" t="s">
        <v>127</v>
      </c>
      <c r="N98" s="214" t="s">
        <v>23</v>
      </c>
      <c r="O98" s="214"/>
      <c r="P98" s="214" t="s">
        <v>285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0</v>
      </c>
      <c r="E99" s="106"/>
      <c r="F99" s="62"/>
      <c r="G99" s="219" t="s">
        <v>286</v>
      </c>
      <c r="H99" s="311" t="s">
        <v>265</v>
      </c>
      <c r="I99" s="311"/>
      <c r="J99" s="106" t="n">
        <v>0</v>
      </c>
      <c r="K99" s="106"/>
      <c r="L99" s="62"/>
      <c r="M99" s="219" t="s">
        <v>286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377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213" t="s">
        <v>287</v>
      </c>
      <c r="N101" s="214" t="s">
        <v>288</v>
      </c>
      <c r="O101" s="214"/>
      <c r="P101" s="214" t="s">
        <v>289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267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268</v>
      </c>
      <c r="Z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219" t="s">
        <v>128</v>
      </c>
      <c r="N104" s="62" t="s">
        <v>131</v>
      </c>
      <c r="O104" s="214"/>
      <c r="P104" s="214" t="s">
        <v>142</v>
      </c>
      <c r="Q104" s="215"/>
      <c r="R104" s="62"/>
      <c r="S104" s="62"/>
      <c r="T104" s="62"/>
      <c r="U104" s="62"/>
      <c r="V104" s="62"/>
      <c r="W104" s="62"/>
      <c r="X104" s="62"/>
      <c r="Y104" s="62" t="s">
        <v>269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270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342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216" t="s">
        <v>290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213" t="s">
        <v>291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</v>
      </c>
      <c r="E112" s="106" t="n">
        <v>6000</v>
      </c>
      <c r="F112" s="62"/>
      <c r="G112" s="213" t="s">
        <v>176</v>
      </c>
      <c r="H112" s="214"/>
      <c r="I112" s="214"/>
      <c r="J112" s="312" t="n">
        <v>0</v>
      </c>
      <c r="K112" s="106" t="n">
        <v>0</v>
      </c>
      <c r="L112" s="62"/>
      <c r="M112" s="213" t="s">
        <v>176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177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177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178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0</v>
      </c>
      <c r="K115" s="215"/>
      <c r="L115" s="62"/>
      <c r="M115" s="213" t="s">
        <v>179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287" t="s">
        <v>138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292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292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216" t="s">
        <v>293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213" t="s">
        <v>183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296</v>
      </c>
      <c r="H126" s="327" t="s">
        <v>297</v>
      </c>
      <c r="I126" s="327"/>
      <c r="J126" s="327" t="s">
        <v>298</v>
      </c>
      <c r="K126" s="215"/>
      <c r="L126" s="62"/>
      <c r="M126" s="326" t="s">
        <v>343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332" t="n">
        <f aca="false">H90</f>
        <v>180.828416751585</v>
      </c>
      <c r="H127" s="176" t="n">
        <f aca="false">IF(G105="YES",H89*H57,0)</f>
        <v>1264.39024390244</v>
      </c>
      <c r="I127" s="176"/>
      <c r="J127" s="333" t="n">
        <f aca="false">H91</f>
        <v>391.560124068658</v>
      </c>
      <c r="K127" s="215"/>
      <c r="L127" s="62"/>
      <c r="M127" s="332" t="n">
        <f aca="false">N90</f>
        <v>142.446439778842</v>
      </c>
      <c r="N127" s="176" t="n">
        <f aca="false">IF(M105="YES",N89*N57,0)</f>
        <v>1053.65853658537</v>
      </c>
      <c r="O127" s="176"/>
      <c r="P127" s="176" t="n">
        <f aca="false">N91</f>
        <v>318.056195876403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443.986303759152</v>
      </c>
      <c r="B128" s="320" t="n">
        <f aca="false">IF(A105="YES",B89,0)</f>
        <v>65</v>
      </c>
      <c r="C128" s="324"/>
      <c r="D128" s="320" t="n">
        <f aca="false">B91</f>
        <v>508.986303759152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443.986303759152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213" t="s">
        <v>344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1084.97050050951</v>
      </c>
      <c r="H133" s="102" t="n">
        <f aca="false">IF(G105="YES",H89*H57,0)</f>
        <v>1264.39024390244</v>
      </c>
      <c r="I133" s="220"/>
      <c r="J133" s="183" t="n">
        <f aca="false">H91*H57</f>
        <v>2349.36074441195</v>
      </c>
      <c r="K133" s="215"/>
      <c r="L133" s="62"/>
      <c r="M133" s="184" t="n">
        <f aca="false">N90*N57</f>
        <v>854.678638673052</v>
      </c>
      <c r="N133" s="102" t="n">
        <f aca="false">IF(M105="YES",N89*N57,0)</f>
        <v>1053.65853658537</v>
      </c>
      <c r="O133" s="220"/>
      <c r="P133" s="183" t="n">
        <f aca="false">N91*N57</f>
        <v>1908.33717525842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508.986303759152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443.986303759152</v>
      </c>
      <c r="B137" s="37" t="n">
        <f aca="false">IF(A105="YES",B89,0)</f>
        <v>65</v>
      </c>
      <c r="C137" s="316"/>
      <c r="D137" s="37" t="n">
        <f aca="false">B91</f>
        <v>508.986303759152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213" t="s">
        <v>141</v>
      </c>
      <c r="N138" s="214" t="s">
        <v>310</v>
      </c>
      <c r="O138" s="214"/>
      <c r="P138" s="214" t="s">
        <v>311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213" t="s">
        <v>313</v>
      </c>
      <c r="N141" s="214" t="s">
        <v>314</v>
      </c>
      <c r="O141" s="214"/>
      <c r="P141" s="214" t="s">
        <v>315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213" t="s">
        <v>317</v>
      </c>
      <c r="N144" s="214" t="s">
        <v>318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345</v>
      </c>
      <c r="N147" s="165" t="s">
        <v>346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54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585.99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323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391.560124068658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318.056195876403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508.986303759152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378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443.986303759152</v>
      </c>
      <c r="B177" s="354" t="n">
        <f aca="false">IF(A105="YES",B89,0)</f>
        <v>65</v>
      </c>
      <c r="C177" s="356"/>
      <c r="D177" s="354" t="n">
        <f aca="false">B91</f>
        <v>508.986303759152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443.986303759152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508.986303759152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443.986303759152</v>
      </c>
      <c r="B186" s="102" t="n">
        <f aca="false">IF(A105="YES",B89,0)</f>
        <v>65</v>
      </c>
      <c r="C186" s="352"/>
      <c r="D186" s="102" t="n">
        <f aca="false">B91</f>
        <v>508.986303759152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585.99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0.07</v>
      </c>
      <c r="C209" s="320" t="s">
        <v>217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432</v>
      </c>
      <c r="C211" s="319" t="s">
        <v>219</v>
      </c>
      <c r="D211" s="369" t="n">
        <f aca="false">B225+E221+B221+B223</f>
        <v>639.99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10207.99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D64</f>
        <v>10000</v>
      </c>
      <c r="C217" s="373" t="s">
        <v>223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B67</f>
        <v>432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(B77-(B77*(E219*100)))*0.1</f>
        <v>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B78-(B78*(E219*100))</f>
        <v>0</v>
      </c>
      <c r="C223" s="335" t="s">
        <v>220</v>
      </c>
      <c r="D223" s="316"/>
      <c r="E223" s="32" t="n">
        <f aca="false">(B217-B211+D211)</f>
        <v>10207.99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B71</f>
        <v>200</v>
      </c>
      <c r="C229" s="335" t="s">
        <v>228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B68</f>
        <v>0.0075</v>
      </c>
      <c r="C231" s="335" t="s">
        <v>231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B86</f>
        <v>134.261458256767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B79</f>
        <v>200</v>
      </c>
      <c r="C233" s="379" t="s">
        <v>330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B80</f>
        <v>200</v>
      </c>
      <c r="C235" s="383" t="s">
        <v>331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353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128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182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183</v>
      </c>
      <c r="B30" s="171" t="s">
        <v>348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20000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354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133.408761933113</v>
      </c>
      <c r="E33" s="215"/>
      <c r="F33" s="62"/>
      <c r="G33" s="218" t="s">
        <v>355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371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356</v>
      </c>
      <c r="B35" s="214" t="s">
        <v>357</v>
      </c>
      <c r="C35" s="214"/>
      <c r="D35" s="214" t="s">
        <v>358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133.408761933113</v>
      </c>
      <c r="B36" s="102" t="n">
        <f aca="false">IF(B26="YES",H42,"")</f>
        <v>0</v>
      </c>
      <c r="C36" s="220"/>
      <c r="D36" s="183" t="n">
        <f aca="false">H31</f>
        <v>20000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359</v>
      </c>
      <c r="B39" s="214" t="s">
        <v>360</v>
      </c>
      <c r="C39" s="214"/>
      <c r="D39" s="214" t="s">
        <v>361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59325.6915133649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-41325.6915133649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362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363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364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372</v>
      </c>
      <c r="H44" s="237" t="n">
        <f aca="false">(H40/(1+H41)^(H34+1))</f>
        <v>13647.2071058677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373</v>
      </c>
      <c r="H45" s="237" t="n">
        <f aca="false">(H39-H44)</f>
        <v>4352.7928941323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374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368</v>
      </c>
      <c r="H47" s="237" t="n">
        <f aca="false">H45/H46</f>
        <v>133.408761933113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369</v>
      </c>
      <c r="H48" s="237" t="n">
        <f aca="false">IF(B26="YES",H47+H42,H47)</f>
        <v>133.408761933113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370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133.408761933113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375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291" t="s">
        <v>277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278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223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223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229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4"/>
      <c r="D74" s="214"/>
      <c r="E74" s="215"/>
      <c r="F74" s="62"/>
      <c r="G74" s="291" t="s">
        <v>279</v>
      </c>
      <c r="H74" s="297" t="n">
        <v>165</v>
      </c>
      <c r="I74" s="214"/>
      <c r="J74" s="214"/>
      <c r="K74" s="215"/>
      <c r="L74" s="62"/>
      <c r="M74" s="427" t="s">
        <v>279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/>
      <c r="D75" s="214"/>
      <c r="E75" s="215"/>
      <c r="F75" s="62"/>
      <c r="G75" s="294" t="s">
        <v>280</v>
      </c>
      <c r="H75" s="298" t="n">
        <v>0</v>
      </c>
      <c r="I75" s="214"/>
      <c r="J75" s="214"/>
      <c r="K75" s="215"/>
      <c r="L75" s="62"/>
      <c r="M75" s="429" t="s">
        <v>280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281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281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282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282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282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283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283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11288.75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313.576388888889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133.408761933113</v>
      </c>
      <c r="C83" s="469"/>
      <c r="D83" s="214"/>
      <c r="E83" s="462" t="n">
        <f aca="false">B83+E80+E77+E64</f>
        <v>446.985150822002</v>
      </c>
      <c r="F83" s="62"/>
      <c r="G83" s="304" t="s">
        <v>105</v>
      </c>
      <c r="H83" s="305" t="n">
        <f aca="false">H47</f>
        <v>133.408761933113</v>
      </c>
      <c r="I83" s="214"/>
      <c r="J83" s="214"/>
      <c r="K83" s="215"/>
      <c r="L83" s="62"/>
      <c r="M83" s="304" t="s">
        <v>105</v>
      </c>
      <c r="N83" s="305" t="n">
        <f aca="false">H47</f>
        <v>133.408761933113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19309.7585155105</v>
      </c>
      <c r="C85" s="469"/>
      <c r="D85" s="469"/>
      <c r="E85" s="462" t="n">
        <f aca="false">B85/(B58+B57)</f>
        <v>536.382180986402</v>
      </c>
      <c r="F85" s="62"/>
      <c r="G85" s="287" t="s">
        <v>115</v>
      </c>
      <c r="H85" s="130" t="n">
        <f aca="false">((H83*H29)+H81)*1.2</f>
        <v>7042.15851551049</v>
      </c>
      <c r="I85" s="214"/>
      <c r="J85" s="214"/>
      <c r="K85" s="215"/>
      <c r="L85" s="62"/>
      <c r="M85" s="287" t="s">
        <v>115</v>
      </c>
      <c r="N85" s="130" t="n">
        <f aca="false">((N83*H29)+N81)</f>
        <v>5524.71542959207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136.313341678674</v>
      </c>
      <c r="C86" s="469" t="s">
        <v>232</v>
      </c>
      <c r="D86" s="214"/>
      <c r="E86" s="462" t="n">
        <f aca="false">B86/(B58+B57)</f>
        <v>3.78648171329651</v>
      </c>
      <c r="F86" s="62"/>
      <c r="G86" s="213" t="s">
        <v>116</v>
      </c>
      <c r="H86" s="299" t="n">
        <f aca="false">((((H83*H29)+H81))/(1-H70))*H70</f>
        <v>49.7126962571333</v>
      </c>
      <c r="I86" s="214"/>
      <c r="J86" s="214"/>
      <c r="K86" s="215"/>
      <c r="L86" s="62"/>
      <c r="M86" s="213" t="s">
        <v>116</v>
      </c>
      <c r="N86" s="299" t="n">
        <f aca="false">(N85/(1-N70))*N70</f>
        <v>46.8007357892027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19446.0718571892</v>
      </c>
      <c r="C87" s="469"/>
      <c r="D87" s="471"/>
      <c r="E87" s="462" t="n">
        <f aca="false">E86+E85</f>
        <v>540.168662699699</v>
      </c>
      <c r="F87" s="62"/>
      <c r="G87" s="284" t="s">
        <v>117</v>
      </c>
      <c r="H87" s="132" t="n">
        <f aca="false">IF(H110="YES",((H85+H86)-K114),(H85+H86))</f>
        <v>7091.87121176762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5571.51616538128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540.168662699699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172.972468579698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135.890638180031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540.168662699699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172.972468579698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135.890638180031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212" t="s">
        <v>341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376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216" t="s">
        <v>126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130</v>
      </c>
      <c r="Z97" s="62"/>
      <c r="AC97" s="385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213" t="s">
        <v>127</v>
      </c>
      <c r="N98" s="214" t="s">
        <v>23</v>
      </c>
      <c r="O98" s="214"/>
      <c r="P98" s="214" t="s">
        <v>285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1000</v>
      </c>
      <c r="E99" s="106"/>
      <c r="F99" s="62"/>
      <c r="G99" s="219" t="s">
        <v>286</v>
      </c>
      <c r="H99" s="311" t="s">
        <v>265</v>
      </c>
      <c r="I99" s="311"/>
      <c r="J99" s="106" t="n">
        <v>0</v>
      </c>
      <c r="K99" s="106"/>
      <c r="L99" s="62"/>
      <c r="M99" s="219" t="s">
        <v>286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377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213" t="s">
        <v>287</v>
      </c>
      <c r="N101" s="214" t="s">
        <v>288</v>
      </c>
      <c r="O101" s="214"/>
      <c r="P101" s="214" t="s">
        <v>289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267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268</v>
      </c>
      <c r="Z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219" t="s">
        <v>128</v>
      </c>
      <c r="N104" s="62" t="s">
        <v>131</v>
      </c>
      <c r="O104" s="214"/>
      <c r="P104" s="214" t="s">
        <v>142</v>
      </c>
      <c r="Q104" s="215"/>
      <c r="R104" s="62"/>
      <c r="S104" s="62"/>
      <c r="T104" s="62"/>
      <c r="U104" s="62"/>
      <c r="V104" s="62"/>
      <c r="W104" s="62"/>
      <c r="X104" s="62"/>
      <c r="Y104" s="62" t="s">
        <v>269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270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342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216" t="s">
        <v>290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213" t="s">
        <v>291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</v>
      </c>
      <c r="E112" s="106" t="n">
        <v>6000</v>
      </c>
      <c r="F112" s="62"/>
      <c r="G112" s="213" t="s">
        <v>176</v>
      </c>
      <c r="H112" s="214"/>
      <c r="I112" s="214"/>
      <c r="J112" s="312" t="n">
        <v>0</v>
      </c>
      <c r="K112" s="106" t="n">
        <v>0</v>
      </c>
      <c r="L112" s="62"/>
      <c r="M112" s="213" t="s">
        <v>176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177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177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178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0</v>
      </c>
      <c r="K115" s="215"/>
      <c r="L115" s="62"/>
      <c r="M115" s="213" t="s">
        <v>179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287" t="s">
        <v>138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((E118)+E117)-E114</f>
        <v>-2760.01</v>
      </c>
      <c r="F119" s="62"/>
      <c r="G119" s="314" t="s">
        <v>292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292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216" t="s">
        <v>293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213" t="s">
        <v>183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296</v>
      </c>
      <c r="H126" s="327" t="s">
        <v>297</v>
      </c>
      <c r="I126" s="327"/>
      <c r="J126" s="327" t="s">
        <v>298</v>
      </c>
      <c r="K126" s="215"/>
      <c r="L126" s="62"/>
      <c r="M126" s="326" t="s">
        <v>343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332" t="n">
        <f aca="false">H90</f>
        <v>172.972468579698</v>
      </c>
      <c r="H127" s="176" t="n">
        <f aca="false">IF(G105="YES",H89*H57,0)</f>
        <v>0</v>
      </c>
      <c r="I127" s="176"/>
      <c r="J127" s="333" t="n">
        <f aca="false">H91</f>
        <v>172.972468579698</v>
      </c>
      <c r="K127" s="215"/>
      <c r="L127" s="62"/>
      <c r="M127" s="332" t="n">
        <f aca="false">N90</f>
        <v>135.890638180031</v>
      </c>
      <c r="N127" s="176" t="n">
        <f aca="false">IF(M105="YES",N89*N57,0)</f>
        <v>0</v>
      </c>
      <c r="O127" s="176"/>
      <c r="P127" s="176" t="n">
        <f aca="false">N91</f>
        <v>135.890638180031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540.168662699699</v>
      </c>
      <c r="B128" s="320" t="n">
        <f aca="false">IF(A105="YES",B89,0)</f>
        <v>0</v>
      </c>
      <c r="C128" s="324"/>
      <c r="D128" s="320" t="n">
        <f aca="false">B91</f>
        <v>540.168662699699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540.168662699699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213" t="s">
        <v>344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1037.83481147819</v>
      </c>
      <c r="H133" s="102" t="n">
        <f aca="false">IF(G105="YES",H89*H57,0)</f>
        <v>0</v>
      </c>
      <c r="I133" s="220"/>
      <c r="J133" s="183" t="n">
        <f aca="false">H91*H57</f>
        <v>1037.83481147819</v>
      </c>
      <c r="K133" s="215"/>
      <c r="L133" s="62"/>
      <c r="M133" s="184" t="n">
        <f aca="false">N90*N57</f>
        <v>815.343829080187</v>
      </c>
      <c r="N133" s="102" t="n">
        <f aca="false">IF(M105="YES",N89*N57,0)</f>
        <v>0</v>
      </c>
      <c r="O133" s="220"/>
      <c r="P133" s="183" t="n">
        <f aca="false">N91*N57</f>
        <v>815.343829080187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540.168662699699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540.168662699699</v>
      </c>
      <c r="B137" s="37" t="n">
        <f aca="false">IF(A105="YES",B89,0)</f>
        <v>0</v>
      </c>
      <c r="C137" s="316"/>
      <c r="D137" s="37" t="n">
        <f aca="false">B91</f>
        <v>540.168662699699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213" t="s">
        <v>141</v>
      </c>
      <c r="N138" s="214" t="s">
        <v>310</v>
      </c>
      <c r="O138" s="214"/>
      <c r="P138" s="214" t="s">
        <v>311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213" t="s">
        <v>313</v>
      </c>
      <c r="N141" s="214" t="s">
        <v>314</v>
      </c>
      <c r="O141" s="214"/>
      <c r="P141" s="214" t="s">
        <v>315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213" t="s">
        <v>317</v>
      </c>
      <c r="N144" s="214" t="s">
        <v>318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345</v>
      </c>
      <c r="N147" s="165" t="s">
        <v>346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531.991666666667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323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172.972468579698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135.890638180031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540.168662699699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378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540.168662699699</v>
      </c>
      <c r="B177" s="354" t="n">
        <f aca="false">IF(A105="YES",B89,0)</f>
        <v>0</v>
      </c>
      <c r="C177" s="356"/>
      <c r="D177" s="354" t="n">
        <f aca="false">B91</f>
        <v>540.168662699699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540.168662699699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540.168662699699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540.168662699699</v>
      </c>
      <c r="B186" s="102" t="n">
        <f aca="false">IF(A105="YES",B89,0)</f>
        <v>0</v>
      </c>
      <c r="C186" s="352"/>
      <c r="D186" s="102" t="n">
        <f aca="false">B91</f>
        <v>540.168662699699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531.991666666667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432</v>
      </c>
      <c r="C211" s="319" t="s">
        <v>219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9667.99166666667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D64</f>
        <v>10000</v>
      </c>
      <c r="C217" s="373" t="s">
        <v>223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B67</f>
        <v>432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(B77-(B77*(E219*100)))*0.1</f>
        <v>0</v>
      </c>
      <c r="C221" s="335" t="s">
        <v>225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B78-(B78*(E219*100))</f>
        <v>0</v>
      </c>
      <c r="C223" s="335" t="s">
        <v>220</v>
      </c>
      <c r="D223" s="316"/>
      <c r="E223" s="32" t="n">
        <f aca="false">(B217-B211+D211)</f>
        <v>9667.99166666667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B71</f>
        <v>200</v>
      </c>
      <c r="C229" s="335" t="s">
        <v>228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B68</f>
        <v>0.0075</v>
      </c>
      <c r="C231" s="335" t="s">
        <v>231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B86</f>
        <v>136.313341678674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B79</f>
        <v>200</v>
      </c>
      <c r="C233" s="379" t="s">
        <v>330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B80</f>
        <v>200</v>
      </c>
      <c r="C235" s="383" t="s">
        <v>331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145</v>
      </c>
      <c r="C2" s="478" t="s">
        <v>146</v>
      </c>
      <c r="D2" s="478" t="s">
        <v>147</v>
      </c>
      <c r="E2" s="479" t="s">
        <v>148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151</v>
      </c>
      <c r="B3" s="480" t="n">
        <v>16745.0</v>
      </c>
      <c r="C3" s="480" t="n">
        <v>0.0</v>
      </c>
      <c r="D3" s="480" t="n">
        <v>0.0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152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153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154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155</v>
      </c>
      <c r="B7" s="31" t="n">
        <f aca="false">B3-B6</f>
        <v>16745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83" t="n">
        <f aca="false">B7+C7+D7+E3</f>
        <v>16745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38" t="n">
        <v>695.0</v>
      </c>
      <c r="F10" s="385"/>
      <c r="G10" s="385"/>
      <c r="H10" s="385"/>
      <c r="I10" s="15" t="s">
        <v>1</v>
      </c>
      <c r="J10" s="9" t="n">
        <f aca="false">E15-E11-J8</f>
        <v>17440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32" t="n">
        <f aca="false">(E9+E10)*20%</f>
        <v>3488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38" t="n">
        <v>275.0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38" t="n">
        <v>65.0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40" t="n">
        <f aca="false">(E9+E10+E13+E14+E11)-E12</f>
        <v>21268</v>
      </c>
      <c r="F15" s="385"/>
      <c r="G15" s="16" t="n">
        <f aca="false">E15</f>
        <v>21268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441" t="n">
        <v>0</v>
      </c>
      <c r="F18" s="385"/>
      <c r="G18" s="16" t="n">
        <f aca="false">(B3+C3+D3+E3+E10)*1.2</f>
        <v>20928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443" t="n">
        <f aca="false">E15-((E18*1.2)+(E19*1.2)+(E20*1.2)+(E16*1.2))</f>
        <v>21268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45370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21268</v>
      </c>
      <c r="B35" s="222" t="s">
        <v>386</v>
      </c>
      <c r="C35" s="222"/>
      <c r="D35" s="278" t="n">
        <f aca="false">A35-B35</f>
        <v>20268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384</v>
      </c>
      <c r="B38" s="240" t="n">
        <f aca="false">A32-1</f>
        <v>11</v>
      </c>
      <c r="C38" s="240"/>
      <c r="D38" s="103" t="s">
        <v>387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E11</f>
        <v>3488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405</v>
      </c>
      <c r="B41" s="103" t="s">
        <v>408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335</v>
      </c>
      <c r="D43" s="239" t="s">
        <v>211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0.0</v>
      </c>
      <c r="B44" s="103" t="s">
        <v>406</v>
      </c>
      <c r="C44" s="103"/>
      <c r="D44" s="103" t="n">
        <v>0.0</v>
      </c>
      <c r="E44" s="103"/>
      <c r="F44" s="385"/>
      <c r="G44" s="2" t="s">
        <v>65</v>
      </c>
      <c r="H44" s="2" t="n">
        <f aca="false">((H40-(((H42/(1.2))*0.2)))/(H43))</f>
        <v>207.333333333333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342.666666666667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337</v>
      </c>
      <c r="B46" s="229" t="s">
        <v>338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337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345.333333333333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339</v>
      </c>
      <c r="H50" s="2" t="n">
        <f aca="false">H49-H41</f>
        <v>295.333333333333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345.333333333333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337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345.333333333333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20928</v>
      </c>
      <c r="C67" s="316"/>
      <c r="D67" s="316"/>
      <c r="E67" s="317"/>
      <c r="F67" s="385"/>
      <c r="G67" s="315" t="s">
        <v>14</v>
      </c>
      <c r="H67" s="31" t="n">
        <f aca="false">G18</f>
        <v>20928</v>
      </c>
      <c r="I67" s="316"/>
      <c r="J67" s="316"/>
      <c r="K67" s="317"/>
      <c r="L67" s="385"/>
      <c r="M67" s="315" t="s">
        <v>14</v>
      </c>
      <c r="N67" s="31" t="n">
        <f aca="false">G18</f>
        <v>20928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277</v>
      </c>
      <c r="B68" s="397" t="n">
        <v>0.07</v>
      </c>
      <c r="C68" s="316"/>
      <c r="D68" s="316"/>
      <c r="E68" s="317"/>
      <c r="F68" s="385"/>
      <c r="G68" s="396" t="s">
        <v>277</v>
      </c>
      <c r="H68" s="397" t="n">
        <v>0.07</v>
      </c>
      <c r="I68" s="316"/>
      <c r="J68" s="316"/>
      <c r="K68" s="317"/>
      <c r="L68" s="385"/>
      <c r="M68" s="396" t="s">
        <v>277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278</v>
      </c>
      <c r="B69" s="374" t="n">
        <f aca="false">B68+(B68*0.25*(H29/12-1))</f>
        <v>0.07</v>
      </c>
      <c r="C69" s="316"/>
      <c r="D69" s="316"/>
      <c r="E69" s="317"/>
      <c r="F69" s="385"/>
      <c r="G69" s="315" t="s">
        <v>278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278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1464.96</v>
      </c>
      <c r="C70" s="316" t="n">
        <v>10000.0</v>
      </c>
      <c r="D70" s="31" t="n">
        <f aca="false">B70-A149</f>
        <v>1464.96</v>
      </c>
      <c r="E70" s="317" t="n">
        <f aca="false">D70/12</f>
        <v>122.08</v>
      </c>
      <c r="F70" s="385"/>
      <c r="G70" s="365" t="s">
        <v>91</v>
      </c>
      <c r="H70" s="64" t="n">
        <f aca="false">H67*H69</f>
        <v>1464.96</v>
      </c>
      <c r="I70" s="316"/>
      <c r="J70" s="31" t="n">
        <f aca="false">H70-G151</f>
        <v>1464.96</v>
      </c>
      <c r="K70" s="317"/>
      <c r="L70" s="385"/>
      <c r="M70" s="365" t="s">
        <v>91</v>
      </c>
      <c r="N70" s="64" t="n">
        <f aca="false">N67*N69</f>
        <v>1464.96</v>
      </c>
      <c r="O70" s="316"/>
      <c r="P70" s="31" t="n">
        <f aca="false">N70-M151</f>
        <v>1464.96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209.28</v>
      </c>
      <c r="C73" s="316"/>
      <c r="D73" s="31"/>
      <c r="E73" s="317"/>
      <c r="F73" s="385"/>
      <c r="G73" s="365" t="s">
        <v>94</v>
      </c>
      <c r="H73" s="64" t="n">
        <f aca="false">H67*H72</f>
        <v>104.64</v>
      </c>
      <c r="I73" s="316"/>
      <c r="J73" s="31"/>
      <c r="K73" s="317"/>
      <c r="L73" s="385"/>
      <c r="M73" s="365" t="s">
        <v>94</v>
      </c>
      <c r="N73" s="64" t="n">
        <f aca="false">N67*N72</f>
        <v>104.64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279</v>
      </c>
      <c r="B80" s="85" t="n">
        <v>0.0</v>
      </c>
      <c r="C80" s="316"/>
      <c r="D80" s="316"/>
      <c r="E80" s="401" t="n">
        <f aca="false">E79+D82</f>
        <v>660</v>
      </c>
      <c r="F80" s="385"/>
      <c r="G80" s="396" t="s">
        <v>279</v>
      </c>
      <c r="H80" s="85" t="n">
        <v>150</v>
      </c>
      <c r="I80" s="316"/>
      <c r="J80" s="316"/>
      <c r="K80" s="317"/>
      <c r="L80" s="385"/>
      <c r="M80" s="402" t="s">
        <v>279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280</v>
      </c>
      <c r="B81" s="76" t="n">
        <v>0.0</v>
      </c>
      <c r="C81" s="316"/>
      <c r="D81" s="316"/>
      <c r="E81" s="317" t="n">
        <f aca="false">E80/12</f>
        <v>55</v>
      </c>
      <c r="F81" s="385"/>
      <c r="G81" s="398" t="s">
        <v>280</v>
      </c>
      <c r="H81" s="76" t="n">
        <f aca="false">IF(G18&gt;40000,325,0)</f>
        <v>0</v>
      </c>
      <c r="I81" s="316"/>
      <c r="J81" s="316"/>
      <c r="K81" s="317"/>
      <c r="L81" s="385"/>
      <c r="M81" s="404" t="s">
        <v>280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281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281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281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282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282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282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340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283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283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2791.62666666667</v>
      </c>
      <c r="C87" s="316"/>
      <c r="D87" s="316"/>
      <c r="E87" s="317"/>
      <c r="F87" s="385"/>
      <c r="G87" s="409" t="s">
        <v>103</v>
      </c>
      <c r="H87" s="410" t="n">
        <f aca="false">SUM(J70:J86)</f>
        <v>4591.46</v>
      </c>
      <c r="I87" s="316"/>
      <c r="J87" s="316"/>
      <c r="K87" s="317"/>
      <c r="L87" s="385"/>
      <c r="M87" s="409" t="s">
        <v>103</v>
      </c>
      <c r="N87" s="410" t="n">
        <f aca="false">SUM(P70:P86)</f>
        <v>4578.96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232.635555555556</v>
      </c>
      <c r="C88" s="316"/>
      <c r="D88" s="316"/>
      <c r="E88" s="317"/>
      <c r="F88" s="385"/>
      <c r="G88" s="315" t="s">
        <v>104</v>
      </c>
      <c r="H88" s="32" t="n">
        <f aca="false">H87/H29</f>
        <v>382.621666666667</v>
      </c>
      <c r="I88" s="316"/>
      <c r="J88" s="316"/>
      <c r="K88" s="317"/>
      <c r="L88" s="385"/>
      <c r="M88" s="315" t="s">
        <v>104</v>
      </c>
      <c r="N88" s="32" t="n">
        <f aca="false">N87/H29</f>
        <v>381.58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295.333333333333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7602.752</v>
      </c>
      <c r="C91" s="316"/>
      <c r="D91" s="316"/>
      <c r="E91" s="317"/>
      <c r="F91" s="385"/>
      <c r="G91" s="393" t="s">
        <v>115</v>
      </c>
      <c r="H91" s="26" t="n">
        <f aca="false">((H89*H29)+H87)*1.2</f>
        <v>5509.752</v>
      </c>
      <c r="I91" s="316"/>
      <c r="J91" s="316"/>
      <c r="K91" s="317"/>
      <c r="L91" s="385"/>
      <c r="M91" s="393" t="s">
        <v>115</v>
      </c>
      <c r="N91" s="26" t="n">
        <f aca="false">((N89*H29)+N87)</f>
        <v>4578.96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53.6700927793465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38.8949818475192</v>
      </c>
      <c r="I92" s="316"/>
      <c r="J92" s="316"/>
      <c r="K92" s="317"/>
      <c r="L92" s="385"/>
      <c r="M92" s="315" t="s">
        <v>116</v>
      </c>
      <c r="N92" s="32" t="n">
        <f aca="false">(N91/(1-N76))*N76</f>
        <v>38.789092375958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7656.42209277935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7548.64698184752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6617.74909237596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78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638.035174398279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716.035174398279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385"/>
      <c r="G100" s="212" t="s">
        <v>284</v>
      </c>
      <c r="H100" s="212"/>
      <c r="I100" s="212"/>
      <c r="J100" s="212"/>
      <c r="K100" s="212"/>
      <c r="L100" s="385"/>
      <c r="M100" s="212" t="s">
        <v>341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385"/>
      <c r="G102" s="216" t="s">
        <v>126</v>
      </c>
      <c r="H102" s="216"/>
      <c r="I102" s="216"/>
      <c r="J102" s="216"/>
      <c r="K102" s="216"/>
      <c r="L102" s="385"/>
      <c r="M102" s="216" t="s">
        <v>126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130</v>
      </c>
    </row>
    <row r="104" customFormat="false" ht="18.75" hidden="false" customHeight="true" outlineLevel="0" collapsed="false">
      <c r="A104" s="315" t="s">
        <v>127</v>
      </c>
      <c r="B104" s="316" t="s">
        <v>23</v>
      </c>
      <c r="C104" s="316"/>
      <c r="D104" s="316" t="s">
        <v>285</v>
      </c>
      <c r="E104" s="317"/>
      <c r="F104" s="385"/>
      <c r="G104" s="315" t="s">
        <v>127</v>
      </c>
      <c r="H104" s="316" t="s">
        <v>23</v>
      </c>
      <c r="I104" s="316"/>
      <c r="J104" s="316" t="s">
        <v>285</v>
      </c>
      <c r="K104" s="317"/>
      <c r="L104" s="385"/>
      <c r="M104" s="315" t="s">
        <v>127</v>
      </c>
      <c r="N104" s="316" t="s">
        <v>23</v>
      </c>
      <c r="O104" s="316"/>
      <c r="P104" s="316" t="s">
        <v>285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130</v>
      </c>
      <c r="C105" s="311"/>
      <c r="D105" s="418" t="n">
        <v>1000.0</v>
      </c>
      <c r="E105" s="418"/>
      <c r="F105" s="385"/>
      <c r="G105" s="372" t="s">
        <v>286</v>
      </c>
      <c r="H105" s="311" t="s">
        <v>268</v>
      </c>
      <c r="I105" s="311"/>
      <c r="J105" s="418" t="n">
        <v>5000</v>
      </c>
      <c r="K105" s="418"/>
      <c r="L105" s="385"/>
      <c r="M105" s="372" t="s">
        <v>286</v>
      </c>
      <c r="N105" s="311" t="s">
        <v>267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5"/>
      <c r="G107" s="315" t="s">
        <v>287</v>
      </c>
      <c r="H107" s="316" t="s">
        <v>288</v>
      </c>
      <c r="I107" s="316"/>
      <c r="J107" s="316" t="s">
        <v>289</v>
      </c>
      <c r="K107" s="317"/>
      <c r="L107" s="385"/>
      <c r="M107" s="315" t="s">
        <v>287</v>
      </c>
      <c r="N107" s="316" t="s">
        <v>288</v>
      </c>
      <c r="O107" s="316"/>
      <c r="P107" s="316" t="s">
        <v>289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267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268</v>
      </c>
    </row>
    <row r="110" customFormat="false" ht="18.75" hidden="false" customHeight="true" outlineLevel="0" collapsed="false">
      <c r="A110" s="372" t="s">
        <v>128</v>
      </c>
      <c r="B110" s="385" t="s">
        <v>131</v>
      </c>
      <c r="C110" s="316"/>
      <c r="D110" s="316" t="s">
        <v>142</v>
      </c>
      <c r="E110" s="317"/>
      <c r="F110" s="385"/>
      <c r="G110" s="372" t="s">
        <v>128</v>
      </c>
      <c r="H110" s="385" t="s">
        <v>131</v>
      </c>
      <c r="I110" s="316"/>
      <c r="J110" s="316" t="s">
        <v>142</v>
      </c>
      <c r="K110" s="317"/>
      <c r="L110" s="385"/>
      <c r="M110" s="372" t="s">
        <v>128</v>
      </c>
      <c r="N110" s="385" t="s">
        <v>131</v>
      </c>
      <c r="O110" s="316"/>
      <c r="P110" s="316" t="s">
        <v>142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269</v>
      </c>
    </row>
    <row r="111" customFormat="false" ht="18.75" hidden="false" customHeight="true" outlineLevel="0" collapsed="false">
      <c r="A111" s="386" t="s">
        <v>389</v>
      </c>
      <c r="B111" s="311" t="n">
        <v>0.0</v>
      </c>
      <c r="C111" s="311"/>
      <c r="D111" s="106" t="n">
        <v>200.0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270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342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385"/>
      <c r="G114" s="216" t="s">
        <v>290</v>
      </c>
      <c r="H114" s="216"/>
      <c r="I114" s="216"/>
      <c r="J114" s="216"/>
      <c r="K114" s="216"/>
      <c r="L114" s="385"/>
      <c r="M114" s="216" t="s">
        <v>290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291</v>
      </c>
      <c r="B116" s="386" t="s">
        <v>389</v>
      </c>
      <c r="C116" s="316"/>
      <c r="D116" s="316"/>
      <c r="E116" s="317"/>
      <c r="F116" s="385"/>
      <c r="G116" s="315" t="s">
        <v>291</v>
      </c>
      <c r="H116" s="386" t="s">
        <v>18</v>
      </c>
      <c r="I116" s="316"/>
      <c r="J116" s="316"/>
      <c r="K116" s="317"/>
      <c r="L116" s="385"/>
      <c r="M116" s="315" t="s">
        <v>291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176</v>
      </c>
      <c r="B118" s="316"/>
      <c r="C118" s="316"/>
      <c r="D118" s="312" t="n">
        <v>0.0</v>
      </c>
      <c r="E118" s="106" t="n">
        <v>6000.0</v>
      </c>
      <c r="F118" s="385"/>
      <c r="G118" s="315" t="s">
        <v>176</v>
      </c>
      <c r="H118" s="316"/>
      <c r="I118" s="316"/>
      <c r="J118" s="312" t="n">
        <v>10000</v>
      </c>
      <c r="K118" s="106" t="n">
        <v>5000</v>
      </c>
      <c r="L118" s="385"/>
      <c r="M118" s="315" t="s">
        <v>176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177</v>
      </c>
      <c r="B119" s="316"/>
      <c r="C119" s="316"/>
      <c r="D119" s="38" t="n">
        <f aca="false">E119</f>
        <v>2000</v>
      </c>
      <c r="E119" s="106" t="n">
        <v>2000.0</v>
      </c>
      <c r="F119" s="385"/>
      <c r="G119" s="315" t="s">
        <v>177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177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178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178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178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179</v>
      </c>
      <c r="B121" s="316"/>
      <c r="C121" s="316"/>
      <c r="D121" s="38" t="n">
        <f aca="false">D120-E120</f>
        <v>-6000</v>
      </c>
      <c r="E121" s="317"/>
      <c r="F121" s="385"/>
      <c r="G121" s="315" t="s">
        <v>179</v>
      </c>
      <c r="H121" s="316"/>
      <c r="I121" s="316"/>
      <c r="J121" s="38" t="n">
        <f aca="false">J120-K120</f>
        <v>5000</v>
      </c>
      <c r="K121" s="317"/>
      <c r="L121" s="385"/>
      <c r="M121" s="315" t="s">
        <v>179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138</v>
      </c>
      <c r="B123" s="394"/>
      <c r="C123" s="394"/>
      <c r="D123" s="394"/>
      <c r="E123" s="26" t="n">
        <f aca="false">D105</f>
        <v>1000</v>
      </c>
      <c r="F123" s="385"/>
      <c r="G123" s="393" t="s">
        <v>138</v>
      </c>
      <c r="H123" s="394"/>
      <c r="I123" s="394"/>
      <c r="J123" s="394"/>
      <c r="K123" s="26" t="n">
        <f aca="false">J105</f>
        <v>5000</v>
      </c>
      <c r="L123" s="385"/>
      <c r="M123" s="393" t="s">
        <v>138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292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292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292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385"/>
      <c r="G128" s="216" t="s">
        <v>293</v>
      </c>
      <c r="H128" s="216"/>
      <c r="I128" s="216"/>
      <c r="J128" s="216"/>
      <c r="K128" s="216"/>
      <c r="L128" s="385"/>
      <c r="M128" s="216" t="s">
        <v>293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127</v>
      </c>
      <c r="B130" s="319" t="n">
        <v>0.0</v>
      </c>
      <c r="C130" s="320"/>
      <c r="D130" s="319" t="s">
        <v>84</v>
      </c>
      <c r="E130" s="321"/>
      <c r="F130" s="385"/>
      <c r="G130" s="315" t="s">
        <v>183</v>
      </c>
      <c r="H130" s="171" t="n">
        <v>0</v>
      </c>
      <c r="I130" s="171"/>
      <c r="J130" s="316"/>
      <c r="K130" s="317"/>
      <c r="L130" s="385"/>
      <c r="M130" s="315" t="s">
        <v>183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638.035174398279</v>
      </c>
      <c r="B134" s="320" t="n">
        <f aca="false">IF(A111="YES",B95,0)</f>
        <v>78</v>
      </c>
      <c r="C134" s="324"/>
      <c r="D134" s="320" t="n">
        <f aca="false">B97</f>
        <v>716.035174398279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296</v>
      </c>
      <c r="H135" s="421" t="s">
        <v>297</v>
      </c>
      <c r="I135" s="421"/>
      <c r="J135" s="421" t="s">
        <v>298</v>
      </c>
      <c r="K135" s="317"/>
      <c r="L135" s="385"/>
      <c r="M135" s="420" t="s">
        <v>343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638.035174398279</v>
      </c>
      <c r="C137" s="316"/>
      <c r="D137" s="37" t="n">
        <f aca="false">IF(A111="YES",B95*B63,0)</f>
        <v>78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301</v>
      </c>
      <c r="H138" s="316" t="s">
        <v>302</v>
      </c>
      <c r="I138" s="316"/>
      <c r="J138" s="316" t="s">
        <v>303</v>
      </c>
      <c r="K138" s="317"/>
      <c r="L138" s="385"/>
      <c r="M138" s="315" t="s">
        <v>344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716.035174398279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306</v>
      </c>
      <c r="H141" s="316" t="s">
        <v>307</v>
      </c>
      <c r="I141" s="316"/>
      <c r="J141" s="316" t="s">
        <v>308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385"/>
      <c r="G142" s="110" t="n">
        <f aca="false">E15*0.000006</f>
        <v>0.127608</v>
      </c>
      <c r="H142" s="37" t="n">
        <f aca="false">IF(G111="YES",E15*0.000002,0)</f>
        <v>0.042536</v>
      </c>
      <c r="I142" s="37"/>
      <c r="J142" s="37" t="n">
        <f aca="false">G142+H142</f>
        <v>0.170144</v>
      </c>
      <c r="K142" s="104"/>
      <c r="L142" s="385"/>
      <c r="M142" s="110" t="n">
        <f aca="false">E15*0.000006</f>
        <v>0.127608</v>
      </c>
      <c r="N142" s="37" t="n">
        <f aca="false">IF(M111="YES",E15*0.000002,0)</f>
        <v>0.042536</v>
      </c>
      <c r="O142" s="37"/>
      <c r="P142" s="37" t="n">
        <f aca="false">M142+N142</f>
        <v>0.170144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638.035174398279</v>
      </c>
      <c r="B143" s="37" t="n">
        <f aca="false">IF(A111="YES",B95,0)</f>
        <v>78</v>
      </c>
      <c r="C143" s="316"/>
      <c r="D143" s="37" t="n">
        <f aca="false">B97</f>
        <v>716.035174398279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309</v>
      </c>
      <c r="H144" s="316" t="s">
        <v>310</v>
      </c>
      <c r="I144" s="316"/>
      <c r="J144" s="316" t="s">
        <v>311</v>
      </c>
      <c r="K144" s="317"/>
      <c r="L144" s="385"/>
      <c r="M144" s="315" t="s">
        <v>141</v>
      </c>
      <c r="N144" s="316" t="s">
        <v>310</v>
      </c>
      <c r="O144" s="316"/>
      <c r="P144" s="316" t="s">
        <v>311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87.2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87.2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313</v>
      </c>
      <c r="H147" s="316" t="s">
        <v>314</v>
      </c>
      <c r="I147" s="316"/>
      <c r="J147" s="316" t="s">
        <v>315</v>
      </c>
      <c r="K147" s="317"/>
      <c r="L147" s="385"/>
      <c r="M147" s="315" t="s">
        <v>313</v>
      </c>
      <c r="N147" s="316" t="s">
        <v>314</v>
      </c>
      <c r="O147" s="316"/>
      <c r="P147" s="316" t="s">
        <v>315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2747.188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2707.19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317</v>
      </c>
      <c r="H150" s="316" t="s">
        <v>318</v>
      </c>
      <c r="I150" s="316"/>
      <c r="J150" s="316"/>
      <c r="K150" s="317"/>
      <c r="L150" s="385"/>
      <c r="M150" s="315" t="s">
        <v>317</v>
      </c>
      <c r="N150" s="316" t="s">
        <v>318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345</v>
      </c>
      <c r="N153" s="38" t="s">
        <v>346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323</v>
      </c>
      <c r="H154" s="316"/>
      <c r="I154" s="316"/>
      <c r="J154" s="348"/>
      <c r="K154" s="349"/>
      <c r="L154" s="385"/>
      <c r="M154" s="422" t="n">
        <f aca="false">H40</f>
        <v>3488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727.271666666667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323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716.035174398279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638.035174398279</v>
      </c>
      <c r="B177" s="354" t="n">
        <f aca="false">IF(A111="YES",B95,0)</f>
        <v>78</v>
      </c>
      <c r="C177" s="356"/>
      <c r="D177" s="354" t="n">
        <f aca="false">A177+B177</f>
        <v>716.035174398279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638.035174398279</v>
      </c>
      <c r="C180" s="352"/>
      <c r="D180" s="102" t="n">
        <f aca="false">IF(A111="YES",B95*B63,0)</f>
        <v>78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716.035174398279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638.035174398279</v>
      </c>
      <c r="B186" s="102" t="n">
        <f aca="false">IF(A111="YES",B95,0)</f>
        <v>78</v>
      </c>
      <c r="C186" s="352"/>
      <c r="D186" s="102" t="n">
        <f aca="false">B97</f>
        <v>716.035174398279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727.271666666667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D70</f>
        <v>1464.96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218</v>
      </c>
      <c r="B211" s="320" t="n">
        <f aca="false">B219</f>
        <v>209.28</v>
      </c>
      <c r="C211" s="319" t="s">
        <v>219</v>
      </c>
      <c r="D211" s="369" t="n">
        <f aca="false">B225+E221+B221+B223</f>
        <v>519.991666666667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220</v>
      </c>
      <c r="B213" s="320" t="n">
        <f aca="false">E223</f>
        <v>1775.67166666667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217</v>
      </c>
      <c r="B217" s="103" t="n">
        <f aca="false">D70</f>
        <v>1464.96</v>
      </c>
      <c r="C217" s="373" t="s">
        <v>223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223</v>
      </c>
      <c r="B219" s="103" t="n">
        <f aca="false">B73</f>
        <v>209.28</v>
      </c>
      <c r="C219" s="335" t="s">
        <v>326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1775.67166666667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328</v>
      </c>
      <c r="B225" s="340" t="n">
        <f aca="false">D197/0.1</f>
        <v>180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53.6700927793465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145</v>
      </c>
      <c r="C2" s="478" t="s">
        <v>146</v>
      </c>
      <c r="D2" s="478" t="s">
        <v>147</v>
      </c>
      <c r="E2" s="479" t="s">
        <v>148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151</v>
      </c>
      <c r="B3" s="480" t="n">
        <v>16745.0</v>
      </c>
      <c r="C3" s="480" t="n">
        <v>0.0</v>
      </c>
      <c r="D3" s="480" t="n">
        <v>0.0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152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153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154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155</v>
      </c>
      <c r="B7" s="31" t="n">
        <f aca="false">B3-B6</f>
        <v>16745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83" t="n">
        <f aca="false">B7+C7+D7+E3</f>
        <v>16745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38" t="n">
        <v>695.0</v>
      </c>
      <c r="F10" s="385"/>
      <c r="G10" s="385"/>
      <c r="H10" s="385"/>
      <c r="I10" s="15" t="s">
        <v>1</v>
      </c>
      <c r="J10" s="9" t="n">
        <f aca="false">E15-E11-J8</f>
        <v>17440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32" t="n">
        <f aca="false">(E9+E10)*20%</f>
        <v>3488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38" t="n">
        <v>275.0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38" t="n">
        <v>65.0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40" t="n">
        <f aca="false">(E9+E10+E13+E14+E11)-E12</f>
        <v>21268</v>
      </c>
      <c r="F15" s="385"/>
      <c r="G15" s="16" t="n">
        <f aca="false">E15</f>
        <v>21268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441" t="n">
        <v>0</v>
      </c>
      <c r="F18" s="385"/>
      <c r="G18" s="16" t="n">
        <f aca="false">(B3+C3+D3+E3+E10)*1.2</f>
        <v>20928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443" t="n">
        <f aca="false">E15-((E18*1.2)+(E19*1.2)+(E20*1.2)+(E16*1.2))</f>
        <v>21268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45370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337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21268</v>
      </c>
      <c r="B35" s="222" t="s">
        <v>386</v>
      </c>
      <c r="C35" s="222"/>
      <c r="D35" s="278" t="n">
        <f aca="false">A35-B35</f>
        <v>20268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384</v>
      </c>
      <c r="B38" s="240" t="n">
        <f aca="false">A32-1</f>
        <v>11</v>
      </c>
      <c r="C38" s="240"/>
      <c r="D38" s="103" t="s">
        <v>387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E11</f>
        <v>3488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405</v>
      </c>
      <c r="B41" s="103" t="s">
        <v>408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211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391</v>
      </c>
      <c r="B44" s="103" t="s">
        <v>406</v>
      </c>
      <c r="C44" s="103"/>
      <c r="D44" s="103" t="s">
        <v>406</v>
      </c>
      <c r="E44" s="103"/>
      <c r="F44" s="385"/>
      <c r="G44" s="2" t="s">
        <v>65</v>
      </c>
      <c r="H44" s="2" t="n">
        <f aca="false">((H40-(((H42/(1.2))*0.2)))/(H43))</f>
        <v>207.333333333333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342.666666666667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337</v>
      </c>
      <c r="B46" s="229" t="s">
        <v>338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337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345.333333333333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339</v>
      </c>
      <c r="H50" s="2" t="n">
        <f aca="false">H49-H41</f>
        <v>295.333333333333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337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345.333333333333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20928</v>
      </c>
      <c r="C67" s="316"/>
      <c r="D67" s="316"/>
      <c r="E67" s="317"/>
      <c r="F67" s="385"/>
      <c r="G67" s="315" t="s">
        <v>14</v>
      </c>
      <c r="H67" s="31" t="n">
        <f aca="false">G18</f>
        <v>20928</v>
      </c>
      <c r="I67" s="316"/>
      <c r="J67" s="316"/>
      <c r="K67" s="317"/>
      <c r="L67" s="385"/>
      <c r="M67" s="315" t="s">
        <v>14</v>
      </c>
      <c r="N67" s="31" t="n">
        <f aca="false">G18</f>
        <v>20928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277</v>
      </c>
      <c r="B68" s="397" t="n">
        <v>0.07</v>
      </c>
      <c r="C68" s="316"/>
      <c r="D68" s="316"/>
      <c r="E68" s="317"/>
      <c r="F68" s="385"/>
      <c r="G68" s="396" t="s">
        <v>277</v>
      </c>
      <c r="H68" s="397" t="n">
        <v>0.07</v>
      </c>
      <c r="I68" s="316"/>
      <c r="J68" s="316"/>
      <c r="K68" s="317"/>
      <c r="L68" s="385"/>
      <c r="M68" s="396" t="s">
        <v>277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278</v>
      </c>
      <c r="B69" s="374" t="n">
        <f aca="false">B68+(B68*0.25*(H29/12-1))</f>
        <v>0.07</v>
      </c>
      <c r="C69" s="316"/>
      <c r="D69" s="316"/>
      <c r="E69" s="317"/>
      <c r="F69" s="385"/>
      <c r="G69" s="315" t="s">
        <v>278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278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1464.96</v>
      </c>
      <c r="C70" s="316" t="n">
        <v>10000.0</v>
      </c>
      <c r="D70" s="31" t="n">
        <f aca="false">B70-A149</f>
        <v>1464.96</v>
      </c>
      <c r="E70" s="317" t="n">
        <f aca="false">D70/12</f>
        <v>122.08</v>
      </c>
      <c r="F70" s="385"/>
      <c r="G70" s="365" t="s">
        <v>91</v>
      </c>
      <c r="H70" s="64" t="n">
        <f aca="false">H67*H69</f>
        <v>1464.96</v>
      </c>
      <c r="I70" s="316"/>
      <c r="J70" s="31" t="n">
        <f aca="false">H70-G151</f>
        <v>1464.96</v>
      </c>
      <c r="K70" s="317"/>
      <c r="L70" s="385"/>
      <c r="M70" s="365" t="s">
        <v>91</v>
      </c>
      <c r="N70" s="64" t="n">
        <f aca="false">N67*N69</f>
        <v>1464.96</v>
      </c>
      <c r="O70" s="316"/>
      <c r="P70" s="31" t="n">
        <f aca="false">N70-M151</f>
        <v>1464.96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209.28</v>
      </c>
      <c r="C73" s="316"/>
      <c r="D73" s="31"/>
      <c r="E73" s="317"/>
      <c r="F73" s="385"/>
      <c r="G73" s="365" t="s">
        <v>94</v>
      </c>
      <c r="H73" s="64" t="n">
        <f aca="false">H67*H72</f>
        <v>104.64</v>
      </c>
      <c r="I73" s="316"/>
      <c r="J73" s="31"/>
      <c r="K73" s="317"/>
      <c r="L73" s="385"/>
      <c r="M73" s="365" t="s">
        <v>94</v>
      </c>
      <c r="N73" s="64" t="n">
        <f aca="false">N67*N72</f>
        <v>104.64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279</v>
      </c>
      <c r="B80" s="85" t="n">
        <v>0.0</v>
      </c>
      <c r="C80" s="316"/>
      <c r="D80" s="316"/>
      <c r="E80" s="401" t="n">
        <f aca="false">E79+D82</f>
        <v>660</v>
      </c>
      <c r="F80" s="385"/>
      <c r="G80" s="396" t="s">
        <v>279</v>
      </c>
      <c r="H80" s="85" t="n">
        <v>150</v>
      </c>
      <c r="I80" s="316"/>
      <c r="J80" s="316"/>
      <c r="K80" s="317"/>
      <c r="L80" s="385"/>
      <c r="M80" s="402" t="s">
        <v>279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280</v>
      </c>
      <c r="B81" s="76" t="n">
        <v>0.0</v>
      </c>
      <c r="C81" s="316"/>
      <c r="D81" s="316"/>
      <c r="E81" s="317" t="n">
        <f aca="false">E80/12</f>
        <v>55</v>
      </c>
      <c r="F81" s="385"/>
      <c r="G81" s="398" t="s">
        <v>280</v>
      </c>
      <c r="H81" s="76" t="n">
        <f aca="false">IF(G18&gt;40000,325,0)</f>
        <v>0</v>
      </c>
      <c r="I81" s="316"/>
      <c r="J81" s="316"/>
      <c r="K81" s="317"/>
      <c r="L81" s="385"/>
      <c r="M81" s="404" t="s">
        <v>280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281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281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281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282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282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282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340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283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283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2791.62666666667</v>
      </c>
      <c r="C87" s="316"/>
      <c r="D87" s="316"/>
      <c r="E87" s="317"/>
      <c r="F87" s="385"/>
      <c r="G87" s="409" t="s">
        <v>103</v>
      </c>
      <c r="H87" s="410" t="n">
        <f aca="false">SUM(J70:J86)</f>
        <v>4591.46</v>
      </c>
      <c r="I87" s="316"/>
      <c r="J87" s="316"/>
      <c r="K87" s="317"/>
      <c r="L87" s="385"/>
      <c r="M87" s="409" t="s">
        <v>103</v>
      </c>
      <c r="N87" s="410" t="n">
        <f aca="false">SUM(P70:P86)</f>
        <v>4578.96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232.635555555556</v>
      </c>
      <c r="C88" s="316"/>
      <c r="D88" s="316"/>
      <c r="E88" s="317"/>
      <c r="F88" s="385"/>
      <c r="G88" s="315" t="s">
        <v>104</v>
      </c>
      <c r="H88" s="32" t="n">
        <f aca="false">H87/H29</f>
        <v>382.621666666667</v>
      </c>
      <c r="I88" s="316"/>
      <c r="J88" s="316"/>
      <c r="K88" s="317"/>
      <c r="L88" s="385"/>
      <c r="M88" s="315" t="s">
        <v>104</v>
      </c>
      <c r="N88" s="32" t="n">
        <f aca="false">N87/H29</f>
        <v>381.58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295.333333333333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6335.62666666667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5509.752</v>
      </c>
      <c r="I91" s="316"/>
      <c r="J91" s="316"/>
      <c r="K91" s="317"/>
      <c r="L91" s="385"/>
      <c r="M91" s="393" t="s">
        <v>115</v>
      </c>
      <c r="N91" s="26" t="n">
        <f aca="false">((N89*H29)+N87)</f>
        <v>4578.96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53.6700927793465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38.8949818475192</v>
      </c>
      <c r="I92" s="316"/>
      <c r="J92" s="316"/>
      <c r="K92" s="317"/>
      <c r="L92" s="385"/>
      <c r="M92" s="315" t="s">
        <v>116</v>
      </c>
      <c r="N92" s="32" t="n">
        <f aca="false">(N91/(1-N76))*N76</f>
        <v>38.789092375958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6389.29675944601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7548.64698184752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6617.74909237596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532.441396620501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597.441396620501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385"/>
      <c r="G100" s="212" t="s">
        <v>284</v>
      </c>
      <c r="H100" s="212"/>
      <c r="I100" s="212"/>
      <c r="J100" s="212"/>
      <c r="K100" s="212"/>
      <c r="L100" s="385"/>
      <c r="M100" s="212" t="s">
        <v>341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385"/>
      <c r="G102" s="216" t="s">
        <v>126</v>
      </c>
      <c r="H102" s="216"/>
      <c r="I102" s="216"/>
      <c r="J102" s="216"/>
      <c r="K102" s="216"/>
      <c r="L102" s="385"/>
      <c r="M102" s="216" t="s">
        <v>126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130</v>
      </c>
    </row>
    <row r="104" customFormat="false" ht="18.75" hidden="false" customHeight="true" outlineLevel="0" collapsed="false">
      <c r="A104" s="315" t="s">
        <v>127</v>
      </c>
      <c r="B104" s="316" t="s">
        <v>23</v>
      </c>
      <c r="C104" s="316"/>
      <c r="D104" s="316" t="s">
        <v>285</v>
      </c>
      <c r="E104" s="317"/>
      <c r="F104" s="385"/>
      <c r="G104" s="315" t="s">
        <v>127</v>
      </c>
      <c r="H104" s="316" t="s">
        <v>23</v>
      </c>
      <c r="I104" s="316"/>
      <c r="J104" s="316" t="s">
        <v>285</v>
      </c>
      <c r="K104" s="317"/>
      <c r="L104" s="385"/>
      <c r="M104" s="315" t="s">
        <v>127</v>
      </c>
      <c r="N104" s="316" t="s">
        <v>23</v>
      </c>
      <c r="O104" s="316"/>
      <c r="P104" s="316" t="s">
        <v>285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130</v>
      </c>
      <c r="C105" s="311"/>
      <c r="D105" s="418" t="n">
        <v>1000.0</v>
      </c>
      <c r="E105" s="418"/>
      <c r="F105" s="385"/>
      <c r="G105" s="372" t="s">
        <v>286</v>
      </c>
      <c r="H105" s="311" t="s">
        <v>268</v>
      </c>
      <c r="I105" s="311"/>
      <c r="J105" s="418" t="n">
        <v>5000</v>
      </c>
      <c r="K105" s="418"/>
      <c r="L105" s="385"/>
      <c r="M105" s="372" t="s">
        <v>286</v>
      </c>
      <c r="N105" s="311" t="s">
        <v>267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287</v>
      </c>
      <c r="B107" s="316" t="s">
        <v>288</v>
      </c>
      <c r="C107" s="316"/>
      <c r="D107" s="316" t="s">
        <v>289</v>
      </c>
      <c r="E107" s="317"/>
      <c r="F107" s="385"/>
      <c r="G107" s="315" t="s">
        <v>287</v>
      </c>
      <c r="H107" s="316" t="s">
        <v>288</v>
      </c>
      <c r="I107" s="316"/>
      <c r="J107" s="316" t="s">
        <v>289</v>
      </c>
      <c r="K107" s="317"/>
      <c r="L107" s="385"/>
      <c r="M107" s="315" t="s">
        <v>287</v>
      </c>
      <c r="N107" s="316" t="s">
        <v>288</v>
      </c>
      <c r="O107" s="316"/>
      <c r="P107" s="316" t="s">
        <v>289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267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268</v>
      </c>
    </row>
    <row r="110" customFormat="false" ht="18.75" hidden="false" customHeight="true" outlineLevel="0" collapsed="false">
      <c r="A110" s="372" t="s">
        <v>128</v>
      </c>
      <c r="B110" s="385" t="s">
        <v>131</v>
      </c>
      <c r="C110" s="316"/>
      <c r="D110" s="316" t="s">
        <v>142</v>
      </c>
      <c r="E110" s="317"/>
      <c r="F110" s="385"/>
      <c r="G110" s="372" t="s">
        <v>128</v>
      </c>
      <c r="H110" s="385" t="s">
        <v>131</v>
      </c>
      <c r="I110" s="316"/>
      <c r="J110" s="316" t="s">
        <v>142</v>
      </c>
      <c r="K110" s="317"/>
      <c r="L110" s="385"/>
      <c r="M110" s="372" t="s">
        <v>128</v>
      </c>
      <c r="N110" s="385" t="s">
        <v>131</v>
      </c>
      <c r="O110" s="316"/>
      <c r="P110" s="316" t="s">
        <v>142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269</v>
      </c>
    </row>
    <row r="111" customFormat="false" ht="18.75" hidden="false" customHeight="true" outlineLevel="0" collapsed="false">
      <c r="A111" s="386" t="s">
        <v>390</v>
      </c>
      <c r="B111" s="311" t="n">
        <v>30.0</v>
      </c>
      <c r="C111" s="311"/>
      <c r="D111" s="106" t="n">
        <v>200.0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270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342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385"/>
      <c r="G114" s="216" t="s">
        <v>290</v>
      </c>
      <c r="H114" s="216"/>
      <c r="I114" s="216"/>
      <c r="J114" s="216"/>
      <c r="K114" s="216"/>
      <c r="L114" s="385"/>
      <c r="M114" s="216" t="s">
        <v>290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291</v>
      </c>
      <c r="B116" s="386" t="s">
        <v>389</v>
      </c>
      <c r="C116" s="316"/>
      <c r="D116" s="316"/>
      <c r="E116" s="317"/>
      <c r="F116" s="385"/>
      <c r="G116" s="315" t="s">
        <v>291</v>
      </c>
      <c r="H116" s="386" t="s">
        <v>18</v>
      </c>
      <c r="I116" s="316"/>
      <c r="J116" s="316"/>
      <c r="K116" s="317"/>
      <c r="L116" s="385"/>
      <c r="M116" s="315" t="s">
        <v>291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176</v>
      </c>
      <c r="B118" s="316"/>
      <c r="C118" s="316"/>
      <c r="D118" s="312" t="n">
        <v>0.0</v>
      </c>
      <c r="E118" s="106" t="n">
        <v>6000.0</v>
      </c>
      <c r="F118" s="385"/>
      <c r="G118" s="315" t="s">
        <v>176</v>
      </c>
      <c r="H118" s="316"/>
      <c r="I118" s="316"/>
      <c r="J118" s="312" t="n">
        <v>10000</v>
      </c>
      <c r="K118" s="106" t="n">
        <v>5000</v>
      </c>
      <c r="L118" s="385"/>
      <c r="M118" s="315" t="s">
        <v>176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177</v>
      </c>
      <c r="B119" s="316"/>
      <c r="C119" s="316"/>
      <c r="D119" s="38" t="n">
        <f aca="false">E119</f>
        <v>2000</v>
      </c>
      <c r="E119" s="106" t="n">
        <v>2000.0</v>
      </c>
      <c r="F119" s="385"/>
      <c r="G119" s="315" t="s">
        <v>177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177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178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178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178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179</v>
      </c>
      <c r="B121" s="316"/>
      <c r="C121" s="316"/>
      <c r="D121" s="38" t="n">
        <f aca="false">D120-E120</f>
        <v>-6000</v>
      </c>
      <c r="E121" s="317"/>
      <c r="F121" s="385"/>
      <c r="G121" s="315" t="s">
        <v>179</v>
      </c>
      <c r="H121" s="316"/>
      <c r="I121" s="316"/>
      <c r="J121" s="38" t="n">
        <f aca="false">J120-K120</f>
        <v>5000</v>
      </c>
      <c r="K121" s="317"/>
      <c r="L121" s="385"/>
      <c r="M121" s="315" t="s">
        <v>179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138</v>
      </c>
      <c r="B123" s="394"/>
      <c r="C123" s="394"/>
      <c r="D123" s="394"/>
      <c r="E123" s="26" t="n">
        <f aca="false">D105</f>
        <v>1000</v>
      </c>
      <c r="F123" s="385"/>
      <c r="G123" s="393" t="s">
        <v>138</v>
      </c>
      <c r="H123" s="394"/>
      <c r="I123" s="394"/>
      <c r="J123" s="394"/>
      <c r="K123" s="26" t="n">
        <f aca="false">J105</f>
        <v>5000</v>
      </c>
      <c r="L123" s="385"/>
      <c r="M123" s="393" t="s">
        <v>138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292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292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292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385"/>
      <c r="G128" s="216" t="s">
        <v>293</v>
      </c>
      <c r="H128" s="216"/>
      <c r="I128" s="216"/>
      <c r="J128" s="216"/>
      <c r="K128" s="216"/>
      <c r="L128" s="385"/>
      <c r="M128" s="216" t="s">
        <v>293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127</v>
      </c>
      <c r="B130" s="319" t="n">
        <v>0.0</v>
      </c>
      <c r="C130" s="320"/>
      <c r="D130" s="319" t="s">
        <v>84</v>
      </c>
      <c r="E130" s="321"/>
      <c r="F130" s="385"/>
      <c r="G130" s="315" t="s">
        <v>183</v>
      </c>
      <c r="H130" s="171" t="n">
        <v>0</v>
      </c>
      <c r="I130" s="171"/>
      <c r="J130" s="316"/>
      <c r="K130" s="317"/>
      <c r="L130" s="385"/>
      <c r="M130" s="315" t="s">
        <v>183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532.441396620501</v>
      </c>
      <c r="B134" s="320" t="n">
        <f aca="false">IF(A111="YES",B95,0)</f>
        <v>65</v>
      </c>
      <c r="C134" s="325"/>
      <c r="D134" s="320" t="n">
        <f aca="false">B97</f>
        <v>597.441396620501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296</v>
      </c>
      <c r="H135" s="421" t="s">
        <v>297</v>
      </c>
      <c r="I135" s="421"/>
      <c r="J135" s="421" t="s">
        <v>298</v>
      </c>
      <c r="K135" s="317"/>
      <c r="L135" s="385"/>
      <c r="M135" s="420" t="s">
        <v>343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532.441396620501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301</v>
      </c>
      <c r="H138" s="316" t="s">
        <v>302</v>
      </c>
      <c r="I138" s="316"/>
      <c r="J138" s="316" t="s">
        <v>303</v>
      </c>
      <c r="K138" s="317"/>
      <c r="L138" s="385"/>
      <c r="M138" s="315" t="s">
        <v>344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597.441396620501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306</v>
      </c>
      <c r="H141" s="316" t="s">
        <v>307</v>
      </c>
      <c r="I141" s="316"/>
      <c r="J141" s="316" t="s">
        <v>308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385"/>
      <c r="G142" s="110" t="n">
        <f aca="false">E15*0.000006</f>
        <v>0.127608</v>
      </c>
      <c r="H142" s="37" t="n">
        <f aca="false">IF(G111="YES",E15*0.000002,0)</f>
        <v>0.042536</v>
      </c>
      <c r="I142" s="37"/>
      <c r="J142" s="37" t="n">
        <f aca="false">G142+H142</f>
        <v>0.170144</v>
      </c>
      <c r="K142" s="104"/>
      <c r="L142" s="385"/>
      <c r="M142" s="110" t="n">
        <f aca="false">E15*0.000006</f>
        <v>0.127608</v>
      </c>
      <c r="N142" s="37" t="n">
        <f aca="false">IF(M111="YES",E15*0.000002,0)</f>
        <v>0.042536</v>
      </c>
      <c r="O142" s="37"/>
      <c r="P142" s="37" t="n">
        <f aca="false">M142+N142</f>
        <v>0.170144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532.441396620501</v>
      </c>
      <c r="B143" s="37" t="n">
        <f aca="false">IF(A111="YES",B95,0)</f>
        <v>65</v>
      </c>
      <c r="C143" s="316"/>
      <c r="D143" s="37" t="n">
        <f aca="false">B97</f>
        <v>597.441396620501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309</v>
      </c>
      <c r="H144" s="316" t="s">
        <v>310</v>
      </c>
      <c r="I144" s="316"/>
      <c r="J144" s="316" t="s">
        <v>311</v>
      </c>
      <c r="K144" s="317"/>
      <c r="L144" s="385"/>
      <c r="M144" s="315" t="s">
        <v>141</v>
      </c>
      <c r="N144" s="316" t="s">
        <v>310</v>
      </c>
      <c r="O144" s="316"/>
      <c r="P144" s="316" t="s">
        <v>311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87.2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87.2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313</v>
      </c>
      <c r="H147" s="316" t="s">
        <v>314</v>
      </c>
      <c r="I147" s="316"/>
      <c r="J147" s="316" t="s">
        <v>315</v>
      </c>
      <c r="K147" s="317"/>
      <c r="L147" s="385"/>
      <c r="M147" s="315" t="s">
        <v>313</v>
      </c>
      <c r="N147" s="316" t="s">
        <v>314</v>
      </c>
      <c r="O147" s="316"/>
      <c r="P147" s="316" t="s">
        <v>315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2747.188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2707.19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317</v>
      </c>
      <c r="H150" s="316" t="s">
        <v>318</v>
      </c>
      <c r="I150" s="316"/>
      <c r="J150" s="316"/>
      <c r="K150" s="317"/>
      <c r="L150" s="385"/>
      <c r="M150" s="315" t="s">
        <v>317</v>
      </c>
      <c r="N150" s="316" t="s">
        <v>318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345</v>
      </c>
      <c r="N153" s="38" t="s">
        <v>346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209.28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323</v>
      </c>
      <c r="H154" s="316"/>
      <c r="I154" s="316"/>
      <c r="J154" s="348"/>
      <c r="K154" s="349"/>
      <c r="L154" s="385"/>
      <c r="M154" s="422" t="n">
        <f aca="false">H40</f>
        <v>3488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727.27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323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597.441396620501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532.441396620501</v>
      </c>
      <c r="B177" s="354" t="n">
        <f aca="false">IF(A111="YES",B95,0)</f>
        <v>65</v>
      </c>
      <c r="C177" s="357"/>
      <c r="D177" s="354" t="n">
        <f aca="false">B91</f>
        <v>6335.62666666667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532.441396620501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597.441396620501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532.441396620501</v>
      </c>
      <c r="B186" s="102" t="n">
        <f aca="false">IF(A111="YES",B95,0)</f>
        <v>65</v>
      </c>
      <c r="C186" s="352"/>
      <c r="D186" s="102" t="n">
        <f aca="false">B97</f>
        <v>597.441396620501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727.27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D70</f>
        <v>1464.96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218</v>
      </c>
      <c r="B211" s="320" t="n">
        <f aca="false">B219</f>
        <v>209.28</v>
      </c>
      <c r="C211" s="319" t="s">
        <v>219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220</v>
      </c>
      <c r="B213" s="320" t="n">
        <f aca="false">E223</f>
        <v>1775.67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217</v>
      </c>
      <c r="B217" s="103" t="n">
        <f aca="false">D70</f>
        <v>1464.96</v>
      </c>
      <c r="C217" s="373" t="s">
        <v>223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223</v>
      </c>
      <c r="B219" s="103" t="n">
        <f aca="false">B73</f>
        <v>209.28</v>
      </c>
      <c r="C219" s="335" t="s">
        <v>326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1775.67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328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53.6700927793465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68" colorId="64" zoomScale="85" zoomScaleNormal="85" zoomScalePageLayoutView="100" workbookViewId="0">
      <selection pane="topLeft" activeCell="A38" activeCellId="0" sqref="A38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/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/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/>
      <c r="C9" s="151"/>
      <c r="D9" s="151"/>
      <c r="E9" s="151"/>
      <c r="F9" s="151"/>
      <c r="G9" s="138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/>
      <c r="F10" s="153"/>
      <c r="G10" s="155"/>
      <c r="H10" s="438" t="n">
        <v>695.0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/>
      <c r="C11" s="153"/>
      <c r="D11" s="153"/>
      <c r="E11" s="153"/>
      <c r="F11" s="153"/>
      <c r="G11" s="155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/>
      <c r="C13" s="153"/>
      <c r="D13" s="153"/>
      <c r="E13" s="153"/>
      <c r="F13" s="153"/>
      <c r="G13" s="155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/>
      <c r="F14" s="153"/>
      <c r="G14" s="155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5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396</v>
      </c>
      <c r="B34" s="31"/>
      <c r="C34" s="40" t="s">
        <v>385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21268</v>
      </c>
      <c r="B37" s="31"/>
      <c r="C37" s="40" t="s">
        <v>386</v>
      </c>
      <c r="D37" s="40"/>
      <c r="E37" s="31"/>
      <c r="F37" s="42" t="n">
        <f aca="false">A37-C37</f>
        <v>20268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384</v>
      </c>
      <c r="B40" s="31"/>
      <c r="C40" s="53" t="n">
        <f aca="false">A34-1</f>
        <v>32</v>
      </c>
      <c r="D40" s="53"/>
      <c r="E40" s="31"/>
      <c r="F40" s="40" t="s">
        <v>387</v>
      </c>
      <c r="G40" s="40"/>
      <c r="H40" s="46"/>
      <c r="J40" s="2" t="s">
        <v>58</v>
      </c>
      <c r="K40" s="2" t="n">
        <f aca="false">H11</f>
        <v>3488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75.3939393939394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424.606060606061</v>
      </c>
      <c r="L45" s="2"/>
    </row>
    <row r="46" customFormat="false" ht="19.5" hidden="false" customHeight="false" outlineLevel="0" collapsed="false">
      <c r="A46" s="39" t="n">
        <v>0.0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425.575757575758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425.575757575758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414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425.575757575758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20928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20928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20928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20928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17490.7715151242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48703.2190424278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20293.5917615192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20293.5917615192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199.3875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1504.2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196.2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161.5734375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425.575757575758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425.575757575758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425.575757575758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20268</v>
      </c>
      <c r="C90" s="31"/>
      <c r="D90" s="31"/>
      <c r="E90" s="22"/>
      <c r="F90" s="24" t="s">
        <v>106</v>
      </c>
      <c r="G90" s="26" t="n">
        <f aca="false">F37</f>
        <v>20268</v>
      </c>
      <c r="H90" s="32"/>
      <c r="J90" s="24" t="s">
        <v>106</v>
      </c>
      <c r="K90" s="26" t="n">
        <f aca="false">P167</f>
        <v>36519.004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17234.5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17234.5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5255.82391109543</v>
      </c>
      <c r="C95" s="31"/>
      <c r="D95" s="31"/>
      <c r="E95" s="22"/>
      <c r="F95" s="30" t="s">
        <v>111</v>
      </c>
      <c r="G95" s="32" t="n">
        <f aca="false">(G91/((1+G93)^(G94+1)))</f>
        <v>6024.37295128565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15012.1760889046</v>
      </c>
      <c r="C97" s="31"/>
      <c r="D97" s="31"/>
      <c r="E97" s="22"/>
      <c r="F97" s="30" t="s">
        <v>113</v>
      </c>
      <c r="G97" s="32" t="n">
        <f aca="false">G90-G95</f>
        <v>14243.6270487143</v>
      </c>
      <c r="H97" s="32"/>
      <c r="J97" s="30" t="s">
        <v>113</v>
      </c>
      <c r="K97" s="32" t="n">
        <f aca="false">K90-K95</f>
        <v>36519.004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17225.9407086168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17225.9407086168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546.961609847631</v>
      </c>
      <c r="C98" s="31"/>
      <c r="D98" s="31"/>
      <c r="E98" s="22"/>
      <c r="F98" s="30" t="s">
        <v>114</v>
      </c>
      <c r="G98" s="32" t="n">
        <f aca="false">(G97/G96)</f>
        <v>486.005136521857</v>
      </c>
      <c r="H98" s="32"/>
      <c r="J98" s="30" t="s">
        <v>114</v>
      </c>
      <c r="K98" s="32" t="n">
        <f aca="false">(K97/K96)</f>
        <v>1522.35059507587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634.549742547474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634.549742547474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17502.7715151242</v>
      </c>
      <c r="C99" s="31"/>
      <c r="D99" s="31"/>
      <c r="E99" s="22"/>
      <c r="F99" s="30" t="s">
        <v>115</v>
      </c>
      <c r="G99" s="32" t="n">
        <f aca="false">((G98*(G94))+G86)</f>
        <v>15552.1643686994</v>
      </c>
      <c r="H99" s="32"/>
      <c r="J99" s="30" t="s">
        <v>115</v>
      </c>
      <c r="K99" s="32" t="n">
        <f aca="false">((K98*(K94))+K86)</f>
        <v>50237.5696375037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20305.5917615192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20305.5917615192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17502.7715151242</v>
      </c>
      <c r="C101" s="31"/>
      <c r="D101" s="31"/>
      <c r="E101" s="22"/>
      <c r="F101" s="55" t="s">
        <v>117</v>
      </c>
      <c r="G101" s="64" t="n">
        <f aca="false">(G99+G100)</f>
        <v>15552.1643686994</v>
      </c>
      <c r="H101" s="32"/>
      <c r="J101" s="55" t="s">
        <v>117</v>
      </c>
      <c r="K101" s="64" t="n">
        <f aca="false">(K99+K100)</f>
        <v>50237.5696375037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20305.5917615192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20305.5917615192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546.961609847631</v>
      </c>
      <c r="C104" s="31"/>
      <c r="D104" s="31"/>
      <c r="E104" s="22"/>
      <c r="F104" s="94" t="s">
        <v>119</v>
      </c>
      <c r="G104" s="95" t="n">
        <f aca="false">G101/(G94)</f>
        <v>486.005136521857</v>
      </c>
      <c r="H104" s="32"/>
      <c r="J104" s="94" t="s">
        <v>119</v>
      </c>
      <c r="K104" s="95" t="n">
        <f aca="false">K101/(K94)</f>
        <v>1522.35059507587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634.549742547474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634.549742547474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546.961609847631</v>
      </c>
      <c r="C105" s="31"/>
      <c r="D105" s="31"/>
      <c r="E105" s="22" t="s">
        <v>18</v>
      </c>
      <c r="F105" s="96" t="s">
        <v>120</v>
      </c>
      <c r="G105" s="97" t="n">
        <f aca="false">G103+G104</f>
        <v>486.005136521857</v>
      </c>
      <c r="H105" s="32"/>
      <c r="J105" s="96" t="s">
        <v>120</v>
      </c>
      <c r="K105" s="97" t="n">
        <f aca="false">(K103+K104)</f>
        <v>1522.35059507587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634.549742547474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634.549742547474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121</v>
      </c>
      <c r="C108" s="22"/>
      <c r="D108" s="22"/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122</v>
      </c>
      <c r="B109" s="99"/>
      <c r="C109" s="99"/>
      <c r="D109" s="99"/>
      <c r="E109" s="99"/>
      <c r="F109" s="99"/>
      <c r="G109" s="99"/>
      <c r="H109" s="99"/>
      <c r="J109" s="23" t="s">
        <v>123</v>
      </c>
      <c r="K109" s="23"/>
      <c r="L109" s="23"/>
      <c r="M109" s="23"/>
      <c r="N109" s="23"/>
      <c r="O109" s="23"/>
      <c r="P109" s="23"/>
      <c r="Q109" s="23"/>
      <c r="S109" s="99" t="s">
        <v>124</v>
      </c>
      <c r="T109" s="99"/>
      <c r="U109" s="99"/>
      <c r="V109" s="99"/>
      <c r="W109" s="99"/>
      <c r="X109" s="99"/>
      <c r="Y109" s="99"/>
      <c r="Z109" s="99"/>
      <c r="AB109" s="99" t="s">
        <v>125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126</v>
      </c>
      <c r="K111" s="27"/>
      <c r="L111" s="27"/>
      <c r="M111" s="27"/>
      <c r="N111" s="27"/>
      <c r="O111" s="27"/>
      <c r="P111" s="27"/>
      <c r="Q111" s="27"/>
      <c r="S111" s="27" t="s">
        <v>126</v>
      </c>
      <c r="T111" s="27"/>
      <c r="U111" s="27"/>
      <c r="V111" s="27"/>
      <c r="W111" s="27"/>
      <c r="X111" s="27"/>
      <c r="Y111" s="27"/>
      <c r="Z111" s="27"/>
      <c r="AB111" s="27" t="s">
        <v>126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127</v>
      </c>
      <c r="B113" s="31" t="s">
        <v>23</v>
      </c>
      <c r="C113" s="31"/>
      <c r="D113" s="31"/>
      <c r="E113" s="31" t="s">
        <v>128</v>
      </c>
      <c r="F113" s="31"/>
      <c r="G113" s="31"/>
      <c r="H113" s="32"/>
      <c r="J113" s="30" t="s">
        <v>127</v>
      </c>
      <c r="K113" s="31" t="s">
        <v>23</v>
      </c>
      <c r="L113" s="31"/>
      <c r="M113" s="31"/>
      <c r="N113" s="31" t="s">
        <v>128</v>
      </c>
      <c r="O113" s="31"/>
      <c r="P113" s="31"/>
      <c r="Q113" s="32"/>
      <c r="S113" s="30" t="s">
        <v>127</v>
      </c>
      <c r="T113" s="31" t="s">
        <v>23</v>
      </c>
      <c r="U113" s="31"/>
      <c r="V113" s="31"/>
      <c r="W113" s="31" t="s">
        <v>128</v>
      </c>
      <c r="X113" s="31"/>
      <c r="Y113" s="31"/>
      <c r="Z113" s="32"/>
      <c r="AB113" s="30" t="s">
        <v>127</v>
      </c>
      <c r="AC113" s="31" t="s">
        <v>23</v>
      </c>
      <c r="AD113" s="31"/>
      <c r="AE113" s="31"/>
      <c r="AF113" s="31" t="s">
        <v>128</v>
      </c>
      <c r="AG113" s="31"/>
      <c r="AH113" s="31"/>
      <c r="AI113" s="32"/>
    </row>
    <row r="114" customFormat="false" ht="19.5" hidden="false" customHeight="false" outlineLevel="0" collapsed="false">
      <c r="A114" s="35" t="s">
        <v>129</v>
      </c>
      <c r="B114" s="102"/>
      <c r="C114" s="102"/>
      <c r="D114" s="102"/>
      <c r="E114" s="103" t="s">
        <v>389</v>
      </c>
      <c r="F114" s="103"/>
      <c r="G114" s="103"/>
      <c r="H114" s="101"/>
      <c r="J114" s="35" t="s">
        <v>129</v>
      </c>
      <c r="K114" s="104" t="s">
        <v>130</v>
      </c>
      <c r="L114" s="104"/>
      <c r="M114" s="104"/>
      <c r="N114" s="103" t="s">
        <v>18</v>
      </c>
      <c r="O114" s="103"/>
      <c r="P114" s="103"/>
      <c r="Q114" s="101"/>
      <c r="S114" s="35" t="s">
        <v>129</v>
      </c>
      <c r="T114" s="102" t="s">
        <v>130</v>
      </c>
      <c r="U114" s="102"/>
      <c r="V114" s="102"/>
      <c r="W114" s="103" t="s">
        <v>18</v>
      </c>
      <c r="X114" s="103"/>
      <c r="Y114" s="103"/>
      <c r="Z114" s="101"/>
      <c r="AB114" s="35" t="s">
        <v>129</v>
      </c>
      <c r="AC114" s="102" t="s">
        <v>130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131</v>
      </c>
      <c r="B116" s="31" t="s">
        <v>132</v>
      </c>
      <c r="C116" s="31"/>
      <c r="D116" s="22"/>
      <c r="E116" s="31" t="s">
        <v>133</v>
      </c>
      <c r="F116" s="31"/>
      <c r="G116" s="22"/>
      <c r="H116" s="101"/>
      <c r="J116" s="30" t="s">
        <v>131</v>
      </c>
      <c r="K116" s="31" t="s">
        <v>132</v>
      </c>
      <c r="L116" s="31"/>
      <c r="M116" s="22"/>
      <c r="N116" s="31" t="s">
        <v>133</v>
      </c>
      <c r="O116" s="31"/>
      <c r="P116" s="22"/>
      <c r="Q116" s="101"/>
      <c r="S116" s="30" t="s">
        <v>131</v>
      </c>
      <c r="T116" s="31" t="s">
        <v>132</v>
      </c>
      <c r="U116" s="31"/>
      <c r="V116" s="22"/>
      <c r="W116" s="31" t="s">
        <v>133</v>
      </c>
      <c r="X116" s="31"/>
      <c r="Y116" s="22"/>
      <c r="Z116" s="101"/>
      <c r="AB116" s="30" t="s">
        <v>131</v>
      </c>
      <c r="AC116" s="31" t="s">
        <v>132</v>
      </c>
      <c r="AD116" s="31"/>
      <c r="AE116" s="22"/>
      <c r="AF116" s="31" t="s">
        <v>133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134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134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135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135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136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134</v>
      </c>
    </row>
    <row r="119" customFormat="false" ht="19.5" hidden="false" customHeight="false" outlineLevel="0" collapsed="false">
      <c r="A119" s="30" t="s">
        <v>137</v>
      </c>
      <c r="B119" s="31" t="s">
        <v>138</v>
      </c>
      <c r="C119" s="31"/>
      <c r="D119" s="31"/>
      <c r="E119" s="31" t="s">
        <v>139</v>
      </c>
      <c r="F119" s="31"/>
      <c r="G119" s="31"/>
      <c r="H119" s="32"/>
      <c r="J119" s="30" t="s">
        <v>137</v>
      </c>
      <c r="K119" s="31" t="s">
        <v>138</v>
      </c>
      <c r="L119" s="31"/>
      <c r="M119" s="31"/>
      <c r="N119" s="31" t="s">
        <v>139</v>
      </c>
      <c r="O119" s="31"/>
      <c r="P119" s="31"/>
      <c r="Q119" s="32"/>
      <c r="S119" s="30" t="s">
        <v>137</v>
      </c>
      <c r="T119" s="31" t="s">
        <v>138</v>
      </c>
      <c r="U119" s="31"/>
      <c r="V119" s="31"/>
      <c r="W119" s="31" t="s">
        <v>139</v>
      </c>
      <c r="X119" s="31"/>
      <c r="Y119" s="31"/>
      <c r="Z119" s="32"/>
      <c r="AB119" s="30" t="s">
        <v>137</v>
      </c>
      <c r="AC119" s="31" t="s">
        <v>138</v>
      </c>
      <c r="AD119" s="31"/>
      <c r="AE119" s="31"/>
      <c r="AF119" s="31" t="s">
        <v>139</v>
      </c>
      <c r="AG119" s="31"/>
      <c r="AH119" s="31"/>
      <c r="AI119" s="32"/>
    </row>
    <row r="120" customFormat="false" ht="19.5" hidden="false" customHeight="false" outlineLevel="0" collapsed="false">
      <c r="A120" s="39" t="s">
        <v>390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140</v>
      </c>
      <c r="B122" s="31" t="s">
        <v>141</v>
      </c>
      <c r="C122" s="31"/>
      <c r="D122" s="31"/>
      <c r="E122" s="31" t="s">
        <v>142</v>
      </c>
      <c r="F122" s="31"/>
      <c r="G122" s="22"/>
      <c r="H122" s="101"/>
      <c r="J122" s="109" t="s">
        <v>140</v>
      </c>
      <c r="K122" s="31" t="s">
        <v>141</v>
      </c>
      <c r="L122" s="31"/>
      <c r="M122" s="31"/>
      <c r="N122" s="31" t="s">
        <v>142</v>
      </c>
      <c r="O122" s="31"/>
      <c r="P122" s="22"/>
      <c r="Q122" s="101"/>
      <c r="S122" s="109" t="s">
        <v>140</v>
      </c>
      <c r="T122" s="31" t="s">
        <v>141</v>
      </c>
      <c r="U122" s="31"/>
      <c r="V122" s="31"/>
      <c r="W122" s="31" t="s">
        <v>142</v>
      </c>
      <c r="X122" s="31"/>
      <c r="Y122" s="22"/>
      <c r="Z122" s="101"/>
      <c r="AB122" s="109" t="s">
        <v>140</v>
      </c>
      <c r="AC122" s="31" t="s">
        <v>141</v>
      </c>
      <c r="AD122" s="31"/>
      <c r="AE122" s="31"/>
      <c r="AF122" s="31" t="s">
        <v>142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388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144</v>
      </c>
      <c r="B126" s="27"/>
      <c r="C126" s="27"/>
      <c r="D126" s="27"/>
      <c r="E126" s="27"/>
      <c r="F126" s="27"/>
      <c r="G126" s="27"/>
      <c r="H126" s="27"/>
      <c r="J126" s="27" t="s">
        <v>144</v>
      </c>
      <c r="K126" s="27"/>
      <c r="L126" s="27"/>
      <c r="M126" s="27"/>
      <c r="N126" s="27"/>
      <c r="O126" s="27"/>
      <c r="P126" s="27"/>
      <c r="Q126" s="27"/>
      <c r="S126" s="27" t="s">
        <v>144</v>
      </c>
      <c r="T126" s="27"/>
      <c r="U126" s="27"/>
      <c r="V126" s="27"/>
      <c r="W126" s="27"/>
      <c r="X126" s="27"/>
      <c r="Y126" s="27"/>
      <c r="Z126" s="27"/>
      <c r="AB126" s="27" t="s">
        <v>144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145</v>
      </c>
      <c r="C128" s="113"/>
      <c r="D128" s="113" t="s">
        <v>146</v>
      </c>
      <c r="E128" s="113"/>
      <c r="F128" s="113" t="s">
        <v>147</v>
      </c>
      <c r="G128" s="113"/>
      <c r="H128" s="114" t="s">
        <v>148</v>
      </c>
      <c r="J128" s="77"/>
      <c r="K128" s="113" t="s">
        <v>145</v>
      </c>
      <c r="L128" s="113"/>
      <c r="M128" s="113" t="s">
        <v>146</v>
      </c>
      <c r="N128" s="113"/>
      <c r="O128" s="113" t="s">
        <v>147</v>
      </c>
      <c r="P128" s="113"/>
      <c r="Q128" s="114" t="s">
        <v>148</v>
      </c>
      <c r="S128" s="77"/>
      <c r="T128" s="113" t="s">
        <v>145</v>
      </c>
      <c r="U128" s="113"/>
      <c r="V128" s="113" t="s">
        <v>146</v>
      </c>
      <c r="W128" s="113"/>
      <c r="X128" s="113" t="s">
        <v>147</v>
      </c>
      <c r="Y128" s="113"/>
      <c r="Z128" s="114" t="s">
        <v>148</v>
      </c>
      <c r="AB128" s="77"/>
      <c r="AC128" s="113" t="s">
        <v>145</v>
      </c>
      <c r="AD128" s="113"/>
      <c r="AE128" s="113" t="s">
        <v>146</v>
      </c>
      <c r="AF128" s="113"/>
      <c r="AG128" s="113" t="s">
        <v>147</v>
      </c>
      <c r="AH128" s="113"/>
      <c r="AI128" s="114" t="s">
        <v>148</v>
      </c>
    </row>
    <row r="129" customFormat="false" ht="21.75" hidden="false" customHeight="false" outlineLevel="0" collapsed="false">
      <c r="A129" s="79"/>
      <c r="B129" s="115" t="s">
        <v>149</v>
      </c>
      <c r="C129" s="116" t="s">
        <v>150</v>
      </c>
      <c r="D129" s="115" t="s">
        <v>149</v>
      </c>
      <c r="E129" s="117" t="s">
        <v>150</v>
      </c>
      <c r="F129" s="115" t="s">
        <v>149</v>
      </c>
      <c r="G129" s="117" t="s">
        <v>150</v>
      </c>
      <c r="H129" s="118"/>
      <c r="J129" s="79"/>
      <c r="K129" s="115" t="s">
        <v>149</v>
      </c>
      <c r="L129" s="116" t="s">
        <v>150</v>
      </c>
      <c r="M129" s="115" t="s">
        <v>149</v>
      </c>
      <c r="N129" s="117" t="s">
        <v>150</v>
      </c>
      <c r="O129" s="115" t="s">
        <v>149</v>
      </c>
      <c r="P129" s="117" t="s">
        <v>150</v>
      </c>
      <c r="Q129" s="118"/>
      <c r="S129" s="79"/>
      <c r="T129" s="115" t="s">
        <v>149</v>
      </c>
      <c r="U129" s="116" t="s">
        <v>150</v>
      </c>
      <c r="V129" s="115" t="s">
        <v>149</v>
      </c>
      <c r="W129" s="117" t="s">
        <v>150</v>
      </c>
      <c r="X129" s="115" t="s">
        <v>149</v>
      </c>
      <c r="Y129" s="117" t="s">
        <v>150</v>
      </c>
      <c r="Z129" s="118"/>
      <c r="AB129" s="79"/>
      <c r="AC129" s="115" t="s">
        <v>149</v>
      </c>
      <c r="AD129" s="116" t="s">
        <v>150</v>
      </c>
      <c r="AE129" s="115" t="s">
        <v>149</v>
      </c>
      <c r="AF129" s="117" t="s">
        <v>150</v>
      </c>
      <c r="AG129" s="115" t="s">
        <v>149</v>
      </c>
      <c r="AH129" s="117" t="s">
        <v>150</v>
      </c>
      <c r="AI129" s="118"/>
    </row>
    <row r="130" customFormat="false" ht="19.5" hidden="false" customHeight="false" outlineLevel="0" collapsed="false">
      <c r="A130" s="24" t="s">
        <v>151</v>
      </c>
      <c r="B130" s="24" t="n">
        <f aca="false">B3</f>
        <v>16745</v>
      </c>
      <c r="C130" s="39" t="n">
        <f aca="false">B130</f>
        <v>16745</v>
      </c>
      <c r="D130" s="24" t="n">
        <f aca="false">D3</f>
        <v>0</v>
      </c>
      <c r="E130" s="39" t="n">
        <f aca="false">D130</f>
        <v>0</v>
      </c>
      <c r="F130" s="24" t="n">
        <f aca="false">F3</f>
        <v>0</v>
      </c>
      <c r="G130" s="39" t="n">
        <f aca="false">F130</f>
        <v>0</v>
      </c>
      <c r="H130" s="121" t="n">
        <f aca="false">H3</f>
        <v>0</v>
      </c>
      <c r="J130" s="24" t="s">
        <v>151</v>
      </c>
      <c r="K130" s="24" t="n">
        <f aca="false">B3</f>
        <v>16745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0</v>
      </c>
      <c r="P130" s="39" t="n">
        <f aca="false">O130</f>
        <v>0</v>
      </c>
      <c r="Q130" s="121" t="n">
        <f aca="false">H3</f>
        <v>0</v>
      </c>
      <c r="S130" s="24" t="s">
        <v>151</v>
      </c>
      <c r="T130" s="24" t="n">
        <f aca="false">B3</f>
        <v>16745</v>
      </c>
      <c r="U130" s="39" t="n">
        <f aca="false">T130</f>
        <v>16745</v>
      </c>
      <c r="V130" s="24" t="n">
        <f aca="false">D3</f>
        <v>0</v>
      </c>
      <c r="W130" s="39" t="n">
        <f aca="false">V130</f>
        <v>0</v>
      </c>
      <c r="X130" s="24" t="n">
        <f aca="false">F3</f>
        <v>0</v>
      </c>
      <c r="Y130" s="39" t="n">
        <f aca="false">X130</f>
        <v>0</v>
      </c>
      <c r="Z130" s="121" t="n">
        <f aca="false">H3</f>
        <v>0</v>
      </c>
      <c r="AB130" s="24" t="s">
        <v>151</v>
      </c>
      <c r="AC130" s="24" t="n">
        <f aca="false">B3</f>
        <v>16745</v>
      </c>
      <c r="AD130" s="39" t="n">
        <f aca="false">AC130</f>
        <v>16745</v>
      </c>
      <c r="AE130" s="24" t="n">
        <f aca="false">D3</f>
        <v>0</v>
      </c>
      <c r="AF130" s="39" t="n">
        <f aca="false">AE130</f>
        <v>0</v>
      </c>
      <c r="AG130" s="24" t="n">
        <f aca="false">F3</f>
        <v>0</v>
      </c>
      <c r="AH130" s="39" t="n">
        <f aca="false">AG130</f>
        <v>0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152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152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152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152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153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153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153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153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154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154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154</v>
      </c>
      <c r="T133" s="30" t="n">
        <f aca="false">(T130*T131)+T132</f>
        <v>0</v>
      </c>
      <c r="U133" s="26" t="n">
        <f aca="false">(U130*U131)+U132</f>
        <v>4186.25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154</v>
      </c>
      <c r="AC133" s="30" t="n">
        <f aca="false">(AC130*AC131)+AC132</f>
        <v>0</v>
      </c>
      <c r="AD133" s="26" t="n">
        <f aca="false">(AD130*AD131)+AD132</f>
        <v>4186.25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155</v>
      </c>
      <c r="B134" s="55" t="n">
        <f aca="false">B130-B133</f>
        <v>16745</v>
      </c>
      <c r="C134" s="64" t="n">
        <f aca="false">C130-C133</f>
        <v>16745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0</v>
      </c>
      <c r="G134" s="64" t="n">
        <f aca="false">G130-G133</f>
        <v>0</v>
      </c>
      <c r="H134" s="64"/>
      <c r="J134" s="55" t="s">
        <v>155</v>
      </c>
      <c r="K134" s="55" t="n">
        <f aca="false">K130-K133</f>
        <v>16745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0</v>
      </c>
      <c r="P134" s="64" t="n">
        <f aca="false">P130-P133</f>
        <v>0</v>
      </c>
      <c r="Q134" s="64"/>
      <c r="S134" s="55" t="s">
        <v>155</v>
      </c>
      <c r="T134" s="55" t="n">
        <f aca="false">T130-T133</f>
        <v>16745</v>
      </c>
      <c r="U134" s="64" t="n">
        <f aca="false">U130-U133</f>
        <v>12558.75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0</v>
      </c>
      <c r="Y134" s="64" t="n">
        <f aca="false">Y130-Y133</f>
        <v>0</v>
      </c>
      <c r="Z134" s="64"/>
      <c r="AB134" s="55" t="s">
        <v>155</v>
      </c>
      <c r="AC134" s="55" t="n">
        <f aca="false">AC130-AC133</f>
        <v>16745</v>
      </c>
      <c r="AD134" s="64" t="n">
        <f aca="false">AD130-AD133</f>
        <v>12558.75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0</v>
      </c>
      <c r="AH134" s="64" t="n">
        <f aca="false">AH130-AH133</f>
        <v>0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149</v>
      </c>
      <c r="H136" s="136" t="s">
        <v>150</v>
      </c>
      <c r="J136" s="133"/>
      <c r="K136" s="137"/>
      <c r="L136" s="137"/>
      <c r="M136" s="137"/>
      <c r="N136" s="137"/>
      <c r="O136" s="137"/>
      <c r="P136" s="138" t="s">
        <v>149</v>
      </c>
      <c r="Q136" s="136" t="s">
        <v>150</v>
      </c>
      <c r="S136" s="133"/>
      <c r="T136" s="137"/>
      <c r="U136" s="137"/>
      <c r="V136" s="137"/>
      <c r="W136" s="137"/>
      <c r="X136" s="137"/>
      <c r="Y136" s="138" t="s">
        <v>149</v>
      </c>
      <c r="Z136" s="136" t="s">
        <v>150</v>
      </c>
      <c r="AB136" s="133"/>
      <c r="AC136" s="137"/>
      <c r="AD136" s="137"/>
      <c r="AE136" s="137"/>
      <c r="AF136" s="137"/>
      <c r="AG136" s="137"/>
      <c r="AH136" s="138" t="s">
        <v>149</v>
      </c>
      <c r="AI136" s="136" t="s">
        <v>150</v>
      </c>
    </row>
    <row r="137" customFormat="false" ht="18.75" hidden="false" customHeight="false" outlineLevel="0" collapsed="false">
      <c r="A137" s="139" t="s">
        <v>156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156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156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156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157</v>
      </c>
      <c r="B139" s="143" t="s">
        <v>158</v>
      </c>
      <c r="C139" s="143"/>
      <c r="D139" s="143" t="s">
        <v>159</v>
      </c>
      <c r="E139" s="143"/>
      <c r="F139" s="143" t="s">
        <v>153</v>
      </c>
      <c r="G139" s="143"/>
      <c r="H139" s="144" t="s">
        <v>150</v>
      </c>
      <c r="J139" s="146" t="s">
        <v>157</v>
      </c>
      <c r="K139" s="147" t="s">
        <v>158</v>
      </c>
      <c r="L139" s="147"/>
      <c r="M139" s="143" t="s">
        <v>159</v>
      </c>
      <c r="N139" s="143"/>
      <c r="O139" s="143" t="s">
        <v>153</v>
      </c>
      <c r="P139" s="143"/>
      <c r="Q139" s="144" t="s">
        <v>150</v>
      </c>
      <c r="S139" s="146" t="s">
        <v>157</v>
      </c>
      <c r="T139" s="143" t="s">
        <v>158</v>
      </c>
      <c r="U139" s="143"/>
      <c r="V139" s="143" t="s">
        <v>159</v>
      </c>
      <c r="W139" s="143"/>
      <c r="X139" s="143" t="s">
        <v>153</v>
      </c>
      <c r="Y139" s="143"/>
      <c r="Z139" s="144" t="s">
        <v>150</v>
      </c>
      <c r="AB139" s="146" t="s">
        <v>157</v>
      </c>
      <c r="AC139" s="143" t="s">
        <v>158</v>
      </c>
      <c r="AD139" s="143"/>
      <c r="AE139" s="143" t="s">
        <v>159</v>
      </c>
      <c r="AF139" s="143"/>
      <c r="AG139" s="143" t="s">
        <v>153</v>
      </c>
      <c r="AH139" s="143"/>
      <c r="AI139" s="144" t="s">
        <v>150</v>
      </c>
    </row>
    <row r="140" customFormat="false" ht="19.5" hidden="false" customHeight="false" outlineLevel="0" collapsed="false">
      <c r="A140" s="30" t="s">
        <v>160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160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160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160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161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161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161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161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162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162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162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162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163</v>
      </c>
      <c r="B144" s="151"/>
      <c r="C144" s="151"/>
      <c r="D144" s="151"/>
      <c r="E144" s="151"/>
      <c r="F144" s="151"/>
      <c r="G144" s="138" t="n">
        <f aca="false">H9</f>
        <v>16745</v>
      </c>
      <c r="H144" s="152" t="n">
        <f aca="false">C134+E134+G134+H137</f>
        <v>16745</v>
      </c>
      <c r="J144" s="151" t="s">
        <v>163</v>
      </c>
      <c r="K144" s="151"/>
      <c r="L144" s="151"/>
      <c r="M144" s="151"/>
      <c r="N144" s="151"/>
      <c r="O144" s="151"/>
      <c r="P144" s="138" t="n">
        <f aca="false">H9</f>
        <v>16745</v>
      </c>
      <c r="Q144" s="152" t="n">
        <f aca="false">L134+N134+P134+Q137</f>
        <v>28629.17</v>
      </c>
      <c r="S144" s="151" t="s">
        <v>163</v>
      </c>
      <c r="T144" s="151"/>
      <c r="U144" s="151"/>
      <c r="V144" s="151"/>
      <c r="W144" s="151"/>
      <c r="X144" s="151"/>
      <c r="Y144" s="138" t="n">
        <f aca="false">H9</f>
        <v>16745</v>
      </c>
      <c r="Z144" s="152" t="n">
        <f aca="false">U134+W134+Y134+Z137</f>
        <v>12558.75</v>
      </c>
      <c r="AB144" s="151" t="s">
        <v>163</v>
      </c>
      <c r="AC144" s="151"/>
      <c r="AD144" s="151"/>
      <c r="AE144" s="151"/>
      <c r="AF144" s="151"/>
      <c r="AG144" s="151"/>
      <c r="AH144" s="138" t="n">
        <f aca="false">H9</f>
        <v>16745</v>
      </c>
      <c r="AI144" s="152" t="n">
        <f aca="false">AD134+AF134+AH134+AI137</f>
        <v>12558.75</v>
      </c>
    </row>
    <row r="145" customFormat="false" ht="18.75" hidden="false" customHeight="false" outlineLevel="0" collapsed="false">
      <c r="A145" s="153" t="s">
        <v>164</v>
      </c>
      <c r="B145" s="153"/>
      <c r="C145" s="153"/>
      <c r="D145" s="153"/>
      <c r="E145" s="153"/>
      <c r="F145" s="153"/>
      <c r="G145" s="155" t="n">
        <f aca="false">H10</f>
        <v>695</v>
      </c>
      <c r="H145" s="32" t="n">
        <f aca="false">G145</f>
        <v>695</v>
      </c>
      <c r="J145" s="153" t="s">
        <v>164</v>
      </c>
      <c r="K145" s="153"/>
      <c r="L145" s="153"/>
      <c r="M145" s="153"/>
      <c r="N145" s="153"/>
      <c r="O145" s="153"/>
      <c r="P145" s="155" t="n">
        <f aca="false">H10</f>
        <v>695</v>
      </c>
      <c r="Q145" s="32" t="n">
        <f aca="false">P145</f>
        <v>695</v>
      </c>
      <c r="S145" s="153" t="s">
        <v>164</v>
      </c>
      <c r="T145" s="153"/>
      <c r="U145" s="153"/>
      <c r="V145" s="153"/>
      <c r="W145" s="153"/>
      <c r="X145" s="153"/>
      <c r="Y145" s="155" t="n">
        <f aca="false">H10</f>
        <v>695</v>
      </c>
      <c r="Z145" s="32" t="n">
        <f aca="false">Y145</f>
        <v>695</v>
      </c>
      <c r="AB145" s="153" t="s">
        <v>164</v>
      </c>
      <c r="AC145" s="153"/>
      <c r="AD145" s="153"/>
      <c r="AE145" s="153"/>
      <c r="AF145" s="153"/>
      <c r="AG145" s="153"/>
      <c r="AH145" s="155" t="n">
        <f aca="false">H10</f>
        <v>695</v>
      </c>
      <c r="AI145" s="32" t="n">
        <f aca="false">AH145</f>
        <v>695</v>
      </c>
    </row>
    <row r="146" customFormat="false" ht="18.75" hidden="false" customHeight="false" outlineLevel="0" collapsed="false">
      <c r="A146" s="153" t="s">
        <v>165</v>
      </c>
      <c r="B146" s="153"/>
      <c r="C146" s="153"/>
      <c r="D146" s="153"/>
      <c r="E146" s="153"/>
      <c r="F146" s="153"/>
      <c r="G146" s="155" t="n">
        <f aca="false">H11</f>
        <v>3488</v>
      </c>
      <c r="H146" s="32" t="n">
        <f aca="false">(H144+H145)*20%</f>
        <v>3488</v>
      </c>
      <c r="J146" s="153" t="s">
        <v>165</v>
      </c>
      <c r="K146" s="153"/>
      <c r="L146" s="153"/>
      <c r="M146" s="153"/>
      <c r="N146" s="153"/>
      <c r="O146" s="153"/>
      <c r="P146" s="155" t="n">
        <f aca="false">H11</f>
        <v>3488</v>
      </c>
      <c r="Q146" s="32" t="n">
        <f aca="false">(Q144+Q145)*20%</f>
        <v>5864.834</v>
      </c>
      <c r="S146" s="153" t="s">
        <v>165</v>
      </c>
      <c r="T146" s="153"/>
      <c r="U146" s="153"/>
      <c r="V146" s="153"/>
      <c r="W146" s="153"/>
      <c r="X146" s="153"/>
      <c r="Y146" s="155" t="n">
        <f aca="false">H11</f>
        <v>3488</v>
      </c>
      <c r="Z146" s="32" t="n">
        <f aca="false">(Z144+Z145)*20%</f>
        <v>2650.75</v>
      </c>
      <c r="AB146" s="153" t="s">
        <v>165</v>
      </c>
      <c r="AC146" s="153"/>
      <c r="AD146" s="153"/>
      <c r="AE146" s="153"/>
      <c r="AF146" s="153"/>
      <c r="AG146" s="153"/>
      <c r="AH146" s="155" t="n">
        <f aca="false">H11</f>
        <v>3488</v>
      </c>
      <c r="AI146" s="32" t="n">
        <f aca="false">(AI144+AI145)*20%</f>
        <v>2650.75</v>
      </c>
    </row>
    <row r="147" customFormat="false" ht="18.75" hidden="false" customHeight="false" outlineLevel="0" collapsed="false">
      <c r="A147" s="153" t="s">
        <v>166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166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166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166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167</v>
      </c>
      <c r="B148" s="153"/>
      <c r="C148" s="153"/>
      <c r="D148" s="153"/>
      <c r="E148" s="153"/>
      <c r="F148" s="153"/>
      <c r="G148" s="155" t="n">
        <f aca="false">H13</f>
        <v>275</v>
      </c>
      <c r="H148" s="32" t="n">
        <f aca="false">G148</f>
        <v>275</v>
      </c>
      <c r="J148" s="153" t="s">
        <v>167</v>
      </c>
      <c r="K148" s="153"/>
      <c r="L148" s="153"/>
      <c r="M148" s="153"/>
      <c r="N148" s="153"/>
      <c r="O148" s="153"/>
      <c r="P148" s="155" t="n">
        <f aca="false">H13</f>
        <v>275</v>
      </c>
      <c r="Q148" s="32" t="n">
        <f aca="false">P148</f>
        <v>275</v>
      </c>
      <c r="S148" s="153" t="s">
        <v>167</v>
      </c>
      <c r="T148" s="153"/>
      <c r="U148" s="153"/>
      <c r="V148" s="153"/>
      <c r="W148" s="153"/>
      <c r="X148" s="153"/>
      <c r="Y148" s="155" t="n">
        <f aca="false">H13</f>
        <v>275</v>
      </c>
      <c r="Z148" s="32" t="n">
        <f aca="false">Y148</f>
        <v>275</v>
      </c>
      <c r="AB148" s="153" t="s">
        <v>167</v>
      </c>
      <c r="AC148" s="153"/>
      <c r="AD148" s="153"/>
      <c r="AE148" s="153"/>
      <c r="AF148" s="153"/>
      <c r="AG148" s="153"/>
      <c r="AH148" s="155" t="n">
        <f aca="false">H13</f>
        <v>275</v>
      </c>
      <c r="AI148" s="32" t="n">
        <f aca="false">AH148</f>
        <v>275</v>
      </c>
    </row>
    <row r="149" customFormat="false" ht="19.5" hidden="false" customHeight="false" outlineLevel="0" collapsed="false">
      <c r="A149" s="153" t="s">
        <v>168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168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168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168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169</v>
      </c>
      <c r="B150" s="153"/>
      <c r="C150" s="153"/>
      <c r="D150" s="153"/>
      <c r="E150" s="153"/>
      <c r="F150" s="153"/>
      <c r="G150" s="157" t="n">
        <f aca="false">H15</f>
        <v>21268</v>
      </c>
      <c r="H150" s="156" t="n">
        <f aca="false">(H144+H145+H148+H149+H146)-H147</f>
        <v>21268</v>
      </c>
      <c r="J150" s="153" t="s">
        <v>169</v>
      </c>
      <c r="K150" s="153"/>
      <c r="L150" s="153"/>
      <c r="M150" s="153"/>
      <c r="N150" s="153"/>
      <c r="O150" s="153"/>
      <c r="P150" s="157" t="n">
        <f aca="false">H15</f>
        <v>21268</v>
      </c>
      <c r="Q150" s="156" t="n">
        <f aca="false">(Q144+Q145+Q148+Q149+Q146)-Q147</f>
        <v>35519.004</v>
      </c>
      <c r="S150" s="153" t="s">
        <v>169</v>
      </c>
      <c r="T150" s="153"/>
      <c r="U150" s="153"/>
      <c r="V150" s="153"/>
      <c r="W150" s="153"/>
      <c r="X150" s="153"/>
      <c r="Y150" s="157" t="n">
        <f aca="false">H15</f>
        <v>21268</v>
      </c>
      <c r="Z150" s="156" t="n">
        <f aca="false">(Z144+Z145+Z148+Z149+Z146)-Z147</f>
        <v>16234.5</v>
      </c>
      <c r="AB150" s="153" t="s">
        <v>169</v>
      </c>
      <c r="AC150" s="153"/>
      <c r="AD150" s="153"/>
      <c r="AE150" s="153"/>
      <c r="AF150" s="153"/>
      <c r="AG150" s="153"/>
      <c r="AH150" s="157" t="n">
        <f aca="false">H15</f>
        <v>21268</v>
      </c>
      <c r="AI150" s="156" t="n">
        <f aca="false">(AI144+AI145+AI148+AI149+AI146)-AI147</f>
        <v>16234.5</v>
      </c>
    </row>
    <row r="151" customFormat="false" ht="19.5" hidden="false" customHeight="false" outlineLevel="0" collapsed="false">
      <c r="A151" s="153" t="s">
        <v>170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170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170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170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171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171</v>
      </c>
      <c r="K152" s="158"/>
      <c r="L152" s="158"/>
      <c r="M152" s="158"/>
      <c r="N152" s="158"/>
      <c r="O152" s="158"/>
      <c r="P152" s="37"/>
      <c r="Q152" s="32"/>
      <c r="S152" s="110" t="s">
        <v>171</v>
      </c>
      <c r="T152" s="110"/>
      <c r="U152" s="110"/>
      <c r="V152" s="110"/>
      <c r="W152" s="110"/>
      <c r="X152" s="110"/>
      <c r="Y152" s="37"/>
      <c r="Z152" s="32"/>
      <c r="AB152" s="110" t="s">
        <v>171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172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172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172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172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172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172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172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172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172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172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172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172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173</v>
      </c>
      <c r="B156" s="153"/>
      <c r="C156" s="153"/>
      <c r="D156" s="153"/>
      <c r="E156" s="153"/>
      <c r="F156" s="153"/>
      <c r="G156" s="157" t="n">
        <f aca="false">G150-((G153*1.2)+(G154*1.2)+(G155*1.2)+(G151*1.2))</f>
        <v>21268</v>
      </c>
      <c r="H156" s="163" t="n">
        <f aca="false">H150-((H153*1.2)+(H154*1.2)+(H155*1.2)+(H151*1.2))</f>
        <v>21268</v>
      </c>
      <c r="J156" s="164" t="s">
        <v>173</v>
      </c>
      <c r="K156" s="164"/>
      <c r="L156" s="164"/>
      <c r="M156" s="164"/>
      <c r="N156" s="164"/>
      <c r="O156" s="164"/>
      <c r="P156" s="157" t="n">
        <f aca="false">P150-((P153*1.2)+(P154*1.2)+(P155*1.2)+(P151*1.2))</f>
        <v>21268</v>
      </c>
      <c r="Q156" s="163" t="n">
        <f aca="false">Q150-((Q153*1.2)+(Q154*1.2)+(Q155*1.2)+(Q151*1.2))</f>
        <v>35519.004</v>
      </c>
      <c r="S156" s="153" t="s">
        <v>173</v>
      </c>
      <c r="T156" s="153"/>
      <c r="U156" s="153"/>
      <c r="V156" s="153"/>
      <c r="W156" s="153"/>
      <c r="X156" s="153"/>
      <c r="Y156" s="157" t="n">
        <f aca="false">Y150-((Y153*1.2)+(Y154*1.2)+(Y155*1.2)+(Y151*1.2))</f>
        <v>21268</v>
      </c>
      <c r="Z156" s="163" t="n">
        <f aca="false">Z150-((Z153*1.2)+(Z154*1.2)+(Z155*1.2)+(Z151*1.2))</f>
        <v>16234.5</v>
      </c>
      <c r="AB156" s="153" t="s">
        <v>173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21268</v>
      </c>
      <c r="AI156" s="163" t="n">
        <f aca="false">AI150-((AI153*1.2)+(AI154*1.2)+(AI155*1.2)+(AI151*1.2))</f>
        <v>16234.5</v>
      </c>
    </row>
    <row r="157" customFormat="false" ht="19.5" hidden="false" customHeight="false" outlineLevel="0" collapsed="false">
      <c r="A157" s="153" t="s">
        <v>174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-16890</v>
      </c>
      <c r="J157" s="153" t="s">
        <v>174</v>
      </c>
      <c r="K157" s="153"/>
      <c r="L157" s="153"/>
      <c r="M157" s="153"/>
      <c r="N157" s="153"/>
      <c r="O157" s="153"/>
      <c r="P157" s="155"/>
      <c r="Q157" s="39" t="n">
        <f aca="false">Q156-P156</f>
        <v>14251.004</v>
      </c>
      <c r="S157" s="153" t="s">
        <v>174</v>
      </c>
      <c r="T157" s="153"/>
      <c r="U157" s="153"/>
      <c r="V157" s="153"/>
      <c r="W157" s="153"/>
      <c r="X157" s="153"/>
      <c r="Y157" s="155"/>
      <c r="Z157" s="39" t="n">
        <f aca="false">Z156-Y156</f>
        <v>-5033.5</v>
      </c>
      <c r="AB157" s="153" t="s">
        <v>174</v>
      </c>
      <c r="AC157" s="153"/>
      <c r="AD157" s="153"/>
      <c r="AE157" s="153"/>
      <c r="AF157" s="153"/>
      <c r="AG157" s="153"/>
      <c r="AH157" s="155"/>
      <c r="AI157" s="39" t="n">
        <f aca="false">AI156-AH156</f>
        <v>-5033.5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175</v>
      </c>
      <c r="B159" s="27"/>
      <c r="C159" s="27"/>
      <c r="D159" s="27"/>
      <c r="E159" s="27"/>
      <c r="F159" s="27"/>
      <c r="G159" s="27"/>
      <c r="H159" s="27"/>
      <c r="J159" s="27" t="s">
        <v>175</v>
      </c>
      <c r="K159" s="27"/>
      <c r="L159" s="27"/>
      <c r="M159" s="27"/>
      <c r="N159" s="27"/>
      <c r="O159" s="27"/>
      <c r="P159" s="27"/>
      <c r="Q159" s="27"/>
      <c r="S159" s="27" t="s">
        <v>175</v>
      </c>
      <c r="T159" s="27"/>
      <c r="U159" s="27"/>
      <c r="V159" s="27"/>
      <c r="W159" s="27"/>
      <c r="X159" s="27"/>
      <c r="Y159" s="27"/>
      <c r="Z159" s="27"/>
      <c r="AB159" s="27" t="s">
        <v>175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176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176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176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176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177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177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177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177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178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178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178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178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179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179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179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179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180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180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180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180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181</v>
      </c>
      <c r="B167" s="31"/>
      <c r="C167" s="31"/>
      <c r="D167" s="22"/>
      <c r="E167" s="31"/>
      <c r="F167" s="22"/>
      <c r="G167" s="169" t="n">
        <f aca="false">H156-G163-G166</f>
        <v>21268</v>
      </c>
      <c r="H167" s="169"/>
      <c r="J167" s="168" t="s">
        <v>181</v>
      </c>
      <c r="K167" s="31"/>
      <c r="L167" s="31"/>
      <c r="M167" s="22"/>
      <c r="N167" s="31"/>
      <c r="O167" s="22"/>
      <c r="P167" s="169" t="n">
        <f aca="false">Q156-P163-P166</f>
        <v>36519.004</v>
      </c>
      <c r="Q167" s="169"/>
      <c r="S167" s="168" t="s">
        <v>181</v>
      </c>
      <c r="T167" s="31"/>
      <c r="U167" s="31"/>
      <c r="V167" s="22"/>
      <c r="W167" s="31"/>
      <c r="X167" s="22"/>
      <c r="Y167" s="169" t="n">
        <f aca="false">Z156-Y163-Y166</f>
        <v>17234.5</v>
      </c>
      <c r="Z167" s="169"/>
      <c r="AB167" s="168" t="s">
        <v>181</v>
      </c>
      <c r="AC167" s="31"/>
      <c r="AD167" s="31"/>
      <c r="AE167" s="22"/>
      <c r="AF167" s="31"/>
      <c r="AG167" s="22"/>
      <c r="AH167" s="169" t="n">
        <f aca="false">AI156-AH163-AH166</f>
        <v>17234.5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182</v>
      </c>
      <c r="B171" s="27"/>
      <c r="C171" s="27"/>
      <c r="D171" s="27"/>
      <c r="E171" s="27"/>
      <c r="F171" s="27"/>
      <c r="G171" s="27"/>
      <c r="H171" s="27"/>
      <c r="J171" s="27" t="s">
        <v>182</v>
      </c>
      <c r="K171" s="27"/>
      <c r="L171" s="27"/>
      <c r="M171" s="27"/>
      <c r="N171" s="27"/>
      <c r="O171" s="27"/>
      <c r="P171" s="27"/>
      <c r="Q171" s="27"/>
      <c r="S171" s="27" t="s">
        <v>182</v>
      </c>
      <c r="T171" s="27"/>
      <c r="U171" s="27"/>
      <c r="V171" s="27"/>
      <c r="W171" s="27"/>
      <c r="X171" s="27"/>
      <c r="Y171" s="27"/>
      <c r="Z171" s="27"/>
      <c r="AB171" s="27" t="s">
        <v>182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183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183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183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183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184</v>
      </c>
      <c r="B175" s="173" t="s">
        <v>185</v>
      </c>
      <c r="C175" s="173"/>
      <c r="D175" s="173"/>
      <c r="E175" s="173" t="s">
        <v>186</v>
      </c>
      <c r="F175" s="22"/>
      <c r="G175" s="22" t="s">
        <v>187</v>
      </c>
      <c r="H175" s="32"/>
      <c r="J175" s="172" t="s">
        <v>184</v>
      </c>
      <c r="K175" s="174" t="s">
        <v>185</v>
      </c>
      <c r="L175" s="174"/>
      <c r="M175" s="174"/>
      <c r="N175" s="174" t="s">
        <v>186</v>
      </c>
      <c r="O175" s="22"/>
      <c r="P175" s="22"/>
      <c r="Q175" s="32"/>
      <c r="S175" s="172" t="s">
        <v>184</v>
      </c>
      <c r="T175" s="174" t="s">
        <v>185</v>
      </c>
      <c r="U175" s="174"/>
      <c r="V175" s="174"/>
      <c r="W175" s="174" t="s">
        <v>186</v>
      </c>
      <c r="X175" s="22"/>
      <c r="Y175" s="22"/>
      <c r="Z175" s="32"/>
      <c r="AB175" s="172" t="s">
        <v>184</v>
      </c>
      <c r="AC175" s="174" t="s">
        <v>185</v>
      </c>
      <c r="AD175" s="174"/>
      <c r="AE175" s="174"/>
      <c r="AF175" s="174" t="s">
        <v>186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546.961609847631</v>
      </c>
      <c r="B176" s="176" t="n">
        <f aca="false">B103</f>
        <v>0</v>
      </c>
      <c r="C176" s="173"/>
      <c r="D176" s="173"/>
      <c r="E176" s="176" t="n">
        <f aca="false">B105</f>
        <v>546.961609847631</v>
      </c>
      <c r="F176" s="22"/>
      <c r="G176" s="22" t="n">
        <f aca="false">ROUND(G104,2)</f>
        <v>486.01</v>
      </c>
      <c r="H176" s="32"/>
      <c r="J176" s="175" t="n">
        <f aca="false">K104</f>
        <v>1522.35059507587</v>
      </c>
      <c r="K176" s="177" t="n">
        <f aca="false">K103</f>
        <v>0</v>
      </c>
      <c r="L176" s="174"/>
      <c r="M176" s="174"/>
      <c r="N176" s="177" t="n">
        <f aca="false">K105</f>
        <v>1522.35059507587</v>
      </c>
      <c r="O176" s="22"/>
      <c r="P176" s="22"/>
      <c r="Q176" s="32"/>
      <c r="S176" s="175" t="n">
        <f aca="false">T104</f>
        <v>634.549742547474</v>
      </c>
      <c r="T176" s="177" t="n">
        <f aca="false">T103</f>
        <v>0</v>
      </c>
      <c r="U176" s="174"/>
      <c r="V176" s="174"/>
      <c r="W176" s="177" t="n">
        <f aca="false">T105</f>
        <v>634.549742547474</v>
      </c>
      <c r="X176" s="22"/>
      <c r="Y176" s="22"/>
      <c r="Z176" s="32"/>
      <c r="AB176" s="175" t="n">
        <f aca="false">AC104</f>
        <v>634.549742547474</v>
      </c>
      <c r="AC176" s="177" t="n">
        <f aca="false">AC103</f>
        <v>0</v>
      </c>
      <c r="AD176" s="174"/>
      <c r="AE176" s="174"/>
      <c r="AF176" s="177" t="n">
        <f aca="false">AC105</f>
        <v>634.549742547474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188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188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188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188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33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189</v>
      </c>
      <c r="B181" s="92" t="s">
        <v>190</v>
      </c>
      <c r="C181" s="92"/>
      <c r="D181" s="22"/>
      <c r="E181" s="92" t="s">
        <v>191</v>
      </c>
      <c r="F181" s="22"/>
      <c r="G181" s="22"/>
      <c r="H181" s="32"/>
      <c r="J181" s="30" t="s">
        <v>189</v>
      </c>
      <c r="K181" s="31" t="s">
        <v>190</v>
      </c>
      <c r="L181" s="31"/>
      <c r="M181" s="22"/>
      <c r="N181" s="31" t="s">
        <v>191</v>
      </c>
      <c r="O181" s="22"/>
      <c r="P181" s="22"/>
      <c r="Q181" s="32"/>
      <c r="S181" s="30" t="s">
        <v>189</v>
      </c>
      <c r="T181" s="31" t="s">
        <v>190</v>
      </c>
      <c r="U181" s="31"/>
      <c r="V181" s="22"/>
      <c r="W181" s="31" t="s">
        <v>191</v>
      </c>
      <c r="X181" s="22"/>
      <c r="Y181" s="22"/>
      <c r="Z181" s="32"/>
      <c r="AB181" s="30" t="s">
        <v>189</v>
      </c>
      <c r="AC181" s="31" t="s">
        <v>190</v>
      </c>
      <c r="AD181" s="31"/>
      <c r="AE181" s="22"/>
      <c r="AF181" s="31" t="s">
        <v>191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17440</v>
      </c>
      <c r="B182" s="102" t="n">
        <f aca="false">H146</f>
        <v>3488</v>
      </c>
      <c r="C182" s="185"/>
      <c r="D182" s="22"/>
      <c r="E182" s="181" t="n">
        <f aca="false">H148+H149</f>
        <v>340</v>
      </c>
      <c r="F182" s="22"/>
      <c r="G182" s="22"/>
      <c r="H182" s="32"/>
      <c r="J182" s="184" t="n">
        <f aca="false">Q150-Q146-Q148-Q149</f>
        <v>29324.17</v>
      </c>
      <c r="K182" s="37" t="n">
        <f aca="false">Q146</f>
        <v>5864.834</v>
      </c>
      <c r="L182" s="42"/>
      <c r="M182" s="22"/>
      <c r="N182" s="183" t="n">
        <f aca="false">Q148+Q149</f>
        <v>330</v>
      </c>
      <c r="O182" s="22"/>
      <c r="P182" s="22"/>
      <c r="Q182" s="32"/>
      <c r="S182" s="184" t="n">
        <f aca="false">Z150-Z146-Z148-Z149</f>
        <v>13253.75</v>
      </c>
      <c r="T182" s="37" t="n">
        <f aca="false">Z146</f>
        <v>2650.75</v>
      </c>
      <c r="U182" s="42"/>
      <c r="V182" s="22"/>
      <c r="W182" s="183" t="n">
        <f aca="false">Z148+Z149</f>
        <v>330</v>
      </c>
      <c r="X182" s="22"/>
      <c r="Y182" s="22"/>
      <c r="Z182" s="32"/>
      <c r="AB182" s="184" t="n">
        <f aca="false">AI150-AI146-AI148-AI149</f>
        <v>13253.75</v>
      </c>
      <c r="AC182" s="37" t="n">
        <f aca="false">AI146</f>
        <v>2650.75</v>
      </c>
      <c r="AD182" s="42"/>
      <c r="AE182" s="22"/>
      <c r="AF182" s="183" t="n">
        <f aca="false">AI148+AI149</f>
        <v>330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192</v>
      </c>
      <c r="B184" s="92" t="s">
        <v>138</v>
      </c>
      <c r="C184" s="92"/>
      <c r="D184" s="22"/>
      <c r="E184" s="92" t="s">
        <v>139</v>
      </c>
      <c r="F184" s="22"/>
      <c r="G184" s="22"/>
      <c r="H184" s="32"/>
      <c r="J184" s="30" t="s">
        <v>192</v>
      </c>
      <c r="K184" s="31" t="s">
        <v>138</v>
      </c>
      <c r="L184" s="31"/>
      <c r="M184" s="22"/>
      <c r="N184" s="31" t="s">
        <v>139</v>
      </c>
      <c r="O184" s="22"/>
      <c r="P184" s="22"/>
      <c r="Q184" s="32"/>
      <c r="S184" s="30" t="s">
        <v>192</v>
      </c>
      <c r="T184" s="31" t="s">
        <v>138</v>
      </c>
      <c r="U184" s="31"/>
      <c r="V184" s="22"/>
      <c r="W184" s="31" t="s">
        <v>139</v>
      </c>
      <c r="X184" s="22"/>
      <c r="Y184" s="22"/>
      <c r="Z184" s="32"/>
      <c r="AB184" s="30" t="s">
        <v>192</v>
      </c>
      <c r="AC184" s="31" t="s">
        <v>138</v>
      </c>
      <c r="AD184" s="31"/>
      <c r="AE184" s="22"/>
      <c r="AF184" s="31" t="s">
        <v>139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21268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35519.004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16234.5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16234.5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140</v>
      </c>
      <c r="B187" s="92" t="s">
        <v>176</v>
      </c>
      <c r="C187" s="92"/>
      <c r="D187" s="22"/>
      <c r="E187" s="92" t="s">
        <v>181</v>
      </c>
      <c r="F187" s="22"/>
      <c r="G187" s="22"/>
      <c r="H187" s="32"/>
      <c r="J187" s="30" t="s">
        <v>140</v>
      </c>
      <c r="K187" s="31" t="s">
        <v>176</v>
      </c>
      <c r="L187" s="31"/>
      <c r="M187" s="22"/>
      <c r="N187" s="31" t="s">
        <v>181</v>
      </c>
      <c r="O187" s="22"/>
      <c r="P187" s="22"/>
      <c r="Q187" s="32"/>
      <c r="S187" s="30" t="s">
        <v>140</v>
      </c>
      <c r="T187" s="31" t="s">
        <v>176</v>
      </c>
      <c r="U187" s="31"/>
      <c r="V187" s="22"/>
      <c r="W187" s="31" t="s">
        <v>181</v>
      </c>
      <c r="X187" s="22"/>
      <c r="Y187" s="22"/>
      <c r="Z187" s="32"/>
      <c r="AB187" s="30" t="s">
        <v>140</v>
      </c>
      <c r="AC187" s="31" t="s">
        <v>176</v>
      </c>
      <c r="AD187" s="31"/>
      <c r="AE187" s="22"/>
      <c r="AF187" s="31" t="s">
        <v>181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21268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36519.004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17234.5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17234.5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193</v>
      </c>
      <c r="B190" s="92" t="s">
        <v>53</v>
      </c>
      <c r="C190" s="92"/>
      <c r="D190" s="22"/>
      <c r="E190" s="92" t="s">
        <v>194</v>
      </c>
      <c r="F190" s="22"/>
      <c r="G190" s="22"/>
      <c r="H190" s="32"/>
      <c r="J190" s="30" t="s">
        <v>193</v>
      </c>
      <c r="K190" s="31" t="s">
        <v>53</v>
      </c>
      <c r="L190" s="31"/>
      <c r="M190" s="22"/>
      <c r="N190" s="31" t="s">
        <v>194</v>
      </c>
      <c r="O190" s="22"/>
      <c r="P190" s="22"/>
      <c r="Q190" s="32"/>
      <c r="S190" s="30" t="s">
        <v>193</v>
      </c>
      <c r="T190" s="31" t="s">
        <v>53</v>
      </c>
      <c r="U190" s="31"/>
      <c r="V190" s="22"/>
      <c r="W190" s="31" t="s">
        <v>194</v>
      </c>
      <c r="X190" s="22"/>
      <c r="Y190" s="22"/>
      <c r="Z190" s="32"/>
      <c r="AB190" s="30" t="s">
        <v>193</v>
      </c>
      <c r="AC190" s="31" t="s">
        <v>53</v>
      </c>
      <c r="AD190" s="31"/>
      <c r="AE190" s="22"/>
      <c r="AF190" s="31" t="s">
        <v>194</v>
      </c>
      <c r="AG190" s="22"/>
      <c r="AH190" s="22"/>
      <c r="AI190" s="32"/>
    </row>
    <row r="191" customFormat="false" ht="18.75" hidden="false" customHeight="false" outlineLevel="0" collapsed="false">
      <c r="A191" s="110" t="n">
        <f aca="false">(A176*B68)+E194-E188-A194</f>
        <v>3434.77151512419</v>
      </c>
      <c r="B191" s="102" t="str">
        <f aca="false">B123</f>
        <v>199.99</v>
      </c>
      <c r="C191" s="102"/>
      <c r="D191" s="22"/>
      <c r="E191" s="102" t="n">
        <f aca="false">E188+A191+(B191*1.2)+A194</f>
        <v>24952.7595151242</v>
      </c>
      <c r="F191" s="22"/>
      <c r="G191" s="22"/>
      <c r="H191" s="104"/>
      <c r="J191" s="110" t="n">
        <f aca="false">(J176*K68)+N194-N188-J194</f>
        <v>12208.2150424278</v>
      </c>
      <c r="K191" s="37" t="n">
        <f aca="false">K123</f>
        <v>239.99</v>
      </c>
      <c r="L191" s="37"/>
      <c r="M191" s="22"/>
      <c r="N191" s="37" t="n">
        <f aca="false">N188+J191+K191+J194</f>
        <v>48987.2090424278</v>
      </c>
      <c r="O191" s="22"/>
      <c r="P191" s="22"/>
      <c r="Q191" s="104"/>
      <c r="S191" s="110" t="n">
        <f aca="false">(S176*T68)+W194-W188-S194</f>
        <v>3083.09176151916</v>
      </c>
      <c r="T191" s="37" t="n">
        <f aca="false">T123</f>
        <v>199.99</v>
      </c>
      <c r="U191" s="37"/>
      <c r="V191" s="22"/>
      <c r="W191" s="37" t="n">
        <f aca="false">W188+S191+T191+S194</f>
        <v>20527.5817615192</v>
      </c>
      <c r="X191" s="22"/>
      <c r="Y191" s="22"/>
      <c r="Z191" s="104"/>
      <c r="AB191" s="110" t="n">
        <f aca="false">(AB176*AC68)+AF194-AF188-AB194</f>
        <v>3083.09176151916</v>
      </c>
      <c r="AC191" s="37" t="n">
        <f aca="false">AC123</f>
        <v>239.99</v>
      </c>
      <c r="AD191" s="37"/>
      <c r="AE191" s="22"/>
      <c r="AF191" s="37" t="n">
        <f aca="false">AF188+AB191+AC191+AB194</f>
        <v>20567.5817615192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195</v>
      </c>
      <c r="B193" s="92" t="s">
        <v>196</v>
      </c>
      <c r="C193" s="92"/>
      <c r="D193" s="22"/>
      <c r="E193" s="92" t="s">
        <v>197</v>
      </c>
      <c r="F193" s="22"/>
      <c r="G193" s="22"/>
      <c r="H193" s="32"/>
      <c r="J193" s="30" t="s">
        <v>195</v>
      </c>
      <c r="K193" s="31" t="s">
        <v>196</v>
      </c>
      <c r="L193" s="31"/>
      <c r="M193" s="22"/>
      <c r="N193" s="31" t="s">
        <v>197</v>
      </c>
      <c r="O193" s="22"/>
      <c r="P193" s="22"/>
      <c r="Q193" s="32"/>
      <c r="S193" s="30" t="s">
        <v>195</v>
      </c>
      <c r="T193" s="31" t="s">
        <v>196</v>
      </c>
      <c r="U193" s="31"/>
      <c r="V193" s="22"/>
      <c r="W193" s="31" t="s">
        <v>197</v>
      </c>
      <c r="X193" s="22"/>
      <c r="Y193" s="22"/>
      <c r="Z193" s="32"/>
      <c r="AB193" s="30" t="s">
        <v>195</v>
      </c>
      <c r="AC193" s="31" t="s">
        <v>196</v>
      </c>
      <c r="AD193" s="31"/>
      <c r="AE193" s="22"/>
      <c r="AF193" s="31" t="s">
        <v>197</v>
      </c>
      <c r="AG193" s="22"/>
      <c r="AH193" s="22"/>
      <c r="AI193" s="32"/>
    </row>
    <row r="194" customFormat="false" ht="18.7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E179+A194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198</v>
      </c>
      <c r="B196" s="92" t="s">
        <v>199</v>
      </c>
      <c r="C196" s="92"/>
      <c r="D196" s="92"/>
      <c r="E196" s="165" t="s">
        <v>200</v>
      </c>
      <c r="F196" s="22"/>
      <c r="G196" s="22"/>
      <c r="H196" s="32"/>
      <c r="J196" s="30" t="s">
        <v>198</v>
      </c>
      <c r="K196" s="31" t="s">
        <v>199</v>
      </c>
      <c r="L196" s="31"/>
      <c r="M196" s="31"/>
      <c r="N196" s="38" t="s">
        <v>200</v>
      </c>
      <c r="O196" s="22"/>
      <c r="P196" s="22"/>
      <c r="Q196" s="32"/>
      <c r="S196" s="30" t="s">
        <v>198</v>
      </c>
      <c r="T196" s="31" t="s">
        <v>199</v>
      </c>
      <c r="U196" s="31"/>
      <c r="V196" s="31"/>
      <c r="W196" s="38" t="s">
        <v>200</v>
      </c>
      <c r="X196" s="31"/>
      <c r="Y196" s="31"/>
      <c r="Z196" s="32"/>
      <c r="AB196" s="30" t="s">
        <v>198</v>
      </c>
      <c r="AC196" s="31" t="s">
        <v>199</v>
      </c>
      <c r="AD196" s="31"/>
      <c r="AE196" s="31"/>
      <c r="AF196" s="38" t="s">
        <v>200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4.1856</v>
      </c>
      <c r="B197" s="102" t="n">
        <f aca="false">(G167*B76)/1.2</f>
        <v>166.15625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0.042536</v>
      </c>
      <c r="K197" s="37" t="n">
        <f aca="false">(P167*K76)/1.2</f>
        <v>2187.33617708333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134.64453125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134.64453125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201</v>
      </c>
      <c r="B199" s="165" t="s">
        <v>202</v>
      </c>
      <c r="C199" s="92"/>
      <c r="D199" s="92"/>
      <c r="E199" s="165" t="s">
        <v>203</v>
      </c>
      <c r="F199" s="22"/>
      <c r="G199" s="22"/>
      <c r="H199" s="32"/>
      <c r="J199" s="59" t="s">
        <v>201</v>
      </c>
      <c r="K199" s="38" t="s">
        <v>202</v>
      </c>
      <c r="L199" s="31"/>
      <c r="M199" s="31"/>
      <c r="N199" s="38" t="s">
        <v>203</v>
      </c>
      <c r="O199" s="22"/>
      <c r="P199" s="22"/>
      <c r="Q199" s="32"/>
      <c r="S199" s="59" t="s">
        <v>201</v>
      </c>
      <c r="T199" s="38" t="s">
        <v>202</v>
      </c>
      <c r="U199" s="31"/>
      <c r="V199" s="31"/>
      <c r="W199" s="38" t="s">
        <v>203</v>
      </c>
      <c r="X199" s="31"/>
      <c r="Y199" s="31"/>
      <c r="Z199" s="32"/>
      <c r="AB199" s="59" t="s">
        <v>201</v>
      </c>
      <c r="AC199" s="38" t="s">
        <v>202</v>
      </c>
      <c r="AD199" s="31"/>
      <c r="AE199" s="31"/>
      <c r="AF199" s="38" t="s">
        <v>203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266.14625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3327.32617708333</v>
      </c>
      <c r="L200" s="31"/>
      <c r="M200" s="31"/>
      <c r="N200" s="37" t="n">
        <f aca="false">Q157</f>
        <v>14251.004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1234.63453125</v>
      </c>
      <c r="U200" s="31"/>
      <c r="V200" s="31"/>
      <c r="W200" s="37" t="n">
        <f aca="false">Z157</f>
        <v>-5033.5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1274.63453125</v>
      </c>
      <c r="AD200" s="31"/>
      <c r="AE200" s="31"/>
      <c r="AF200" s="37" t="n">
        <f aca="false">AI157</f>
        <v>-5033.5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204</v>
      </c>
      <c r="B202" s="92"/>
      <c r="C202" s="92"/>
      <c r="D202" s="66"/>
      <c r="E202" s="66"/>
      <c r="F202" s="66"/>
      <c r="G202" s="66"/>
      <c r="H202" s="67"/>
      <c r="J202" s="65" t="s">
        <v>204</v>
      </c>
      <c r="K202" s="31"/>
      <c r="L202" s="31"/>
      <c r="M202" s="66"/>
      <c r="N202" s="66"/>
      <c r="O202" s="66"/>
      <c r="P202" s="66"/>
      <c r="Q202" s="67"/>
      <c r="S202" s="65" t="s">
        <v>204</v>
      </c>
      <c r="T202" s="31"/>
      <c r="U202" s="31"/>
      <c r="V202" s="66"/>
      <c r="W202" s="66"/>
      <c r="X202" s="66"/>
      <c r="Y202" s="66"/>
      <c r="Z202" s="67"/>
      <c r="AB202" s="65" t="s">
        <v>204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546.961609847631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1522.35059507587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634.549742547474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634.549742547474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205</v>
      </c>
      <c r="B209" s="92" t="s">
        <v>206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8.75" hidden="false" customHeight="false" outlineLevel="0" collapsed="false">
      <c r="A210" s="35" t="n">
        <f aca="false">ROUND(((G176*B68)+E194-E188-A194),2)</f>
        <v>1484.32</v>
      </c>
      <c r="B210" s="185" t="n">
        <f aca="false">ROUND((E188+A210+(B191*1.2)+A194),2)</f>
        <v>23002.31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182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127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207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184</v>
      </c>
      <c r="B220" s="191" t="s">
        <v>185</v>
      </c>
      <c r="C220" s="191"/>
      <c r="D220" s="191"/>
      <c r="E220" s="191" t="s">
        <v>186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546.961609847631</v>
      </c>
      <c r="B221" s="176" t="n">
        <f aca="false">B176</f>
        <v>0</v>
      </c>
      <c r="C221" s="173"/>
      <c r="D221" s="173"/>
      <c r="E221" s="176" t="n">
        <f aca="false">E176</f>
        <v>546.961609847631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189</v>
      </c>
      <c r="B223" s="92" t="s">
        <v>190</v>
      </c>
      <c r="C223" s="92"/>
      <c r="D223" s="112"/>
      <c r="E223" s="92" t="s">
        <v>191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17440</v>
      </c>
      <c r="B224" s="102" t="n">
        <f aca="false">B182</f>
        <v>3488</v>
      </c>
      <c r="C224" s="185"/>
      <c r="D224" s="112"/>
      <c r="E224" s="181" t="n">
        <f aca="false">E182</f>
        <v>340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192</v>
      </c>
      <c r="B226" s="92" t="s">
        <v>138</v>
      </c>
      <c r="C226" s="92"/>
      <c r="D226" s="112"/>
      <c r="E226" s="92" t="s">
        <v>139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21268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140</v>
      </c>
      <c r="B229" s="92" t="s">
        <v>176</v>
      </c>
      <c r="C229" s="92"/>
      <c r="D229" s="112"/>
      <c r="E229" s="92" t="s">
        <v>181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21268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193</v>
      </c>
      <c r="B232" s="92" t="s">
        <v>53</v>
      </c>
      <c r="C232" s="92"/>
      <c r="D232" s="112"/>
      <c r="E232" s="92" t="s">
        <v>194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3434.77151512419</v>
      </c>
      <c r="B233" s="102" t="str">
        <f aca="false">B191</f>
        <v>199.99</v>
      </c>
      <c r="C233" s="102"/>
      <c r="D233" s="112"/>
      <c r="E233" s="102" t="n">
        <f aca="false">E191</f>
        <v>24952.7595151242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195</v>
      </c>
      <c r="B235" s="92" t="s">
        <v>196</v>
      </c>
      <c r="C235" s="92"/>
      <c r="D235" s="112"/>
      <c r="E235" s="92" t="s">
        <v>208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184</v>
      </c>
      <c r="B238" s="92" t="s">
        <v>185</v>
      </c>
      <c r="C238" s="92"/>
      <c r="D238" s="92"/>
      <c r="E238" s="92" t="s">
        <v>186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546.961609847631</v>
      </c>
      <c r="B239" s="102" t="n">
        <f aca="false">B176</f>
        <v>0</v>
      </c>
      <c r="C239" s="185"/>
      <c r="D239" s="185"/>
      <c r="E239" s="102" t="n">
        <f aca="false">E176</f>
        <v>546.961609847631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209</v>
      </c>
      <c r="B241" s="92" t="s">
        <v>210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12.5568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211</v>
      </c>
      <c r="B244" s="165" t="s">
        <v>73</v>
      </c>
      <c r="C244" s="92"/>
      <c r="D244" s="92"/>
      <c r="E244" s="165" t="s">
        <v>132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4.1856</v>
      </c>
      <c r="B245" s="102" t="n">
        <f aca="false">E242+A245</f>
        <v>16.7424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212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213</v>
      </c>
      <c r="B248" s="92" t="s">
        <v>199</v>
      </c>
      <c r="C248" s="92"/>
      <c r="D248" s="92"/>
      <c r="E248" s="165" t="s">
        <v>200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166.15625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201</v>
      </c>
      <c r="B251" s="165" t="s">
        <v>202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266.14625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214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215</v>
      </c>
      <c r="B262" s="195" t="n">
        <f aca="false">B72</f>
        <v>0.065</v>
      </c>
      <c r="C262" s="196"/>
      <c r="D262" s="197" t="s">
        <v>216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217</v>
      </c>
      <c r="B263" s="199" t="n">
        <f aca="false">(E191-B191)-(B210-B191-A194)</f>
        <v>1960.44951512419</v>
      </c>
      <c r="C263" s="196"/>
      <c r="D263" s="197" t="s">
        <v>218</v>
      </c>
      <c r="E263" s="197"/>
      <c r="F263" s="199" t="n">
        <f aca="false">F270+F276+F278+B279+B280</f>
        <v>199.3875</v>
      </c>
      <c r="G263" s="22"/>
      <c r="H263" s="32"/>
    </row>
    <row r="264" customFormat="false" ht="18.75" hidden="false" customHeight="false" outlineLevel="0" collapsed="false">
      <c r="A264" s="190" t="s">
        <v>219</v>
      </c>
      <c r="B264" s="199" t="n">
        <f aca="false">F271+B272</f>
        <v>99.99</v>
      </c>
      <c r="C264" s="196"/>
      <c r="D264" s="197" t="s">
        <v>220</v>
      </c>
      <c r="E264" s="197"/>
      <c r="F264" s="199" t="n">
        <f aca="false">(B263-F263)+B264</f>
        <v>1861.05201512419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215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221</v>
      </c>
      <c r="B268" s="204" t="n">
        <f aca="false">B73</f>
        <v>0.05</v>
      </c>
      <c r="C268" s="31"/>
      <c r="D268" s="165" t="s">
        <v>222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216</v>
      </c>
      <c r="B269" s="208" t="n">
        <f aca="false">B92</f>
        <v>0.115</v>
      </c>
      <c r="C269" s="42"/>
      <c r="D269" s="165" t="s">
        <v>217</v>
      </c>
      <c r="E269" s="165"/>
      <c r="F269" s="145" t="n">
        <f aca="false">B263</f>
        <v>1960.44951512419</v>
      </c>
      <c r="G269" s="22"/>
      <c r="H269" s="32"/>
    </row>
    <row r="270" customFormat="false" ht="19.5" hidden="false" customHeight="false" outlineLevel="0" collapsed="false">
      <c r="A270" s="30" t="s">
        <v>223</v>
      </c>
      <c r="B270" s="208" t="n">
        <f aca="false">B76</f>
        <v>0.009375</v>
      </c>
      <c r="C270" s="31"/>
      <c r="D270" s="165" t="s">
        <v>223</v>
      </c>
      <c r="E270" s="165"/>
      <c r="F270" s="150" t="n">
        <f aca="false">B77</f>
        <v>199.3875</v>
      </c>
      <c r="G270" s="22"/>
      <c r="H270" s="32"/>
    </row>
    <row r="271" customFormat="false" ht="19.5" hidden="false" customHeight="false" outlineLevel="0" collapsed="false">
      <c r="A271" s="30" t="s">
        <v>224</v>
      </c>
      <c r="B271" s="204" t="n">
        <f aca="false">A117</f>
        <v>0.2</v>
      </c>
      <c r="C271" s="31"/>
      <c r="D271" s="165" t="s">
        <v>224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225</v>
      </c>
      <c r="B272" s="145" t="n">
        <f aca="false">A252</f>
        <v>99.99</v>
      </c>
      <c r="C272" s="31"/>
      <c r="D272" s="38" t="s">
        <v>220</v>
      </c>
      <c r="E272" s="38"/>
      <c r="F272" s="145" t="n">
        <f aca="false">(B263-F263)+B264</f>
        <v>1861.05201512419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226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227</v>
      </c>
      <c r="B275" s="150" t="n">
        <v>0</v>
      </c>
      <c r="C275" s="31"/>
      <c r="D275" s="209" t="s">
        <v>228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229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230</v>
      </c>
      <c r="B277" s="210" t="s">
        <v>4</v>
      </c>
      <c r="C277" s="31"/>
      <c r="D277" s="165" t="s">
        <v>231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232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233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234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A38" activeCellId="0" sqref="A38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/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/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 t="n">
        <v>23125</v>
      </c>
      <c r="C9" s="151"/>
      <c r="D9" s="151"/>
      <c r="E9" s="151"/>
      <c r="F9" s="151"/>
      <c r="G9" s="138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/>
      <c r="F10" s="153"/>
      <c r="G10" s="155"/>
      <c r="H10" s="438" t="n">
        <v>695.0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 t="n">
        <v>0</v>
      </c>
      <c r="C11" s="153"/>
      <c r="D11" s="153"/>
      <c r="E11" s="153"/>
      <c r="F11" s="153"/>
      <c r="G11" s="155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 t="n">
        <v>0</v>
      </c>
      <c r="C13" s="153"/>
      <c r="D13" s="153"/>
      <c r="E13" s="153"/>
      <c r="F13" s="153"/>
      <c r="G13" s="155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/>
      <c r="F14" s="153"/>
      <c r="G14" s="155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5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396</v>
      </c>
      <c r="B34" s="31"/>
      <c r="C34" s="40" t="s">
        <v>385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21268</v>
      </c>
      <c r="B37" s="31"/>
      <c r="C37" s="40" t="s">
        <v>386</v>
      </c>
      <c r="D37" s="40"/>
      <c r="E37" s="31"/>
      <c r="F37" s="42" t="n">
        <f aca="false">A37-C37</f>
        <v>20268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384</v>
      </c>
      <c r="B40" s="31"/>
      <c r="C40" s="53" t="n">
        <f aca="false">A34-1</f>
        <v>32</v>
      </c>
      <c r="D40" s="53"/>
      <c r="E40" s="31"/>
      <c r="F40" s="40" t="s">
        <v>387</v>
      </c>
      <c r="G40" s="40"/>
      <c r="H40" s="46"/>
      <c r="J40" s="2" t="s">
        <v>58</v>
      </c>
      <c r="K40" s="2" t="n">
        <f aca="false">H11</f>
        <v>3488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75.3939393939394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474.606060606061</v>
      </c>
      <c r="L45" s="2"/>
    </row>
    <row r="46" customFormat="false" ht="19.5" hidden="false" customHeight="false" outlineLevel="0" collapsed="false">
      <c r="A46" s="39" t="s">
        <v>391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475.575757575758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425.575757575758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414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1650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475.575757575758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20928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20928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20928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20928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17490.7715151242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48703.2190424278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20293.5917615192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20293.5917615192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199.3875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1504.2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196.2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161.5734375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475.575757575758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475.575757575758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475.575757575758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20268</v>
      </c>
      <c r="C90" s="31"/>
      <c r="D90" s="31"/>
      <c r="E90" s="22"/>
      <c r="F90" s="24" t="s">
        <v>106</v>
      </c>
      <c r="G90" s="26" t="n">
        <f aca="false">F37</f>
        <v>20268</v>
      </c>
      <c r="H90" s="32"/>
      <c r="J90" s="24" t="s">
        <v>106</v>
      </c>
      <c r="K90" s="26" t="n">
        <f aca="false">P167</f>
        <v>36519.004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17234.5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17234.5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5255.82391109543</v>
      </c>
      <c r="C95" s="31"/>
      <c r="D95" s="31"/>
      <c r="E95" s="22"/>
      <c r="F95" s="30" t="s">
        <v>111</v>
      </c>
      <c r="G95" s="32" t="n">
        <f aca="false">(G91/((1+G93)^(G94+1)))</f>
        <v>6024.37295128565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15012.1760889046</v>
      </c>
      <c r="C97" s="31"/>
      <c r="D97" s="31"/>
      <c r="E97" s="22"/>
      <c r="F97" s="30" t="s">
        <v>113</v>
      </c>
      <c r="G97" s="32" t="n">
        <f aca="false">G90-G95</f>
        <v>14243.6270487143</v>
      </c>
      <c r="H97" s="32"/>
      <c r="J97" s="30" t="s">
        <v>113</v>
      </c>
      <c r="K97" s="32" t="n">
        <f aca="false">K90-K95</f>
        <v>36519.004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17225.9407086168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17225.9407086168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546.961609847631</v>
      </c>
      <c r="C98" s="31"/>
      <c r="D98" s="31"/>
      <c r="E98" s="22"/>
      <c r="F98" s="30" t="s">
        <v>114</v>
      </c>
      <c r="G98" s="32" t="n">
        <f aca="false">(G97/G96)</f>
        <v>486.005136521857</v>
      </c>
      <c r="H98" s="32"/>
      <c r="J98" s="30" t="s">
        <v>114</v>
      </c>
      <c r="K98" s="32" t="n">
        <f aca="false">(K97/K96)</f>
        <v>1522.35059507587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634.549742547474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634.549742547474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17502.7715151242</v>
      </c>
      <c r="C99" s="31"/>
      <c r="D99" s="31"/>
      <c r="E99" s="22"/>
      <c r="F99" s="30" t="s">
        <v>115</v>
      </c>
      <c r="G99" s="32" t="n">
        <f aca="false">((G98*(G94))+G86)</f>
        <v>15552.1643686994</v>
      </c>
      <c r="H99" s="32"/>
      <c r="J99" s="30" t="s">
        <v>115</v>
      </c>
      <c r="K99" s="32" t="n">
        <f aca="false">((K98*(K94))+K86)</f>
        <v>50237.5696375037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20305.5917615192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20305.5917615192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17502.7715151242</v>
      </c>
      <c r="C101" s="31"/>
      <c r="D101" s="31"/>
      <c r="E101" s="22"/>
      <c r="F101" s="55" t="s">
        <v>117</v>
      </c>
      <c r="G101" s="64" t="n">
        <f aca="false">(G99+G100)</f>
        <v>15552.1643686994</v>
      </c>
      <c r="H101" s="32"/>
      <c r="J101" s="55" t="s">
        <v>117</v>
      </c>
      <c r="K101" s="64" t="n">
        <f aca="false">(K99+K100)</f>
        <v>50237.5696375037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20305.5917615192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20305.5917615192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80.4375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546.961609847631</v>
      </c>
      <c r="C104" s="31"/>
      <c r="D104" s="31"/>
      <c r="E104" s="22"/>
      <c r="F104" s="94" t="s">
        <v>119</v>
      </c>
      <c r="G104" s="95" t="n">
        <f aca="false">G101/(G94)</f>
        <v>486.005136521857</v>
      </c>
      <c r="H104" s="32"/>
      <c r="J104" s="94" t="s">
        <v>119</v>
      </c>
      <c r="K104" s="95" t="n">
        <f aca="false">K101/(K94)</f>
        <v>1522.35059507587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634.549742547474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634.549742547474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627.399109847631</v>
      </c>
      <c r="C105" s="31"/>
      <c r="D105" s="31"/>
      <c r="E105" s="22" t="s">
        <v>19</v>
      </c>
      <c r="F105" s="96" t="s">
        <v>120</v>
      </c>
      <c r="G105" s="97" t="n">
        <f aca="false">G103+G104</f>
        <v>486.005136521857</v>
      </c>
      <c r="H105" s="32"/>
      <c r="J105" s="96" t="s">
        <v>120</v>
      </c>
      <c r="K105" s="97" t="n">
        <f aca="false">(K103+K104)</f>
        <v>1522.35059507587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634.549742547474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634.549742547474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122</v>
      </c>
      <c r="B109" s="99"/>
      <c r="C109" s="99"/>
      <c r="D109" s="99"/>
      <c r="E109" s="99"/>
      <c r="F109" s="99"/>
      <c r="G109" s="99"/>
      <c r="H109" s="99"/>
      <c r="J109" s="23" t="s">
        <v>123</v>
      </c>
      <c r="K109" s="23"/>
      <c r="L109" s="23"/>
      <c r="M109" s="23"/>
      <c r="N109" s="23"/>
      <c r="O109" s="23"/>
      <c r="P109" s="23"/>
      <c r="Q109" s="23"/>
      <c r="S109" s="99" t="s">
        <v>124</v>
      </c>
      <c r="T109" s="99"/>
      <c r="U109" s="99"/>
      <c r="V109" s="99"/>
      <c r="W109" s="99"/>
      <c r="X109" s="99"/>
      <c r="Y109" s="99"/>
      <c r="Z109" s="99"/>
      <c r="AB109" s="99" t="s">
        <v>125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126</v>
      </c>
      <c r="K111" s="27"/>
      <c r="L111" s="27"/>
      <c r="M111" s="27"/>
      <c r="N111" s="27"/>
      <c r="O111" s="27"/>
      <c r="P111" s="27"/>
      <c r="Q111" s="27"/>
      <c r="S111" s="27" t="s">
        <v>126</v>
      </c>
      <c r="T111" s="27"/>
      <c r="U111" s="27"/>
      <c r="V111" s="27"/>
      <c r="W111" s="27"/>
      <c r="X111" s="27"/>
      <c r="Y111" s="27"/>
      <c r="Z111" s="27"/>
      <c r="AB111" s="27" t="s">
        <v>126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127</v>
      </c>
      <c r="B113" s="31" t="s">
        <v>23</v>
      </c>
      <c r="C113" s="31"/>
      <c r="D113" s="31"/>
      <c r="E113" s="31" t="s">
        <v>128</v>
      </c>
      <c r="F113" s="31"/>
      <c r="G113" s="31"/>
      <c r="H113" s="32"/>
      <c r="J113" s="30" t="s">
        <v>127</v>
      </c>
      <c r="K113" s="31" t="s">
        <v>23</v>
      </c>
      <c r="L113" s="31"/>
      <c r="M113" s="31"/>
      <c r="N113" s="31" t="s">
        <v>128</v>
      </c>
      <c r="O113" s="31"/>
      <c r="P113" s="31"/>
      <c r="Q113" s="32"/>
      <c r="S113" s="30" t="s">
        <v>127</v>
      </c>
      <c r="T113" s="31" t="s">
        <v>23</v>
      </c>
      <c r="U113" s="31"/>
      <c r="V113" s="31"/>
      <c r="W113" s="31" t="s">
        <v>128</v>
      </c>
      <c r="X113" s="31"/>
      <c r="Y113" s="31"/>
      <c r="Z113" s="32"/>
      <c r="AB113" s="30" t="s">
        <v>127</v>
      </c>
      <c r="AC113" s="31" t="s">
        <v>23</v>
      </c>
      <c r="AD113" s="31"/>
      <c r="AE113" s="31"/>
      <c r="AF113" s="31" t="s">
        <v>128</v>
      </c>
      <c r="AG113" s="31"/>
      <c r="AH113" s="31"/>
      <c r="AI113" s="32"/>
    </row>
    <row r="114" customFormat="false" ht="19.5" hidden="false" customHeight="false" outlineLevel="0" collapsed="false">
      <c r="A114" s="35" t="s">
        <v>129</v>
      </c>
      <c r="B114" s="102" t="s">
        <v>130</v>
      </c>
      <c r="C114" s="102"/>
      <c r="D114" s="102"/>
      <c r="E114" s="103" t="s">
        <v>390</v>
      </c>
      <c r="F114" s="103"/>
      <c r="G114" s="103"/>
      <c r="H114" s="101"/>
      <c r="J114" s="35" t="s">
        <v>129</v>
      </c>
      <c r="K114" s="104" t="s">
        <v>130</v>
      </c>
      <c r="L114" s="104"/>
      <c r="M114" s="104"/>
      <c r="N114" s="103" t="s">
        <v>18</v>
      </c>
      <c r="O114" s="103"/>
      <c r="P114" s="103"/>
      <c r="Q114" s="101"/>
      <c r="S114" s="35" t="s">
        <v>129</v>
      </c>
      <c r="T114" s="102" t="s">
        <v>130</v>
      </c>
      <c r="U114" s="102"/>
      <c r="V114" s="102"/>
      <c r="W114" s="103" t="s">
        <v>18</v>
      </c>
      <c r="X114" s="103"/>
      <c r="Y114" s="103"/>
      <c r="Z114" s="101"/>
      <c r="AB114" s="35" t="s">
        <v>129</v>
      </c>
      <c r="AC114" s="102" t="s">
        <v>130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131</v>
      </c>
      <c r="B116" s="31" t="s">
        <v>132</v>
      </c>
      <c r="C116" s="31"/>
      <c r="D116" s="22"/>
      <c r="E116" s="31" t="s">
        <v>133</v>
      </c>
      <c r="F116" s="31"/>
      <c r="G116" s="22"/>
      <c r="H116" s="101"/>
      <c r="J116" s="30" t="s">
        <v>131</v>
      </c>
      <c r="K116" s="31" t="s">
        <v>132</v>
      </c>
      <c r="L116" s="31"/>
      <c r="M116" s="22"/>
      <c r="N116" s="31" t="s">
        <v>133</v>
      </c>
      <c r="O116" s="31"/>
      <c r="P116" s="22"/>
      <c r="Q116" s="101"/>
      <c r="S116" s="30" t="s">
        <v>131</v>
      </c>
      <c r="T116" s="31" t="s">
        <v>132</v>
      </c>
      <c r="U116" s="31"/>
      <c r="V116" s="22"/>
      <c r="W116" s="31" t="s">
        <v>133</v>
      </c>
      <c r="X116" s="31"/>
      <c r="Y116" s="22"/>
      <c r="Z116" s="101"/>
      <c r="AB116" s="30" t="s">
        <v>131</v>
      </c>
      <c r="AC116" s="31" t="s">
        <v>132</v>
      </c>
      <c r="AD116" s="31"/>
      <c r="AE116" s="22"/>
      <c r="AF116" s="31" t="s">
        <v>133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134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134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135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135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136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134</v>
      </c>
    </row>
    <row r="119" customFormat="false" ht="19.5" hidden="false" customHeight="false" outlineLevel="0" collapsed="false">
      <c r="A119" s="30" t="s">
        <v>137</v>
      </c>
      <c r="B119" s="31" t="s">
        <v>138</v>
      </c>
      <c r="C119" s="31"/>
      <c r="D119" s="31"/>
      <c r="E119" s="31" t="s">
        <v>139</v>
      </c>
      <c r="F119" s="31"/>
      <c r="G119" s="31"/>
      <c r="H119" s="32"/>
      <c r="J119" s="30" t="s">
        <v>137</v>
      </c>
      <c r="K119" s="31" t="s">
        <v>138</v>
      </c>
      <c r="L119" s="31"/>
      <c r="M119" s="31"/>
      <c r="N119" s="31" t="s">
        <v>139</v>
      </c>
      <c r="O119" s="31"/>
      <c r="P119" s="31"/>
      <c r="Q119" s="32"/>
      <c r="S119" s="30" t="s">
        <v>137</v>
      </c>
      <c r="T119" s="31" t="s">
        <v>138</v>
      </c>
      <c r="U119" s="31"/>
      <c r="V119" s="31"/>
      <c r="W119" s="31" t="s">
        <v>139</v>
      </c>
      <c r="X119" s="31"/>
      <c r="Y119" s="31"/>
      <c r="Z119" s="32"/>
      <c r="AB119" s="30" t="s">
        <v>137</v>
      </c>
      <c r="AC119" s="31" t="s">
        <v>138</v>
      </c>
      <c r="AD119" s="31"/>
      <c r="AE119" s="31"/>
      <c r="AF119" s="31" t="s">
        <v>139</v>
      </c>
      <c r="AG119" s="31"/>
      <c r="AH119" s="31"/>
      <c r="AI119" s="32"/>
    </row>
    <row r="120" customFormat="false" ht="19.5" hidden="false" customHeight="false" outlineLevel="0" collapsed="false">
      <c r="A120" s="39" t="s">
        <v>390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140</v>
      </c>
      <c r="B122" s="31" t="s">
        <v>141</v>
      </c>
      <c r="C122" s="31"/>
      <c r="D122" s="31"/>
      <c r="E122" s="31" t="s">
        <v>142</v>
      </c>
      <c r="F122" s="31"/>
      <c r="G122" s="22"/>
      <c r="H122" s="101"/>
      <c r="J122" s="109" t="s">
        <v>140</v>
      </c>
      <c r="K122" s="31" t="s">
        <v>141</v>
      </c>
      <c r="L122" s="31"/>
      <c r="M122" s="31"/>
      <c r="N122" s="31" t="s">
        <v>142</v>
      </c>
      <c r="O122" s="31"/>
      <c r="P122" s="22"/>
      <c r="Q122" s="101"/>
      <c r="S122" s="109" t="s">
        <v>140</v>
      </c>
      <c r="T122" s="31" t="s">
        <v>141</v>
      </c>
      <c r="U122" s="31"/>
      <c r="V122" s="31"/>
      <c r="W122" s="31" t="s">
        <v>142</v>
      </c>
      <c r="X122" s="31"/>
      <c r="Y122" s="22"/>
      <c r="Z122" s="101"/>
      <c r="AB122" s="109" t="s">
        <v>140</v>
      </c>
      <c r="AC122" s="31" t="s">
        <v>141</v>
      </c>
      <c r="AD122" s="31"/>
      <c r="AE122" s="31"/>
      <c r="AF122" s="31" t="s">
        <v>142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398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144</v>
      </c>
      <c r="B126" s="27"/>
      <c r="C126" s="27"/>
      <c r="D126" s="27"/>
      <c r="E126" s="27"/>
      <c r="F126" s="27"/>
      <c r="G126" s="27"/>
      <c r="H126" s="27"/>
      <c r="J126" s="27" t="s">
        <v>144</v>
      </c>
      <c r="K126" s="27"/>
      <c r="L126" s="27"/>
      <c r="M126" s="27"/>
      <c r="N126" s="27"/>
      <c r="O126" s="27"/>
      <c r="P126" s="27"/>
      <c r="Q126" s="27"/>
      <c r="S126" s="27" t="s">
        <v>144</v>
      </c>
      <c r="T126" s="27"/>
      <c r="U126" s="27"/>
      <c r="V126" s="27"/>
      <c r="W126" s="27"/>
      <c r="X126" s="27"/>
      <c r="Y126" s="27"/>
      <c r="Z126" s="27"/>
      <c r="AB126" s="27" t="s">
        <v>144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145</v>
      </c>
      <c r="C128" s="113"/>
      <c r="D128" s="113" t="s">
        <v>146</v>
      </c>
      <c r="E128" s="113"/>
      <c r="F128" s="113" t="s">
        <v>147</v>
      </c>
      <c r="G128" s="113"/>
      <c r="H128" s="114" t="s">
        <v>148</v>
      </c>
      <c r="J128" s="77"/>
      <c r="K128" s="113" t="s">
        <v>145</v>
      </c>
      <c r="L128" s="113"/>
      <c r="M128" s="113" t="s">
        <v>146</v>
      </c>
      <c r="N128" s="113"/>
      <c r="O128" s="113" t="s">
        <v>147</v>
      </c>
      <c r="P128" s="113"/>
      <c r="Q128" s="114" t="s">
        <v>148</v>
      </c>
      <c r="S128" s="77"/>
      <c r="T128" s="113" t="s">
        <v>145</v>
      </c>
      <c r="U128" s="113"/>
      <c r="V128" s="113" t="s">
        <v>146</v>
      </c>
      <c r="W128" s="113"/>
      <c r="X128" s="113" t="s">
        <v>147</v>
      </c>
      <c r="Y128" s="113"/>
      <c r="Z128" s="114" t="s">
        <v>148</v>
      </c>
      <c r="AB128" s="77"/>
      <c r="AC128" s="113" t="s">
        <v>145</v>
      </c>
      <c r="AD128" s="113"/>
      <c r="AE128" s="113" t="s">
        <v>146</v>
      </c>
      <c r="AF128" s="113"/>
      <c r="AG128" s="113" t="s">
        <v>147</v>
      </c>
      <c r="AH128" s="113"/>
      <c r="AI128" s="114" t="s">
        <v>148</v>
      </c>
    </row>
    <row r="129" customFormat="false" ht="21.75" hidden="false" customHeight="false" outlineLevel="0" collapsed="false">
      <c r="A129" s="79"/>
      <c r="B129" s="115" t="s">
        <v>149</v>
      </c>
      <c r="C129" s="116" t="s">
        <v>150</v>
      </c>
      <c r="D129" s="115" t="s">
        <v>149</v>
      </c>
      <c r="E129" s="117" t="s">
        <v>150</v>
      </c>
      <c r="F129" s="115" t="s">
        <v>149</v>
      </c>
      <c r="G129" s="117" t="s">
        <v>150</v>
      </c>
      <c r="H129" s="118"/>
      <c r="J129" s="79"/>
      <c r="K129" s="115" t="s">
        <v>149</v>
      </c>
      <c r="L129" s="116" t="s">
        <v>150</v>
      </c>
      <c r="M129" s="115" t="s">
        <v>149</v>
      </c>
      <c r="N129" s="117" t="s">
        <v>150</v>
      </c>
      <c r="O129" s="115" t="s">
        <v>149</v>
      </c>
      <c r="P129" s="117" t="s">
        <v>150</v>
      </c>
      <c r="Q129" s="118"/>
      <c r="S129" s="79"/>
      <c r="T129" s="115" t="s">
        <v>149</v>
      </c>
      <c r="U129" s="116" t="s">
        <v>150</v>
      </c>
      <c r="V129" s="115" t="s">
        <v>149</v>
      </c>
      <c r="W129" s="117" t="s">
        <v>150</v>
      </c>
      <c r="X129" s="115" t="s">
        <v>149</v>
      </c>
      <c r="Y129" s="117" t="s">
        <v>150</v>
      </c>
      <c r="Z129" s="118"/>
      <c r="AB129" s="79"/>
      <c r="AC129" s="115" t="s">
        <v>149</v>
      </c>
      <c r="AD129" s="116" t="s">
        <v>150</v>
      </c>
      <c r="AE129" s="115" t="s">
        <v>149</v>
      </c>
      <c r="AF129" s="117" t="s">
        <v>150</v>
      </c>
      <c r="AG129" s="115" t="s">
        <v>149</v>
      </c>
      <c r="AH129" s="117" t="s">
        <v>150</v>
      </c>
      <c r="AI129" s="118"/>
    </row>
    <row r="130" customFormat="false" ht="19.5" hidden="false" customHeight="false" outlineLevel="0" collapsed="false">
      <c r="A130" s="24" t="s">
        <v>151</v>
      </c>
      <c r="B130" s="24" t="n">
        <f aca="false">B3</f>
        <v>16745</v>
      </c>
      <c r="C130" s="39" t="n">
        <f aca="false">B130</f>
        <v>16745</v>
      </c>
      <c r="D130" s="24" t="n">
        <f aca="false">D3</f>
        <v>0</v>
      </c>
      <c r="E130" s="39" t="n">
        <f aca="false">D130</f>
        <v>0</v>
      </c>
      <c r="F130" s="24" t="n">
        <f aca="false">F3</f>
        <v>0</v>
      </c>
      <c r="G130" s="39" t="n">
        <f aca="false">F130</f>
        <v>0</v>
      </c>
      <c r="H130" s="121" t="n">
        <f aca="false">H3</f>
        <v>0</v>
      </c>
      <c r="J130" s="24" t="s">
        <v>151</v>
      </c>
      <c r="K130" s="24" t="n">
        <f aca="false">B3</f>
        <v>16745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0</v>
      </c>
      <c r="P130" s="39" t="n">
        <f aca="false">O130</f>
        <v>0</v>
      </c>
      <c r="Q130" s="121" t="n">
        <f aca="false">H3</f>
        <v>0</v>
      </c>
      <c r="S130" s="24" t="s">
        <v>151</v>
      </c>
      <c r="T130" s="24" t="n">
        <f aca="false">B3</f>
        <v>16745</v>
      </c>
      <c r="U130" s="39" t="n">
        <f aca="false">T130</f>
        <v>16745</v>
      </c>
      <c r="V130" s="24" t="n">
        <f aca="false">D3</f>
        <v>0</v>
      </c>
      <c r="W130" s="39" t="n">
        <f aca="false">V130</f>
        <v>0</v>
      </c>
      <c r="X130" s="24" t="n">
        <f aca="false">F3</f>
        <v>0</v>
      </c>
      <c r="Y130" s="39" t="n">
        <f aca="false">X130</f>
        <v>0</v>
      </c>
      <c r="Z130" s="121" t="n">
        <f aca="false">H3</f>
        <v>0</v>
      </c>
      <c r="AB130" s="24" t="s">
        <v>151</v>
      </c>
      <c r="AC130" s="24" t="n">
        <f aca="false">B3</f>
        <v>16745</v>
      </c>
      <c r="AD130" s="39" t="n">
        <f aca="false">AC130</f>
        <v>16745</v>
      </c>
      <c r="AE130" s="24" t="n">
        <f aca="false">D3</f>
        <v>0</v>
      </c>
      <c r="AF130" s="39" t="n">
        <f aca="false">AE130</f>
        <v>0</v>
      </c>
      <c r="AG130" s="24" t="n">
        <f aca="false">F3</f>
        <v>0</v>
      </c>
      <c r="AH130" s="39" t="n">
        <f aca="false">AG130</f>
        <v>0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152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152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152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152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153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153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153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153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154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154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154</v>
      </c>
      <c r="T133" s="30" t="n">
        <f aca="false">(T130*T131)+T132</f>
        <v>0</v>
      </c>
      <c r="U133" s="26" t="n">
        <f aca="false">(U130*U131)+U132</f>
        <v>4186.25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154</v>
      </c>
      <c r="AC133" s="30" t="n">
        <f aca="false">(AC130*AC131)+AC132</f>
        <v>0</v>
      </c>
      <c r="AD133" s="26" t="n">
        <f aca="false">(AD130*AD131)+AD132</f>
        <v>4186.25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155</v>
      </c>
      <c r="B134" s="55" t="n">
        <f aca="false">B130-B133</f>
        <v>16745</v>
      </c>
      <c r="C134" s="64" t="n">
        <f aca="false">C130-C133</f>
        <v>16745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0</v>
      </c>
      <c r="G134" s="64" t="n">
        <f aca="false">G130-G133</f>
        <v>0</v>
      </c>
      <c r="H134" s="64"/>
      <c r="J134" s="55" t="s">
        <v>155</v>
      </c>
      <c r="K134" s="55" t="n">
        <f aca="false">K130-K133</f>
        <v>16745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0</v>
      </c>
      <c r="P134" s="64" t="n">
        <f aca="false">P130-P133</f>
        <v>0</v>
      </c>
      <c r="Q134" s="64"/>
      <c r="S134" s="55" t="s">
        <v>155</v>
      </c>
      <c r="T134" s="55" t="n">
        <f aca="false">T130-T133</f>
        <v>16745</v>
      </c>
      <c r="U134" s="64" t="n">
        <f aca="false">U130-U133</f>
        <v>12558.75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0</v>
      </c>
      <c r="Y134" s="64" t="n">
        <f aca="false">Y130-Y133</f>
        <v>0</v>
      </c>
      <c r="Z134" s="64"/>
      <c r="AB134" s="55" t="s">
        <v>155</v>
      </c>
      <c r="AC134" s="55" t="n">
        <f aca="false">AC130-AC133</f>
        <v>16745</v>
      </c>
      <c r="AD134" s="64" t="n">
        <f aca="false">AD130-AD133</f>
        <v>12558.75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0</v>
      </c>
      <c r="AH134" s="64" t="n">
        <f aca="false">AH130-AH133</f>
        <v>0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149</v>
      </c>
      <c r="H136" s="136" t="s">
        <v>150</v>
      </c>
      <c r="J136" s="133"/>
      <c r="K136" s="137"/>
      <c r="L136" s="137"/>
      <c r="M136" s="137"/>
      <c r="N136" s="137"/>
      <c r="O136" s="137"/>
      <c r="P136" s="138" t="s">
        <v>149</v>
      </c>
      <c r="Q136" s="136" t="s">
        <v>150</v>
      </c>
      <c r="S136" s="133"/>
      <c r="T136" s="137"/>
      <c r="U136" s="137"/>
      <c r="V136" s="137"/>
      <c r="W136" s="137"/>
      <c r="X136" s="137"/>
      <c r="Y136" s="138" t="s">
        <v>149</v>
      </c>
      <c r="Z136" s="136" t="s">
        <v>150</v>
      </c>
      <c r="AB136" s="133"/>
      <c r="AC136" s="137"/>
      <c r="AD136" s="137"/>
      <c r="AE136" s="137"/>
      <c r="AF136" s="137"/>
      <c r="AG136" s="137"/>
      <c r="AH136" s="138" t="s">
        <v>149</v>
      </c>
      <c r="AI136" s="136" t="s">
        <v>150</v>
      </c>
    </row>
    <row r="137" customFormat="false" ht="18.75" hidden="false" customHeight="false" outlineLevel="0" collapsed="false">
      <c r="A137" s="139" t="s">
        <v>156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156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156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156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157</v>
      </c>
      <c r="B139" s="143" t="s">
        <v>158</v>
      </c>
      <c r="C139" s="143"/>
      <c r="D139" s="143" t="s">
        <v>159</v>
      </c>
      <c r="E139" s="143"/>
      <c r="F139" s="143" t="s">
        <v>153</v>
      </c>
      <c r="G139" s="143"/>
      <c r="H139" s="144" t="s">
        <v>150</v>
      </c>
      <c r="J139" s="146" t="s">
        <v>157</v>
      </c>
      <c r="K139" s="147" t="s">
        <v>158</v>
      </c>
      <c r="L139" s="147"/>
      <c r="M139" s="143" t="s">
        <v>159</v>
      </c>
      <c r="N139" s="143"/>
      <c r="O139" s="143" t="s">
        <v>153</v>
      </c>
      <c r="P139" s="143"/>
      <c r="Q139" s="144" t="s">
        <v>150</v>
      </c>
      <c r="S139" s="146" t="s">
        <v>157</v>
      </c>
      <c r="T139" s="143" t="s">
        <v>158</v>
      </c>
      <c r="U139" s="143"/>
      <c r="V139" s="143" t="s">
        <v>159</v>
      </c>
      <c r="W139" s="143"/>
      <c r="X139" s="143" t="s">
        <v>153</v>
      </c>
      <c r="Y139" s="143"/>
      <c r="Z139" s="144" t="s">
        <v>150</v>
      </c>
      <c r="AB139" s="146" t="s">
        <v>157</v>
      </c>
      <c r="AC139" s="143" t="s">
        <v>158</v>
      </c>
      <c r="AD139" s="143"/>
      <c r="AE139" s="143" t="s">
        <v>159</v>
      </c>
      <c r="AF139" s="143"/>
      <c r="AG139" s="143" t="s">
        <v>153</v>
      </c>
      <c r="AH139" s="143"/>
      <c r="AI139" s="144" t="s">
        <v>150</v>
      </c>
    </row>
    <row r="140" customFormat="false" ht="19.5" hidden="false" customHeight="false" outlineLevel="0" collapsed="false">
      <c r="A140" s="30" t="s">
        <v>160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160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160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160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161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161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161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161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162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162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162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162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163</v>
      </c>
      <c r="B144" s="151"/>
      <c r="C144" s="151"/>
      <c r="D144" s="151"/>
      <c r="E144" s="151"/>
      <c r="F144" s="151"/>
      <c r="G144" s="138" t="n">
        <f aca="false">H9</f>
        <v>16745</v>
      </c>
      <c r="H144" s="152" t="n">
        <f aca="false">C134+E134+G134+H137</f>
        <v>16745</v>
      </c>
      <c r="J144" s="151" t="s">
        <v>163</v>
      </c>
      <c r="K144" s="151"/>
      <c r="L144" s="151"/>
      <c r="M144" s="151"/>
      <c r="N144" s="151"/>
      <c r="O144" s="151"/>
      <c r="P144" s="138" t="n">
        <f aca="false">H9</f>
        <v>16745</v>
      </c>
      <c r="Q144" s="152" t="n">
        <f aca="false">L134+N134+P134+Q137</f>
        <v>28629.17</v>
      </c>
      <c r="S144" s="151" t="s">
        <v>163</v>
      </c>
      <c r="T144" s="151"/>
      <c r="U144" s="151"/>
      <c r="V144" s="151"/>
      <c r="W144" s="151"/>
      <c r="X144" s="151"/>
      <c r="Y144" s="138" t="n">
        <f aca="false">H9</f>
        <v>16745</v>
      </c>
      <c r="Z144" s="152" t="n">
        <f aca="false">U134+W134+Y134+Z137</f>
        <v>12558.75</v>
      </c>
      <c r="AB144" s="151" t="s">
        <v>163</v>
      </c>
      <c r="AC144" s="151"/>
      <c r="AD144" s="151"/>
      <c r="AE144" s="151"/>
      <c r="AF144" s="151"/>
      <c r="AG144" s="151"/>
      <c r="AH144" s="138" t="n">
        <f aca="false">H9</f>
        <v>16745</v>
      </c>
      <c r="AI144" s="152" t="n">
        <f aca="false">AD134+AF134+AH134+AI137</f>
        <v>12558.75</v>
      </c>
    </row>
    <row r="145" customFormat="false" ht="18.75" hidden="false" customHeight="false" outlineLevel="0" collapsed="false">
      <c r="A145" s="153" t="s">
        <v>164</v>
      </c>
      <c r="B145" s="153"/>
      <c r="C145" s="153"/>
      <c r="D145" s="153"/>
      <c r="E145" s="153"/>
      <c r="F145" s="153"/>
      <c r="G145" s="155" t="n">
        <f aca="false">H10</f>
        <v>695</v>
      </c>
      <c r="H145" s="32" t="n">
        <f aca="false">G145</f>
        <v>695</v>
      </c>
      <c r="J145" s="153" t="s">
        <v>164</v>
      </c>
      <c r="K145" s="153"/>
      <c r="L145" s="153"/>
      <c r="M145" s="153"/>
      <c r="N145" s="153"/>
      <c r="O145" s="153"/>
      <c r="P145" s="155" t="n">
        <f aca="false">H10</f>
        <v>695</v>
      </c>
      <c r="Q145" s="32" t="n">
        <f aca="false">P145</f>
        <v>695</v>
      </c>
      <c r="S145" s="153" t="s">
        <v>164</v>
      </c>
      <c r="T145" s="153"/>
      <c r="U145" s="153"/>
      <c r="V145" s="153"/>
      <c r="W145" s="153"/>
      <c r="X145" s="153"/>
      <c r="Y145" s="155" t="n">
        <f aca="false">H10</f>
        <v>695</v>
      </c>
      <c r="Z145" s="32" t="n">
        <f aca="false">Y145</f>
        <v>695</v>
      </c>
      <c r="AB145" s="153" t="s">
        <v>164</v>
      </c>
      <c r="AC145" s="153"/>
      <c r="AD145" s="153"/>
      <c r="AE145" s="153"/>
      <c r="AF145" s="153"/>
      <c r="AG145" s="153"/>
      <c r="AH145" s="155" t="n">
        <f aca="false">H10</f>
        <v>695</v>
      </c>
      <c r="AI145" s="32" t="n">
        <f aca="false">AH145</f>
        <v>695</v>
      </c>
    </row>
    <row r="146" customFormat="false" ht="18.75" hidden="false" customHeight="false" outlineLevel="0" collapsed="false">
      <c r="A146" s="153" t="s">
        <v>165</v>
      </c>
      <c r="B146" s="153"/>
      <c r="C146" s="153"/>
      <c r="D146" s="153"/>
      <c r="E146" s="153"/>
      <c r="F146" s="153"/>
      <c r="G146" s="155" t="n">
        <f aca="false">H11</f>
        <v>3488</v>
      </c>
      <c r="H146" s="32" t="n">
        <f aca="false">(H144+H145)*20%</f>
        <v>3488</v>
      </c>
      <c r="J146" s="153" t="s">
        <v>165</v>
      </c>
      <c r="K146" s="153"/>
      <c r="L146" s="153"/>
      <c r="M146" s="153"/>
      <c r="N146" s="153"/>
      <c r="O146" s="153"/>
      <c r="P146" s="155" t="n">
        <f aca="false">H11</f>
        <v>3488</v>
      </c>
      <c r="Q146" s="32" t="n">
        <f aca="false">(Q144+Q145)*20%</f>
        <v>5864.834</v>
      </c>
      <c r="S146" s="153" t="s">
        <v>165</v>
      </c>
      <c r="T146" s="153"/>
      <c r="U146" s="153"/>
      <c r="V146" s="153"/>
      <c r="W146" s="153"/>
      <c r="X146" s="153"/>
      <c r="Y146" s="155" t="n">
        <f aca="false">H11</f>
        <v>3488</v>
      </c>
      <c r="Z146" s="32" t="n">
        <f aca="false">(Z144+Z145)*20%</f>
        <v>2650.75</v>
      </c>
      <c r="AB146" s="153" t="s">
        <v>165</v>
      </c>
      <c r="AC146" s="153"/>
      <c r="AD146" s="153"/>
      <c r="AE146" s="153"/>
      <c r="AF146" s="153"/>
      <c r="AG146" s="153"/>
      <c r="AH146" s="155" t="n">
        <f aca="false">H11</f>
        <v>3488</v>
      </c>
      <c r="AI146" s="32" t="n">
        <f aca="false">(AI144+AI145)*20%</f>
        <v>2650.75</v>
      </c>
    </row>
    <row r="147" customFormat="false" ht="18.75" hidden="false" customHeight="false" outlineLevel="0" collapsed="false">
      <c r="A147" s="153" t="s">
        <v>166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166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166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166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167</v>
      </c>
      <c r="B148" s="153"/>
      <c r="C148" s="153"/>
      <c r="D148" s="153"/>
      <c r="E148" s="153"/>
      <c r="F148" s="153"/>
      <c r="G148" s="155" t="n">
        <f aca="false">H13</f>
        <v>275</v>
      </c>
      <c r="H148" s="32" t="n">
        <f aca="false">G148</f>
        <v>275</v>
      </c>
      <c r="J148" s="153" t="s">
        <v>167</v>
      </c>
      <c r="K148" s="153"/>
      <c r="L148" s="153"/>
      <c r="M148" s="153"/>
      <c r="N148" s="153"/>
      <c r="O148" s="153"/>
      <c r="P148" s="155" t="n">
        <f aca="false">H13</f>
        <v>275</v>
      </c>
      <c r="Q148" s="32" t="n">
        <f aca="false">P148</f>
        <v>275</v>
      </c>
      <c r="S148" s="153" t="s">
        <v>167</v>
      </c>
      <c r="T148" s="153"/>
      <c r="U148" s="153"/>
      <c r="V148" s="153"/>
      <c r="W148" s="153"/>
      <c r="X148" s="153"/>
      <c r="Y148" s="155" t="n">
        <f aca="false">H13</f>
        <v>275</v>
      </c>
      <c r="Z148" s="32" t="n">
        <f aca="false">Y148</f>
        <v>275</v>
      </c>
      <c r="AB148" s="153" t="s">
        <v>167</v>
      </c>
      <c r="AC148" s="153"/>
      <c r="AD148" s="153"/>
      <c r="AE148" s="153"/>
      <c r="AF148" s="153"/>
      <c r="AG148" s="153"/>
      <c r="AH148" s="155" t="n">
        <f aca="false">H13</f>
        <v>275</v>
      </c>
      <c r="AI148" s="32" t="n">
        <f aca="false">AH148</f>
        <v>275</v>
      </c>
    </row>
    <row r="149" customFormat="false" ht="19.5" hidden="false" customHeight="false" outlineLevel="0" collapsed="false">
      <c r="A149" s="153" t="s">
        <v>168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168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168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168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169</v>
      </c>
      <c r="B150" s="153"/>
      <c r="C150" s="153"/>
      <c r="D150" s="153"/>
      <c r="E150" s="153"/>
      <c r="F150" s="153"/>
      <c r="G150" s="157" t="n">
        <f aca="false">H15</f>
        <v>21268</v>
      </c>
      <c r="H150" s="156" t="n">
        <f aca="false">(H144+H145+H148+H149+H146)-H147</f>
        <v>21268</v>
      </c>
      <c r="J150" s="153" t="s">
        <v>169</v>
      </c>
      <c r="K150" s="153"/>
      <c r="L150" s="153"/>
      <c r="M150" s="153"/>
      <c r="N150" s="153"/>
      <c r="O150" s="153"/>
      <c r="P150" s="157" t="n">
        <f aca="false">H15</f>
        <v>21268</v>
      </c>
      <c r="Q150" s="156" t="n">
        <f aca="false">(Q144+Q145+Q148+Q149+Q146)-Q147</f>
        <v>35519.004</v>
      </c>
      <c r="S150" s="153" t="s">
        <v>169</v>
      </c>
      <c r="T150" s="153"/>
      <c r="U150" s="153"/>
      <c r="V150" s="153"/>
      <c r="W150" s="153"/>
      <c r="X150" s="153"/>
      <c r="Y150" s="157" t="n">
        <f aca="false">H15</f>
        <v>21268</v>
      </c>
      <c r="Z150" s="156" t="n">
        <f aca="false">(Z144+Z145+Z148+Z149+Z146)-Z147</f>
        <v>16234.5</v>
      </c>
      <c r="AB150" s="153" t="s">
        <v>169</v>
      </c>
      <c r="AC150" s="153"/>
      <c r="AD150" s="153"/>
      <c r="AE150" s="153"/>
      <c r="AF150" s="153"/>
      <c r="AG150" s="153"/>
      <c r="AH150" s="157" t="n">
        <f aca="false">H15</f>
        <v>21268</v>
      </c>
      <c r="AI150" s="156" t="n">
        <f aca="false">(AI144+AI145+AI148+AI149+AI146)-AI147</f>
        <v>16234.5</v>
      </c>
    </row>
    <row r="151" customFormat="false" ht="19.5" hidden="false" customHeight="false" outlineLevel="0" collapsed="false">
      <c r="A151" s="153" t="s">
        <v>170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170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170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170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171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171</v>
      </c>
      <c r="K152" s="158"/>
      <c r="L152" s="158"/>
      <c r="M152" s="158"/>
      <c r="N152" s="158"/>
      <c r="O152" s="158"/>
      <c r="P152" s="37"/>
      <c r="Q152" s="32"/>
      <c r="S152" s="110" t="s">
        <v>171</v>
      </c>
      <c r="T152" s="110"/>
      <c r="U152" s="110"/>
      <c r="V152" s="110"/>
      <c r="W152" s="110"/>
      <c r="X152" s="110"/>
      <c r="Y152" s="37"/>
      <c r="Z152" s="32"/>
      <c r="AB152" s="110" t="s">
        <v>171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172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172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172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172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172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172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172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172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172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172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172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172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173</v>
      </c>
      <c r="B156" s="153"/>
      <c r="C156" s="153"/>
      <c r="D156" s="153"/>
      <c r="E156" s="153"/>
      <c r="F156" s="153"/>
      <c r="G156" s="157" t="n">
        <f aca="false">G150-((G153*1.2)+(G154*1.2)+(G155*1.2)+(G151*1.2))</f>
        <v>21268</v>
      </c>
      <c r="H156" s="163" t="n">
        <f aca="false">H150-((H153*1.2)+(H154*1.2)+(H155*1.2)+(H151*1.2))</f>
        <v>21268</v>
      </c>
      <c r="J156" s="164" t="s">
        <v>173</v>
      </c>
      <c r="K156" s="164"/>
      <c r="L156" s="164"/>
      <c r="M156" s="164"/>
      <c r="N156" s="164"/>
      <c r="O156" s="164"/>
      <c r="P156" s="157" t="n">
        <f aca="false">P150-((P153*1.2)+(P154*1.2)+(P155*1.2)+(P151*1.2))</f>
        <v>21268</v>
      </c>
      <c r="Q156" s="163" t="n">
        <f aca="false">Q150-((Q153*1.2)+(Q154*1.2)+(Q155*1.2)+(Q151*1.2))</f>
        <v>35519.004</v>
      </c>
      <c r="S156" s="153" t="s">
        <v>173</v>
      </c>
      <c r="T156" s="153"/>
      <c r="U156" s="153"/>
      <c r="V156" s="153"/>
      <c r="W156" s="153"/>
      <c r="X156" s="153"/>
      <c r="Y156" s="157" t="n">
        <f aca="false">Y150-((Y153*1.2)+(Y154*1.2)+(Y155*1.2)+(Y151*1.2))</f>
        <v>21268</v>
      </c>
      <c r="Z156" s="163" t="n">
        <f aca="false">Z150-((Z153*1.2)+(Z154*1.2)+(Z155*1.2)+(Z151*1.2))</f>
        <v>16234.5</v>
      </c>
      <c r="AB156" s="153" t="s">
        <v>173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21268</v>
      </c>
      <c r="AI156" s="163" t="n">
        <f aca="false">AI150-((AI153*1.2)+(AI154*1.2)+(AI155*1.2)+(AI151*1.2))</f>
        <v>16234.5</v>
      </c>
    </row>
    <row r="157" customFormat="false" ht="19.5" hidden="false" customHeight="false" outlineLevel="0" collapsed="false">
      <c r="A157" s="153" t="s">
        <v>174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-16890</v>
      </c>
      <c r="J157" s="153" t="s">
        <v>174</v>
      </c>
      <c r="K157" s="153"/>
      <c r="L157" s="153"/>
      <c r="M157" s="153"/>
      <c r="N157" s="153"/>
      <c r="O157" s="153"/>
      <c r="P157" s="155"/>
      <c r="Q157" s="39" t="n">
        <f aca="false">Q156-P156</f>
        <v>14251.004</v>
      </c>
      <c r="S157" s="153" t="s">
        <v>174</v>
      </c>
      <c r="T157" s="153"/>
      <c r="U157" s="153"/>
      <c r="V157" s="153"/>
      <c r="W157" s="153"/>
      <c r="X157" s="153"/>
      <c r="Y157" s="155"/>
      <c r="Z157" s="39" t="n">
        <f aca="false">Z156-Y156</f>
        <v>-5033.5</v>
      </c>
      <c r="AB157" s="153" t="s">
        <v>174</v>
      </c>
      <c r="AC157" s="153"/>
      <c r="AD157" s="153"/>
      <c r="AE157" s="153"/>
      <c r="AF157" s="153"/>
      <c r="AG157" s="153"/>
      <c r="AH157" s="155"/>
      <c r="AI157" s="39" t="n">
        <f aca="false">AI156-AH156</f>
        <v>-5033.5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175</v>
      </c>
      <c r="B159" s="27"/>
      <c r="C159" s="27"/>
      <c r="D159" s="27"/>
      <c r="E159" s="27"/>
      <c r="F159" s="27"/>
      <c r="G159" s="27"/>
      <c r="H159" s="27"/>
      <c r="J159" s="27" t="s">
        <v>175</v>
      </c>
      <c r="K159" s="27"/>
      <c r="L159" s="27"/>
      <c r="M159" s="27"/>
      <c r="N159" s="27"/>
      <c r="O159" s="27"/>
      <c r="P159" s="27"/>
      <c r="Q159" s="27"/>
      <c r="S159" s="27" t="s">
        <v>175</v>
      </c>
      <c r="T159" s="27"/>
      <c r="U159" s="27"/>
      <c r="V159" s="27"/>
      <c r="W159" s="27"/>
      <c r="X159" s="27"/>
      <c r="Y159" s="27"/>
      <c r="Z159" s="27"/>
      <c r="AB159" s="27" t="s">
        <v>175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176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176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176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176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177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177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177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177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178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178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178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178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179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179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179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179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180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180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180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180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181</v>
      </c>
      <c r="B167" s="31"/>
      <c r="C167" s="31"/>
      <c r="D167" s="22"/>
      <c r="E167" s="31"/>
      <c r="F167" s="22"/>
      <c r="G167" s="169" t="n">
        <f aca="false">H156-G163-G166</f>
        <v>21268</v>
      </c>
      <c r="H167" s="169"/>
      <c r="J167" s="168" t="s">
        <v>181</v>
      </c>
      <c r="K167" s="31"/>
      <c r="L167" s="31"/>
      <c r="M167" s="22"/>
      <c r="N167" s="31"/>
      <c r="O167" s="22"/>
      <c r="P167" s="169" t="n">
        <f aca="false">Q156-P163-P166</f>
        <v>36519.004</v>
      </c>
      <c r="Q167" s="169"/>
      <c r="S167" s="168" t="s">
        <v>181</v>
      </c>
      <c r="T167" s="31"/>
      <c r="U167" s="31"/>
      <c r="V167" s="22"/>
      <c r="W167" s="31"/>
      <c r="X167" s="22"/>
      <c r="Y167" s="169" t="n">
        <f aca="false">Z156-Y163-Y166</f>
        <v>17234.5</v>
      </c>
      <c r="Z167" s="169"/>
      <c r="AB167" s="168" t="s">
        <v>181</v>
      </c>
      <c r="AC167" s="31"/>
      <c r="AD167" s="31"/>
      <c r="AE167" s="22"/>
      <c r="AF167" s="31"/>
      <c r="AG167" s="22"/>
      <c r="AH167" s="169" t="n">
        <f aca="false">AI156-AH163-AH166</f>
        <v>17234.5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182</v>
      </c>
      <c r="B171" s="27"/>
      <c r="C171" s="27"/>
      <c r="D171" s="27"/>
      <c r="E171" s="27"/>
      <c r="F171" s="27"/>
      <c r="G171" s="27"/>
      <c r="H171" s="27"/>
      <c r="J171" s="27" t="s">
        <v>182</v>
      </c>
      <c r="K171" s="27"/>
      <c r="L171" s="27"/>
      <c r="M171" s="27"/>
      <c r="N171" s="27"/>
      <c r="O171" s="27"/>
      <c r="P171" s="27"/>
      <c r="Q171" s="27"/>
      <c r="S171" s="27" t="s">
        <v>182</v>
      </c>
      <c r="T171" s="27"/>
      <c r="U171" s="27"/>
      <c r="V171" s="27"/>
      <c r="W171" s="27"/>
      <c r="X171" s="27"/>
      <c r="Y171" s="27"/>
      <c r="Z171" s="27"/>
      <c r="AB171" s="27" t="s">
        <v>182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183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183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183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183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184</v>
      </c>
      <c r="B175" s="173" t="s">
        <v>185</v>
      </c>
      <c r="C175" s="173"/>
      <c r="D175" s="173"/>
      <c r="E175" s="173" t="s">
        <v>186</v>
      </c>
      <c r="F175" s="22"/>
      <c r="G175" s="22" t="s">
        <v>187</v>
      </c>
      <c r="H175" s="32"/>
      <c r="J175" s="172" t="s">
        <v>184</v>
      </c>
      <c r="K175" s="174" t="s">
        <v>185</v>
      </c>
      <c r="L175" s="174"/>
      <c r="M175" s="174"/>
      <c r="N175" s="174" t="s">
        <v>186</v>
      </c>
      <c r="O175" s="22"/>
      <c r="P175" s="22"/>
      <c r="Q175" s="32"/>
      <c r="S175" s="172" t="s">
        <v>184</v>
      </c>
      <c r="T175" s="174" t="s">
        <v>185</v>
      </c>
      <c r="U175" s="174"/>
      <c r="V175" s="174"/>
      <c r="W175" s="174" t="s">
        <v>186</v>
      </c>
      <c r="X175" s="22"/>
      <c r="Y175" s="22"/>
      <c r="Z175" s="32"/>
      <c r="AB175" s="172" t="s">
        <v>184</v>
      </c>
      <c r="AC175" s="174" t="s">
        <v>185</v>
      </c>
      <c r="AD175" s="174"/>
      <c r="AE175" s="174"/>
      <c r="AF175" s="174" t="s">
        <v>186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546.961609847631</v>
      </c>
      <c r="B176" s="176" t="n">
        <f aca="false">B103</f>
        <v>80.4375</v>
      </c>
      <c r="C176" s="173"/>
      <c r="D176" s="173"/>
      <c r="E176" s="176" t="n">
        <f aca="false">B105</f>
        <v>627.399109847631</v>
      </c>
      <c r="F176" s="22"/>
      <c r="G176" s="22" t="n">
        <f aca="false">ROUND(G104,2)</f>
        <v>486.01</v>
      </c>
      <c r="H176" s="32"/>
      <c r="J176" s="175" t="n">
        <f aca="false">K104</f>
        <v>1522.35059507587</v>
      </c>
      <c r="K176" s="177" t="n">
        <f aca="false">K103</f>
        <v>0</v>
      </c>
      <c r="L176" s="174"/>
      <c r="M176" s="174"/>
      <c r="N176" s="177" t="n">
        <f aca="false">K105</f>
        <v>1522.35059507587</v>
      </c>
      <c r="O176" s="22"/>
      <c r="P176" s="22"/>
      <c r="Q176" s="32"/>
      <c r="S176" s="175" t="n">
        <f aca="false">T104</f>
        <v>634.549742547474</v>
      </c>
      <c r="T176" s="177" t="n">
        <f aca="false">T103</f>
        <v>0</v>
      </c>
      <c r="U176" s="174"/>
      <c r="V176" s="174"/>
      <c r="W176" s="177" t="n">
        <f aca="false">T105</f>
        <v>634.549742547474</v>
      </c>
      <c r="X176" s="22"/>
      <c r="Y176" s="22"/>
      <c r="Z176" s="32"/>
      <c r="AB176" s="175" t="n">
        <f aca="false">AC104</f>
        <v>634.549742547474</v>
      </c>
      <c r="AC176" s="177" t="n">
        <f aca="false">AC103</f>
        <v>0</v>
      </c>
      <c r="AD176" s="174"/>
      <c r="AE176" s="174"/>
      <c r="AF176" s="177" t="n">
        <f aca="false">AC105</f>
        <v>634.549742547474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188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188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188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188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189</v>
      </c>
      <c r="B181" s="92" t="s">
        <v>190</v>
      </c>
      <c r="C181" s="92"/>
      <c r="D181" s="22"/>
      <c r="E181" s="92" t="s">
        <v>191</v>
      </c>
      <c r="F181" s="22"/>
      <c r="G181" s="22"/>
      <c r="H181" s="32"/>
      <c r="J181" s="30" t="s">
        <v>189</v>
      </c>
      <c r="K181" s="31" t="s">
        <v>190</v>
      </c>
      <c r="L181" s="31"/>
      <c r="M181" s="22"/>
      <c r="N181" s="31" t="s">
        <v>191</v>
      </c>
      <c r="O181" s="22"/>
      <c r="P181" s="22"/>
      <c r="Q181" s="32"/>
      <c r="S181" s="30" t="s">
        <v>189</v>
      </c>
      <c r="T181" s="31" t="s">
        <v>190</v>
      </c>
      <c r="U181" s="31"/>
      <c r="V181" s="22"/>
      <c r="W181" s="31" t="s">
        <v>191</v>
      </c>
      <c r="X181" s="22"/>
      <c r="Y181" s="22"/>
      <c r="Z181" s="32"/>
      <c r="AB181" s="30" t="s">
        <v>189</v>
      </c>
      <c r="AC181" s="31" t="s">
        <v>190</v>
      </c>
      <c r="AD181" s="31"/>
      <c r="AE181" s="22"/>
      <c r="AF181" s="31" t="s">
        <v>191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17440</v>
      </c>
      <c r="B182" s="102" t="n">
        <f aca="false">H146</f>
        <v>3488</v>
      </c>
      <c r="C182" s="185"/>
      <c r="D182" s="22"/>
      <c r="E182" s="181" t="n">
        <f aca="false">H148+H149</f>
        <v>340</v>
      </c>
      <c r="F182" s="22"/>
      <c r="G182" s="22"/>
      <c r="H182" s="32"/>
      <c r="J182" s="184" t="n">
        <f aca="false">Q150-Q146-Q148-Q149</f>
        <v>29324.17</v>
      </c>
      <c r="K182" s="37" t="n">
        <f aca="false">Q146</f>
        <v>5864.834</v>
      </c>
      <c r="L182" s="42"/>
      <c r="M182" s="22"/>
      <c r="N182" s="183" t="n">
        <f aca="false">Q148+Q149</f>
        <v>330</v>
      </c>
      <c r="O182" s="22"/>
      <c r="P182" s="22"/>
      <c r="Q182" s="32"/>
      <c r="S182" s="184" t="n">
        <f aca="false">Z150-Z146-Z148-Z149</f>
        <v>13253.75</v>
      </c>
      <c r="T182" s="37" t="n">
        <f aca="false">Z146</f>
        <v>2650.75</v>
      </c>
      <c r="U182" s="42"/>
      <c r="V182" s="22"/>
      <c r="W182" s="183" t="n">
        <f aca="false">Z148+Z149</f>
        <v>330</v>
      </c>
      <c r="X182" s="22"/>
      <c r="Y182" s="22"/>
      <c r="Z182" s="32"/>
      <c r="AB182" s="184" t="n">
        <f aca="false">AI150-AI146-AI148-AI149</f>
        <v>13253.75</v>
      </c>
      <c r="AC182" s="37" t="n">
        <f aca="false">AI146</f>
        <v>2650.75</v>
      </c>
      <c r="AD182" s="42"/>
      <c r="AE182" s="22"/>
      <c r="AF182" s="183" t="n">
        <f aca="false">AI148+AI149</f>
        <v>330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192</v>
      </c>
      <c r="B184" s="92" t="s">
        <v>138</v>
      </c>
      <c r="C184" s="92"/>
      <c r="D184" s="22"/>
      <c r="E184" s="92" t="s">
        <v>139</v>
      </c>
      <c r="F184" s="22"/>
      <c r="G184" s="22"/>
      <c r="H184" s="32"/>
      <c r="J184" s="30" t="s">
        <v>192</v>
      </c>
      <c r="K184" s="31" t="s">
        <v>138</v>
      </c>
      <c r="L184" s="31"/>
      <c r="M184" s="22"/>
      <c r="N184" s="31" t="s">
        <v>139</v>
      </c>
      <c r="O184" s="22"/>
      <c r="P184" s="22"/>
      <c r="Q184" s="32"/>
      <c r="S184" s="30" t="s">
        <v>192</v>
      </c>
      <c r="T184" s="31" t="s">
        <v>138</v>
      </c>
      <c r="U184" s="31"/>
      <c r="V184" s="22"/>
      <c r="W184" s="31" t="s">
        <v>139</v>
      </c>
      <c r="X184" s="22"/>
      <c r="Y184" s="22"/>
      <c r="Z184" s="32"/>
      <c r="AB184" s="30" t="s">
        <v>192</v>
      </c>
      <c r="AC184" s="31" t="s">
        <v>138</v>
      </c>
      <c r="AD184" s="31"/>
      <c r="AE184" s="22"/>
      <c r="AF184" s="31" t="s">
        <v>139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21268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35519.004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16234.5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16234.5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140</v>
      </c>
      <c r="B187" s="92" t="s">
        <v>176</v>
      </c>
      <c r="C187" s="92"/>
      <c r="D187" s="22"/>
      <c r="E187" s="92" t="s">
        <v>181</v>
      </c>
      <c r="F187" s="22"/>
      <c r="G187" s="22"/>
      <c r="H187" s="32"/>
      <c r="J187" s="30" t="s">
        <v>140</v>
      </c>
      <c r="K187" s="31" t="s">
        <v>176</v>
      </c>
      <c r="L187" s="31"/>
      <c r="M187" s="22"/>
      <c r="N187" s="31" t="s">
        <v>181</v>
      </c>
      <c r="O187" s="22"/>
      <c r="P187" s="22"/>
      <c r="Q187" s="32"/>
      <c r="S187" s="30" t="s">
        <v>140</v>
      </c>
      <c r="T187" s="31" t="s">
        <v>176</v>
      </c>
      <c r="U187" s="31"/>
      <c r="V187" s="22"/>
      <c r="W187" s="31" t="s">
        <v>181</v>
      </c>
      <c r="X187" s="22"/>
      <c r="Y187" s="22"/>
      <c r="Z187" s="32"/>
      <c r="AB187" s="30" t="s">
        <v>140</v>
      </c>
      <c r="AC187" s="31" t="s">
        <v>176</v>
      </c>
      <c r="AD187" s="31"/>
      <c r="AE187" s="22"/>
      <c r="AF187" s="31" t="s">
        <v>181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21268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36519.004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17234.5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17234.5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193</v>
      </c>
      <c r="B190" s="92" t="s">
        <v>53</v>
      </c>
      <c r="C190" s="92"/>
      <c r="D190" s="22"/>
      <c r="E190" s="92" t="s">
        <v>194</v>
      </c>
      <c r="F190" s="22"/>
      <c r="G190" s="22"/>
      <c r="H190" s="32"/>
      <c r="J190" s="30" t="s">
        <v>193</v>
      </c>
      <c r="K190" s="31" t="s">
        <v>53</v>
      </c>
      <c r="L190" s="31"/>
      <c r="M190" s="22"/>
      <c r="N190" s="31" t="s">
        <v>194</v>
      </c>
      <c r="O190" s="22"/>
      <c r="P190" s="22"/>
      <c r="Q190" s="32"/>
      <c r="S190" s="30" t="s">
        <v>193</v>
      </c>
      <c r="T190" s="31" t="s">
        <v>53</v>
      </c>
      <c r="U190" s="31"/>
      <c r="V190" s="22"/>
      <c r="W190" s="31" t="s">
        <v>194</v>
      </c>
      <c r="X190" s="22"/>
      <c r="Y190" s="22"/>
      <c r="Z190" s="32"/>
      <c r="AB190" s="30" t="s">
        <v>193</v>
      </c>
      <c r="AC190" s="31" t="s">
        <v>53</v>
      </c>
      <c r="AD190" s="31"/>
      <c r="AE190" s="22"/>
      <c r="AF190" s="31" t="s">
        <v>194</v>
      </c>
      <c r="AG190" s="22"/>
      <c r="AH190" s="22"/>
      <c r="AI190" s="32"/>
    </row>
    <row r="191" customFormat="false" ht="18.75" hidden="false" customHeight="false" outlineLevel="0" collapsed="false">
      <c r="A191" s="110" t="n">
        <f aca="false">(A176*B68)+E194-E188-A194</f>
        <v>3434.77151512419</v>
      </c>
      <c r="B191" s="102" t="str">
        <f aca="false">B123</f>
        <v>239.99</v>
      </c>
      <c r="C191" s="102"/>
      <c r="D191" s="22"/>
      <c r="E191" s="102" t="n">
        <f aca="false">E188+A191+B191+A194</f>
        <v>24952.7615151242</v>
      </c>
      <c r="F191" s="22"/>
      <c r="G191" s="22"/>
      <c r="H191" s="104"/>
      <c r="J191" s="110" t="n">
        <f aca="false">(J176*K68)+N194-N188-J194</f>
        <v>12208.2150424278</v>
      </c>
      <c r="K191" s="37" t="n">
        <f aca="false">K123</f>
        <v>239.99</v>
      </c>
      <c r="L191" s="37"/>
      <c r="M191" s="22"/>
      <c r="N191" s="37" t="n">
        <f aca="false">N188+J191+K191+J194</f>
        <v>48987.2090424278</v>
      </c>
      <c r="O191" s="22"/>
      <c r="P191" s="22"/>
      <c r="Q191" s="104"/>
      <c r="S191" s="110" t="n">
        <f aca="false">(S176*T68)+W194-W188-S194</f>
        <v>3083.09176151916</v>
      </c>
      <c r="T191" s="37" t="n">
        <f aca="false">T123</f>
        <v>199.99</v>
      </c>
      <c r="U191" s="37"/>
      <c r="V191" s="22"/>
      <c r="W191" s="37" t="n">
        <f aca="false">W188+S191+T191+S194</f>
        <v>20527.5817615192</v>
      </c>
      <c r="X191" s="22"/>
      <c r="Y191" s="22"/>
      <c r="Z191" s="104"/>
      <c r="AB191" s="110" t="n">
        <f aca="false">(AB176*AC68)+AF194-AF188-AB194</f>
        <v>3083.09176151916</v>
      </c>
      <c r="AC191" s="37" t="n">
        <f aca="false">AC123</f>
        <v>239.99</v>
      </c>
      <c r="AD191" s="37"/>
      <c r="AE191" s="22"/>
      <c r="AF191" s="37" t="n">
        <f aca="false">AF188+AB191+AC191+AB194</f>
        <v>20567.5817615192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195</v>
      </c>
      <c r="B193" s="92" t="s">
        <v>196</v>
      </c>
      <c r="C193" s="92"/>
      <c r="D193" s="22"/>
      <c r="E193" s="92" t="s">
        <v>197</v>
      </c>
      <c r="F193" s="22"/>
      <c r="G193" s="22"/>
      <c r="H193" s="32"/>
      <c r="J193" s="30" t="s">
        <v>195</v>
      </c>
      <c r="K193" s="31" t="s">
        <v>196</v>
      </c>
      <c r="L193" s="31"/>
      <c r="M193" s="22"/>
      <c r="N193" s="31" t="s">
        <v>197</v>
      </c>
      <c r="O193" s="22"/>
      <c r="P193" s="22"/>
      <c r="Q193" s="32"/>
      <c r="S193" s="30" t="s">
        <v>195</v>
      </c>
      <c r="T193" s="31" t="s">
        <v>196</v>
      </c>
      <c r="U193" s="31"/>
      <c r="V193" s="22"/>
      <c r="W193" s="31" t="s">
        <v>197</v>
      </c>
      <c r="X193" s="22"/>
      <c r="Y193" s="22"/>
      <c r="Z193" s="32"/>
      <c r="AB193" s="30" t="s">
        <v>195</v>
      </c>
      <c r="AC193" s="31" t="s">
        <v>196</v>
      </c>
      <c r="AD193" s="31"/>
      <c r="AE193" s="22"/>
      <c r="AF193" s="31" t="s">
        <v>197</v>
      </c>
      <c r="AG193" s="22"/>
      <c r="AH193" s="22"/>
      <c r="AI193" s="32"/>
    </row>
    <row r="194" customFormat="false" ht="18.7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E179+A194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198</v>
      </c>
      <c r="B196" s="92" t="s">
        <v>199</v>
      </c>
      <c r="C196" s="92"/>
      <c r="D196" s="92"/>
      <c r="E196" s="165" t="s">
        <v>200</v>
      </c>
      <c r="F196" s="22"/>
      <c r="G196" s="22"/>
      <c r="H196" s="32"/>
      <c r="J196" s="30" t="s">
        <v>198</v>
      </c>
      <c r="K196" s="31" t="s">
        <v>199</v>
      </c>
      <c r="L196" s="31"/>
      <c r="M196" s="31"/>
      <c r="N196" s="38" t="s">
        <v>200</v>
      </c>
      <c r="O196" s="22"/>
      <c r="P196" s="22"/>
      <c r="Q196" s="32"/>
      <c r="S196" s="30" t="s">
        <v>198</v>
      </c>
      <c r="T196" s="31" t="s">
        <v>199</v>
      </c>
      <c r="U196" s="31"/>
      <c r="V196" s="31"/>
      <c r="W196" s="38" t="s">
        <v>200</v>
      </c>
      <c r="X196" s="31"/>
      <c r="Y196" s="31"/>
      <c r="Z196" s="32"/>
      <c r="AB196" s="30" t="s">
        <v>198</v>
      </c>
      <c r="AC196" s="31" t="s">
        <v>199</v>
      </c>
      <c r="AD196" s="31"/>
      <c r="AE196" s="31"/>
      <c r="AF196" s="38" t="s">
        <v>200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5.02272</v>
      </c>
      <c r="B197" s="102" t="n">
        <f aca="false">(G167*B76)/1.2</f>
        <v>166.15625</v>
      </c>
      <c r="C197" s="92"/>
      <c r="D197" s="92"/>
      <c r="E197" s="102" t="n">
        <f aca="false">IF(E114="YES",(K55*A117*0.1),0)</f>
        <v>49.5</v>
      </c>
      <c r="F197" s="22"/>
      <c r="G197" s="22"/>
      <c r="H197" s="32"/>
      <c r="J197" s="110" t="n">
        <f aca="false">IF(N114="YES",H15*0.000002,0)</f>
        <v>0.042536</v>
      </c>
      <c r="K197" s="37" t="n">
        <f aca="false">(P167*K76)/1.2</f>
        <v>2187.33617708333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134.64453125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134.64453125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201</v>
      </c>
      <c r="B199" s="165" t="s">
        <v>202</v>
      </c>
      <c r="C199" s="92"/>
      <c r="D199" s="92"/>
      <c r="E199" s="165" t="s">
        <v>203</v>
      </c>
      <c r="F199" s="22"/>
      <c r="G199" s="22"/>
      <c r="H199" s="32"/>
      <c r="J199" s="59" t="s">
        <v>201</v>
      </c>
      <c r="K199" s="38" t="s">
        <v>202</v>
      </c>
      <c r="L199" s="31"/>
      <c r="M199" s="31"/>
      <c r="N199" s="38" t="s">
        <v>203</v>
      </c>
      <c r="O199" s="22"/>
      <c r="P199" s="22"/>
      <c r="Q199" s="32"/>
      <c r="S199" s="59" t="s">
        <v>201</v>
      </c>
      <c r="T199" s="38" t="s">
        <v>202</v>
      </c>
      <c r="U199" s="31"/>
      <c r="V199" s="31"/>
      <c r="W199" s="38" t="s">
        <v>203</v>
      </c>
      <c r="X199" s="31"/>
      <c r="Y199" s="31"/>
      <c r="Z199" s="32"/>
      <c r="AB199" s="59" t="s">
        <v>201</v>
      </c>
      <c r="AC199" s="38" t="s">
        <v>202</v>
      </c>
      <c r="AD199" s="31"/>
      <c r="AE199" s="31"/>
      <c r="AF199" s="38" t="s">
        <v>203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315.647916666667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3327.32617708333</v>
      </c>
      <c r="L200" s="31"/>
      <c r="M200" s="31"/>
      <c r="N200" s="37" t="n">
        <f aca="false">Q157</f>
        <v>14251.004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1234.63453125</v>
      </c>
      <c r="U200" s="31"/>
      <c r="V200" s="31"/>
      <c r="W200" s="37" t="n">
        <f aca="false">Z157</f>
        <v>-5033.5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1274.63453125</v>
      </c>
      <c r="AD200" s="31"/>
      <c r="AE200" s="31"/>
      <c r="AF200" s="37" t="n">
        <f aca="false">AI157</f>
        <v>-5033.5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204</v>
      </c>
      <c r="B202" s="92"/>
      <c r="C202" s="92"/>
      <c r="D202" s="66"/>
      <c r="E202" s="66"/>
      <c r="F202" s="66"/>
      <c r="G202" s="66"/>
      <c r="H202" s="67"/>
      <c r="J202" s="65" t="s">
        <v>204</v>
      </c>
      <c r="K202" s="31"/>
      <c r="L202" s="31"/>
      <c r="M202" s="66"/>
      <c r="N202" s="66"/>
      <c r="O202" s="66"/>
      <c r="P202" s="66"/>
      <c r="Q202" s="67"/>
      <c r="S202" s="65" t="s">
        <v>204</v>
      </c>
      <c r="T202" s="31"/>
      <c r="U202" s="31"/>
      <c r="V202" s="66"/>
      <c r="W202" s="66"/>
      <c r="X202" s="66"/>
      <c r="Y202" s="66"/>
      <c r="Z202" s="67"/>
      <c r="AB202" s="65" t="s">
        <v>204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627.399109847631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1522.35059507587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634.549742547474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634.549742547474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205</v>
      </c>
      <c r="B209" s="92" t="s">
        <v>206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8.75" hidden="false" customHeight="false" outlineLevel="0" collapsed="false">
      <c r="A210" s="35" t="n">
        <f aca="false">(G176*B68)+E194-E188-A194</f>
        <v>1484.32</v>
      </c>
      <c r="B210" s="185" t="n">
        <f aca="false">E188+A210+B191+A194</f>
        <v>23002.31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182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127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207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184</v>
      </c>
      <c r="B220" s="191" t="s">
        <v>185</v>
      </c>
      <c r="C220" s="191"/>
      <c r="D220" s="191"/>
      <c r="E220" s="191" t="s">
        <v>186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546.961609847631</v>
      </c>
      <c r="B221" s="176" t="n">
        <f aca="false">B176</f>
        <v>80.4375</v>
      </c>
      <c r="C221" s="173"/>
      <c r="D221" s="173"/>
      <c r="E221" s="176" t="n">
        <f aca="false">E176</f>
        <v>627.399109847631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189</v>
      </c>
      <c r="B223" s="92" t="s">
        <v>190</v>
      </c>
      <c r="C223" s="92"/>
      <c r="D223" s="112"/>
      <c r="E223" s="92" t="s">
        <v>191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17440</v>
      </c>
      <c r="B224" s="102" t="n">
        <f aca="false">B182</f>
        <v>3488</v>
      </c>
      <c r="C224" s="185"/>
      <c r="D224" s="112"/>
      <c r="E224" s="181" t="n">
        <f aca="false">E182</f>
        <v>340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192</v>
      </c>
      <c r="B226" s="92" t="s">
        <v>138</v>
      </c>
      <c r="C226" s="92"/>
      <c r="D226" s="112"/>
      <c r="E226" s="92" t="s">
        <v>139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21268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140</v>
      </c>
      <c r="B229" s="92" t="s">
        <v>176</v>
      </c>
      <c r="C229" s="92"/>
      <c r="D229" s="112"/>
      <c r="E229" s="92" t="s">
        <v>181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21268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193</v>
      </c>
      <c r="B232" s="92" t="s">
        <v>53</v>
      </c>
      <c r="C232" s="92"/>
      <c r="D232" s="112"/>
      <c r="E232" s="92" t="s">
        <v>194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3434.77151512419</v>
      </c>
      <c r="B233" s="102" t="str">
        <f aca="false">B191</f>
        <v>239.99</v>
      </c>
      <c r="C233" s="102"/>
      <c r="D233" s="112"/>
      <c r="E233" s="102" t="n">
        <f aca="false">E191</f>
        <v>24952.7615151242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195</v>
      </c>
      <c r="B235" s="92" t="s">
        <v>196</v>
      </c>
      <c r="C235" s="92"/>
      <c r="D235" s="112"/>
      <c r="E235" s="92" t="s">
        <v>208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184</v>
      </c>
      <c r="B238" s="92" t="s">
        <v>185</v>
      </c>
      <c r="C238" s="92"/>
      <c r="D238" s="92"/>
      <c r="E238" s="92" t="s">
        <v>186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546.961609847631</v>
      </c>
      <c r="B239" s="102" t="n">
        <f aca="false">B176</f>
        <v>80.4375</v>
      </c>
      <c r="C239" s="185"/>
      <c r="D239" s="185"/>
      <c r="E239" s="102" t="n">
        <f aca="false">E176</f>
        <v>627.399109847631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209</v>
      </c>
      <c r="B241" s="92" t="s">
        <v>210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15.06816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211</v>
      </c>
      <c r="B244" s="165" t="s">
        <v>73</v>
      </c>
      <c r="C244" s="92"/>
      <c r="D244" s="92"/>
      <c r="E244" s="165" t="s">
        <v>132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5.02272</v>
      </c>
      <c r="B245" s="102" t="n">
        <f aca="false">E242+A245</f>
        <v>20.09088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212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213</v>
      </c>
      <c r="B248" s="92" t="s">
        <v>199</v>
      </c>
      <c r="C248" s="92"/>
      <c r="D248" s="92"/>
      <c r="E248" s="165" t="s">
        <v>200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166.15625</v>
      </c>
      <c r="C249" s="92"/>
      <c r="D249" s="92"/>
      <c r="E249" s="102" t="n">
        <f aca="false">E197</f>
        <v>49.5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201</v>
      </c>
      <c r="B251" s="165" t="s">
        <v>202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315.647916666667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214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215</v>
      </c>
      <c r="B262" s="195" t="n">
        <f aca="false">B72</f>
        <v>0.065</v>
      </c>
      <c r="C262" s="196"/>
      <c r="D262" s="197" t="s">
        <v>216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217</v>
      </c>
      <c r="B263" s="198" t="n">
        <f aca="false">(E191-B191)-(B210-B191-A194)</f>
        <v>1960.45151512419</v>
      </c>
      <c r="C263" s="196"/>
      <c r="D263" s="197" t="s">
        <v>218</v>
      </c>
      <c r="E263" s="197"/>
      <c r="F263" s="199" t="n">
        <f aca="false">F270+F276+F278+B279+B280</f>
        <v>199.3875</v>
      </c>
      <c r="G263" s="22"/>
      <c r="H263" s="32"/>
    </row>
    <row r="264" customFormat="false" ht="18.75" hidden="false" customHeight="false" outlineLevel="0" collapsed="false">
      <c r="A264" s="190" t="s">
        <v>219</v>
      </c>
      <c r="B264" s="199" t="n">
        <f aca="false">F271+B272</f>
        <v>594.991666666667</v>
      </c>
      <c r="C264" s="196"/>
      <c r="D264" s="197" t="s">
        <v>220</v>
      </c>
      <c r="E264" s="197"/>
      <c r="F264" s="199" t="n">
        <f aca="false">(B263-F263)+B264</f>
        <v>2356.05568179086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215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221</v>
      </c>
      <c r="B268" s="204" t="n">
        <f aca="false">B73</f>
        <v>0.05</v>
      </c>
      <c r="C268" s="31"/>
      <c r="D268" s="165" t="s">
        <v>222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216</v>
      </c>
      <c r="B269" s="208" t="n">
        <f aca="false">B92</f>
        <v>0.115</v>
      </c>
      <c r="C269" s="42"/>
      <c r="D269" s="165" t="s">
        <v>217</v>
      </c>
      <c r="E269" s="165"/>
      <c r="F269" s="145" t="n">
        <f aca="false">B263</f>
        <v>1960.45151512419</v>
      </c>
      <c r="G269" s="22"/>
      <c r="H269" s="32"/>
    </row>
    <row r="270" customFormat="false" ht="19.5" hidden="false" customHeight="false" outlineLevel="0" collapsed="false">
      <c r="A270" s="30" t="s">
        <v>223</v>
      </c>
      <c r="B270" s="208" t="n">
        <f aca="false">B76</f>
        <v>0.009375</v>
      </c>
      <c r="C270" s="31"/>
      <c r="D270" s="165" t="s">
        <v>223</v>
      </c>
      <c r="E270" s="165"/>
      <c r="F270" s="150" t="n">
        <f aca="false">B77</f>
        <v>199.3875</v>
      </c>
      <c r="G270" s="22"/>
      <c r="H270" s="32"/>
    </row>
    <row r="271" customFormat="false" ht="19.5" hidden="false" customHeight="false" outlineLevel="0" collapsed="false">
      <c r="A271" s="30" t="s">
        <v>224</v>
      </c>
      <c r="B271" s="204" t="n">
        <f aca="false">A117</f>
        <v>0.3</v>
      </c>
      <c r="C271" s="31"/>
      <c r="D271" s="165" t="s">
        <v>224</v>
      </c>
      <c r="E271" s="165"/>
      <c r="F271" s="145" t="n">
        <f aca="false">E249*10</f>
        <v>495</v>
      </c>
      <c r="G271" s="22"/>
      <c r="H271" s="32"/>
    </row>
    <row r="272" customFormat="false" ht="18.75" hidden="false" customHeight="false" outlineLevel="0" collapsed="false">
      <c r="A272" s="30" t="s">
        <v>225</v>
      </c>
      <c r="B272" s="145" t="n">
        <f aca="false">A252</f>
        <v>99.9916666666667</v>
      </c>
      <c r="C272" s="31"/>
      <c r="D272" s="38" t="s">
        <v>220</v>
      </c>
      <c r="E272" s="38"/>
      <c r="F272" s="145" t="n">
        <f aca="false">(B263-F263)+B264</f>
        <v>2356.05568179086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226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227</v>
      </c>
      <c r="B275" s="150" t="n">
        <v>0</v>
      </c>
      <c r="C275" s="31"/>
      <c r="D275" s="209" t="s">
        <v>228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229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230</v>
      </c>
      <c r="B277" s="210" t="s">
        <v>4</v>
      </c>
      <c r="C277" s="31"/>
      <c r="D277" s="165" t="s">
        <v>231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232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233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234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353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128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182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183</v>
      </c>
      <c r="B30" s="171" t="s">
        <v>348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66666.6666666667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354</v>
      </c>
      <c r="E32" s="215"/>
      <c r="F32" s="62"/>
      <c r="G32" s="217" t="s">
        <v>36</v>
      </c>
      <c r="I32" s="445" t="n">
        <v>6000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190.81237436313</v>
      </c>
      <c r="E33" s="215"/>
      <c r="F33" s="62"/>
      <c r="G33" s="218" t="s">
        <v>355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371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356</v>
      </c>
      <c r="B35" s="214" t="s">
        <v>357</v>
      </c>
      <c r="C35" s="214"/>
      <c r="D35" s="214" t="s">
        <v>358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140.81237436313</v>
      </c>
      <c r="B36" s="102" t="n">
        <f aca="false">IF(B26="YES",H42,"")</f>
        <v>50</v>
      </c>
      <c r="C36" s="220"/>
      <c r="D36" s="183" t="n">
        <f aca="false">H31</f>
        <v>66666.6666666667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359</v>
      </c>
      <c r="B39" s="214" t="s">
        <v>360</v>
      </c>
      <c r="C39" s="214"/>
      <c r="D39" s="214" t="s">
        <v>361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57161.3120530432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-39161.3120530432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362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363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364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372</v>
      </c>
      <c r="H44" s="237" t="n">
        <f aca="false">(H40/(1+H41)^(H34+1))</f>
        <v>13439.5850433384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373</v>
      </c>
      <c r="H45" s="237" t="n">
        <f aca="false">(H39-H44)</f>
        <v>4560.41495666158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374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368</v>
      </c>
      <c r="H47" s="237" t="n">
        <f aca="false">H45/H46</f>
        <v>140.81237436313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369</v>
      </c>
      <c r="H48" s="237" t="n">
        <f aca="false">IF(B26="YES",H47+H42,H47)</f>
        <v>190.81237436313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370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190.81237436313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375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37405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291" t="s">
        <v>277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278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223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223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229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165</v>
      </c>
      <c r="C74" s="214"/>
      <c r="D74" s="214"/>
      <c r="E74" s="215"/>
      <c r="F74" s="62"/>
      <c r="G74" s="291" t="s">
        <v>279</v>
      </c>
      <c r="H74" s="297" t="n">
        <v>165</v>
      </c>
      <c r="I74" s="214"/>
      <c r="J74" s="214"/>
      <c r="K74" s="215"/>
      <c r="L74" s="62"/>
      <c r="M74" s="427" t="s">
        <v>279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</v>
      </c>
      <c r="C75" s="214"/>
      <c r="D75" s="214"/>
      <c r="E75" s="215"/>
      <c r="F75" s="62"/>
      <c r="G75" s="294" t="s">
        <v>280</v>
      </c>
      <c r="H75" s="298" t="n">
        <v>0</v>
      </c>
      <c r="I75" s="214"/>
      <c r="J75" s="214"/>
      <c r="K75" s="215"/>
      <c r="L75" s="62"/>
      <c r="M75" s="429" t="s">
        <v>280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281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281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282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282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282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283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283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11955.4166666667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332.094907407407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140.81237436313</v>
      </c>
      <c r="C83" s="469"/>
      <c r="D83" s="214"/>
      <c r="E83" s="462" t="n">
        <f aca="false">B83+E80+E77+E64</f>
        <v>466.734442264365</v>
      </c>
      <c r="F83" s="62"/>
      <c r="G83" s="304" t="s">
        <v>105</v>
      </c>
      <c r="H83" s="305" t="n">
        <f aca="false">H47</f>
        <v>140.81237436313</v>
      </c>
      <c r="I83" s="214"/>
      <c r="J83" s="214"/>
      <c r="K83" s="215"/>
      <c r="L83" s="62"/>
      <c r="M83" s="304" t="s">
        <v>105</v>
      </c>
      <c r="N83" s="305" t="n">
        <f aca="false">H47</f>
        <v>140.81237436313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17024.6621437394</v>
      </c>
      <c r="C85" s="469"/>
      <c r="D85" s="469"/>
      <c r="E85" s="462" t="n">
        <f aca="false">B85/(B58+B57)</f>
        <v>472.907281770538</v>
      </c>
      <c r="F85" s="62"/>
      <c r="G85" s="287" t="s">
        <v>115</v>
      </c>
      <c r="H85" s="130" t="n">
        <f aca="false">((H83*H29)+H81)*1.2</f>
        <v>7361.99457248723</v>
      </c>
      <c r="I85" s="214"/>
      <c r="J85" s="214"/>
      <c r="K85" s="215"/>
      <c r="L85" s="62"/>
      <c r="M85" s="287" t="s">
        <v>115</v>
      </c>
      <c r="N85" s="130" t="n">
        <f aca="false">((N83*H29)+N81)</f>
        <v>5791.24547707269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144.218598232564</v>
      </c>
      <c r="C86" s="469" t="s">
        <v>232</v>
      </c>
      <c r="D86" s="214"/>
      <c r="E86" s="462" t="n">
        <f aca="false">B86/(B58+B57)</f>
        <v>4.00607217312678</v>
      </c>
      <c r="F86" s="62"/>
      <c r="G86" s="213" t="s">
        <v>116</v>
      </c>
      <c r="H86" s="299" t="n">
        <f aca="false">((((H83*H29)+H81))/(1-H70))*H70</f>
        <v>51.9705143277638</v>
      </c>
      <c r="I86" s="214"/>
      <c r="J86" s="214"/>
      <c r="K86" s="215"/>
      <c r="L86" s="62"/>
      <c r="M86" s="213" t="s">
        <v>116</v>
      </c>
      <c r="N86" s="299" t="n">
        <f aca="false">(N85/(1-N70))*N70</f>
        <v>49.0585538598332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17168.8807419719</v>
      </c>
      <c r="C87" s="469"/>
      <c r="D87" s="471"/>
      <c r="E87" s="462" t="n">
        <f aca="false">E86+E85</f>
        <v>476.913353943664</v>
      </c>
      <c r="F87" s="62"/>
      <c r="G87" s="284" t="s">
        <v>117</v>
      </c>
      <c r="H87" s="132" t="n">
        <f aca="false">IF(H110="YES",((H85+H86)-K114),(H85+H86))</f>
        <v>7413.96508681499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5840.30403093252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476.913353943665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180.828416751585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142.446439778842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541.913353943664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391.560124068658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318.056195876403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212" t="s">
        <v>341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376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216" t="s">
        <v>126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130</v>
      </c>
      <c r="Z97" s="62"/>
      <c r="AC97" s="385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213" t="s">
        <v>127</v>
      </c>
      <c r="N98" s="214" t="s">
        <v>23</v>
      </c>
      <c r="O98" s="214"/>
      <c r="P98" s="214" t="s">
        <v>285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1000</v>
      </c>
      <c r="E99" s="106"/>
      <c r="F99" s="62"/>
      <c r="G99" s="219" t="s">
        <v>286</v>
      </c>
      <c r="H99" s="311" t="s">
        <v>265</v>
      </c>
      <c r="I99" s="311"/>
      <c r="J99" s="106" t="n">
        <v>0</v>
      </c>
      <c r="K99" s="106"/>
      <c r="L99" s="62"/>
      <c r="M99" s="219" t="s">
        <v>286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377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213" t="s">
        <v>287</v>
      </c>
      <c r="N101" s="214" t="s">
        <v>288</v>
      </c>
      <c r="O101" s="214"/>
      <c r="P101" s="214" t="s">
        <v>289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267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268</v>
      </c>
      <c r="Z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219" t="s">
        <v>128</v>
      </c>
      <c r="N104" s="62" t="s">
        <v>131</v>
      </c>
      <c r="O104" s="214"/>
      <c r="P104" s="214" t="s">
        <v>142</v>
      </c>
      <c r="Q104" s="215"/>
      <c r="R104" s="62"/>
      <c r="S104" s="62"/>
      <c r="T104" s="62"/>
      <c r="U104" s="62"/>
      <c r="V104" s="62"/>
      <c r="W104" s="62"/>
      <c r="X104" s="62"/>
      <c r="Y104" s="62" t="s">
        <v>269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270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342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216" t="s">
        <v>290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291</v>
      </c>
      <c r="B110" s="221" t="s">
        <v>19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213" t="s">
        <v>291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</v>
      </c>
      <c r="E112" s="106" t="n">
        <v>6000</v>
      </c>
      <c r="F112" s="62"/>
      <c r="G112" s="213" t="s">
        <v>176</v>
      </c>
      <c r="H112" s="214"/>
      <c r="I112" s="214"/>
      <c r="J112" s="312" t="n">
        <v>0</v>
      </c>
      <c r="K112" s="106" t="n">
        <v>0</v>
      </c>
      <c r="L112" s="62"/>
      <c r="M112" s="213" t="s">
        <v>176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177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177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178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0</v>
      </c>
      <c r="K115" s="215"/>
      <c r="L115" s="62"/>
      <c r="M115" s="213" t="s">
        <v>179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287" t="s">
        <v>138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292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292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216" t="s">
        <v>293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213" t="s">
        <v>183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296</v>
      </c>
      <c r="H126" s="327" t="s">
        <v>297</v>
      </c>
      <c r="I126" s="327"/>
      <c r="J126" s="327" t="s">
        <v>298</v>
      </c>
      <c r="K126" s="215"/>
      <c r="L126" s="62"/>
      <c r="M126" s="326" t="s">
        <v>343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332" t="n">
        <f aca="false">H90</f>
        <v>180.828416751585</v>
      </c>
      <c r="H127" s="176" t="n">
        <f aca="false">IF(G105="YES",H89*H57,0)</f>
        <v>1264.39024390244</v>
      </c>
      <c r="I127" s="176"/>
      <c r="J127" s="333" t="n">
        <f aca="false">H91</f>
        <v>391.560124068658</v>
      </c>
      <c r="K127" s="215"/>
      <c r="L127" s="62"/>
      <c r="M127" s="332" t="n">
        <f aca="false">N90</f>
        <v>142.446439778842</v>
      </c>
      <c r="N127" s="176" t="n">
        <f aca="false">IF(M105="YES",N89*N57,0)</f>
        <v>1053.65853658537</v>
      </c>
      <c r="O127" s="176"/>
      <c r="P127" s="176" t="n">
        <f aca="false">N91</f>
        <v>318.056195876403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476.913353943665</v>
      </c>
      <c r="B128" s="320" t="n">
        <f aca="false">IF(A105="YES",B89,0)</f>
        <v>65</v>
      </c>
      <c r="C128" s="324"/>
      <c r="D128" s="320" t="n">
        <f aca="false">B91</f>
        <v>541.913353943664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476.913353943665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213" t="s">
        <v>344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1084.97050050951</v>
      </c>
      <c r="H133" s="102" t="n">
        <f aca="false">IF(G105="YES",H89*H57,0)</f>
        <v>1264.39024390244</v>
      </c>
      <c r="I133" s="220"/>
      <c r="J133" s="183" t="n">
        <f aca="false">H91*H57</f>
        <v>2349.36074441195</v>
      </c>
      <c r="K133" s="215"/>
      <c r="L133" s="62"/>
      <c r="M133" s="184" t="n">
        <f aca="false">N90*N57</f>
        <v>854.678638673052</v>
      </c>
      <c r="N133" s="102" t="n">
        <f aca="false">IF(M105="YES",N89*N57,0)</f>
        <v>1053.65853658537</v>
      </c>
      <c r="O133" s="220"/>
      <c r="P133" s="183" t="n">
        <f aca="false">N91*N57</f>
        <v>1908.33717525842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541.913353943664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476.913353943665</v>
      </c>
      <c r="B137" s="37" t="n">
        <f aca="false">IF(A105="YES",B89,0)</f>
        <v>65</v>
      </c>
      <c r="C137" s="316"/>
      <c r="D137" s="37" t="n">
        <f aca="false">B91</f>
        <v>541.913353943664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213" t="s">
        <v>141</v>
      </c>
      <c r="N138" s="214" t="s">
        <v>310</v>
      </c>
      <c r="O138" s="214"/>
      <c r="P138" s="214" t="s">
        <v>311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IF(A105="YES",B61*0.000002,0)*1.2*100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213" t="s">
        <v>313</v>
      </c>
      <c r="N141" s="214" t="s">
        <v>314</v>
      </c>
      <c r="O141" s="214"/>
      <c r="P141" s="214" t="s">
        <v>315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213" t="s">
        <v>317</v>
      </c>
      <c r="N144" s="214" t="s">
        <v>318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345</v>
      </c>
      <c r="N147" s="165" t="s">
        <v>346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985.99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323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391.560124068658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318.056195876403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541.913353943664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378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476.913353943665</v>
      </c>
      <c r="B177" s="354" t="n">
        <f aca="false">IF(A105="YES",B89,0)</f>
        <v>65</v>
      </c>
      <c r="C177" s="356"/>
      <c r="D177" s="354" t="n">
        <f aca="false">B91</f>
        <v>541.913353943664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476.913353943665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541.913353943664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476.913353943665</v>
      </c>
      <c r="B186" s="102" t="n">
        <f aca="false">IF(A105="YES",B89,0)</f>
        <v>65</v>
      </c>
      <c r="C186" s="352"/>
      <c r="D186" s="102" t="n">
        <f aca="false">B91</f>
        <v>541.913353943664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985.99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0.07</v>
      </c>
      <c r="C209" s="320" t="s">
        <v>217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432</v>
      </c>
      <c r="C211" s="319" t="s">
        <v>219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10447.99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D64</f>
        <v>10000</v>
      </c>
      <c r="C217" s="373" t="s">
        <v>223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B67</f>
        <v>432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(B77-(B77*(E219*100)))*0.1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B78-(B78*(E219*100))</f>
        <v>200</v>
      </c>
      <c r="C223" s="335" t="s">
        <v>220</v>
      </c>
      <c r="D223" s="316"/>
      <c r="E223" s="32" t="n">
        <f aca="false">(B217-B211+D211)</f>
        <v>10447.99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B71</f>
        <v>200</v>
      </c>
      <c r="C229" s="335" t="s">
        <v>228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B68</f>
        <v>0.0075</v>
      </c>
      <c r="C231" s="335" t="s">
        <v>231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B86</f>
        <v>144.218598232564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B79</f>
        <v>200</v>
      </c>
      <c r="C233" s="379" t="s">
        <v>330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B80</f>
        <v>200</v>
      </c>
      <c r="C235" s="383" t="s">
        <v>331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 t="n">
        <v>23125</v>
      </c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 t="n">
        <v>0</v>
      </c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 t="n">
        <v>0</v>
      </c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9.54545454545455</v>
      </c>
      <c r="E32" s="225"/>
      <c r="F32" s="62"/>
      <c r="G32" s="226" t="s">
        <v>243</v>
      </c>
      <c r="H32" s="224" t="n">
        <f aca="false">A41</f>
        <v>9.54545454545455</v>
      </c>
      <c r="J32" s="43" t="s">
        <v>37</v>
      </c>
      <c r="K32" s="44" t="s">
        <v>413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386</v>
      </c>
      <c r="P34" s="211"/>
    </row>
    <row r="35" customFormat="false" ht="19.5" hidden="false" customHeight="false" outlineLevel="0" collapsed="false">
      <c r="A35" s="225" t="n">
        <f aca="false">B32+D32</f>
        <v>509.545454545455</v>
      </c>
      <c r="B35" s="222" t="s">
        <v>396</v>
      </c>
      <c r="C35" s="222"/>
      <c r="D35" s="222" t="s">
        <v>385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414</v>
      </c>
      <c r="J36" s="43" t="s">
        <v>51</v>
      </c>
      <c r="K36" s="51" t="n">
        <f aca="false">K32-K34</f>
        <v>20268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390</v>
      </c>
      <c r="C38" s="222"/>
      <c r="D38" s="103" t="s">
        <v>387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9.54545454545455</v>
      </c>
      <c r="B41" s="240" t="n">
        <f aca="false">IF(B38="YES",D38+A41,D38)</f>
        <v>509.545454545455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384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9.54545454545455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509.909090909091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509.909090909091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17862.0274483356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199.3875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20268</v>
      </c>
      <c r="C81" s="92"/>
      <c r="D81" s="92"/>
      <c r="E81" s="112"/>
      <c r="F81" s="24" t="s">
        <v>106</v>
      </c>
      <c r="G81" s="26" t="n">
        <f aca="false">B81</f>
        <v>20268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0.137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0.0114166666666667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4950.38529500718</v>
      </c>
      <c r="C86" s="92" t="n">
        <f aca="false">(B82/((1+B84)^(B85+1)))</f>
        <v>4950.38529500718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26.6800219733353</v>
      </c>
      <c r="C87" s="92" t="n">
        <f aca="false">((1-(1/((1+B84)^B85)))/B84)</f>
        <v>26.6800219733353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15317.6147049928</v>
      </c>
      <c r="C88" s="92" t="n">
        <f aca="false">B81-B86</f>
        <v>15317.6147049928</v>
      </c>
      <c r="D88" s="92"/>
      <c r="E88" s="112"/>
      <c r="F88" s="30" t="s">
        <v>113</v>
      </c>
      <c r="G88" s="32" t="n">
        <f aca="false">G81-G86</f>
        <v>14243.6270487143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574.123016851398</v>
      </c>
      <c r="C89" s="92" t="n">
        <f aca="false">(B88/B87)</f>
        <v>574.123016851398</v>
      </c>
      <c r="D89" s="92"/>
      <c r="E89" s="112"/>
      <c r="F89" s="30" t="s">
        <v>114</v>
      </c>
      <c r="G89" s="32" t="n">
        <f aca="false">(G88/G87)</f>
        <v>486.005136521857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18371.9365392447</v>
      </c>
      <c r="C90" s="92"/>
      <c r="D90" s="92"/>
      <c r="E90" s="112"/>
      <c r="F90" s="30" t="s">
        <v>115</v>
      </c>
      <c r="G90" s="32" t="n">
        <f aca="false">((G89*(G85))+G77)</f>
        <v>15552.1643686994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18371.9365392447</v>
      </c>
      <c r="C92" s="92"/>
      <c r="D92" s="92"/>
      <c r="E92" s="112"/>
      <c r="F92" s="55" t="s">
        <v>117</v>
      </c>
      <c r="G92" s="64" t="n">
        <f aca="false">(G90+G91)</f>
        <v>15552.1643686994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14.175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574.123016851398</v>
      </c>
      <c r="C95" s="92"/>
      <c r="D95" s="92"/>
      <c r="E95" s="112"/>
      <c r="F95" s="94" t="s">
        <v>119</v>
      </c>
      <c r="G95" s="95" t="n">
        <f aca="false">G92/(G85)</f>
        <v>486.005136521857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588.298016851398</v>
      </c>
      <c r="C96" s="92"/>
      <c r="D96" s="92"/>
      <c r="E96" s="112"/>
      <c r="F96" s="96" t="s">
        <v>120</v>
      </c>
      <c r="G96" s="97" t="n">
        <f aca="false">G94+G95</f>
        <v>486.005136521857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394</v>
      </c>
      <c r="C108" s="106"/>
      <c r="D108" s="106" t="n">
        <v>0</v>
      </c>
      <c r="E108" s="107" t="n">
        <f aca="false">B83</f>
        <v>0.137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390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398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16745</v>
      </c>
      <c r="C125" s="132" t="n">
        <f aca="false">C121-C124</f>
        <v>16745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16745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3488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21268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21268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-16890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21268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175" t="n">
        <f aca="false">B95</f>
        <v>574.123016851398</v>
      </c>
      <c r="B167" s="176" t="n">
        <f aca="false">B94</f>
        <v>14.175</v>
      </c>
      <c r="C167" s="173"/>
      <c r="D167" s="173"/>
      <c r="E167" s="176" t="n">
        <f aca="false">B96</f>
        <v>588.298016851398</v>
      </c>
      <c r="F167" s="22"/>
      <c r="G167" s="22" t="n">
        <f aca="false">ROUND(G95,2)</f>
        <v>486.01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17440</v>
      </c>
      <c r="B173" s="102" t="n">
        <f aca="false">H137</f>
        <v>3488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21268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21268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4303.93653924473</v>
      </c>
      <c r="B182" s="102" t="str">
        <f aca="false">B114</f>
        <v>239.99</v>
      </c>
      <c r="C182" s="102"/>
      <c r="D182" s="22"/>
      <c r="E182" s="102" t="n">
        <f aca="false">E179+A182+B182+A185</f>
        <v>25821.9265392447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5.02272</v>
      </c>
      <c r="B188" s="102" t="n">
        <f aca="false">(G158*B67)/1.2</f>
        <v>166.15625</v>
      </c>
      <c r="C188" s="92"/>
      <c r="D188" s="92"/>
      <c r="E188" s="102" t="n">
        <f aca="false">IF(E105="YES",(H36*A108)*0.1,0)</f>
        <v>6.3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272.447916666667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588.298016851398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1484.32</v>
      </c>
      <c r="B201" s="185" t="n">
        <f aca="false">E179+A201+B182+A185</f>
        <v>23002.31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574.123016851398</v>
      </c>
      <c r="B212" s="176" t="n">
        <f aca="false">B167</f>
        <v>14.175</v>
      </c>
      <c r="C212" s="173"/>
      <c r="D212" s="173"/>
      <c r="E212" s="176" t="n">
        <f aca="false">E167</f>
        <v>588.298016851398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17440</v>
      </c>
      <c r="B215" s="102" t="n">
        <f aca="false">B173</f>
        <v>3488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21268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21268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4303.93653924473</v>
      </c>
      <c r="B224" s="102" t="str">
        <f aca="false">B182</f>
        <v>239.99</v>
      </c>
      <c r="C224" s="102"/>
      <c r="D224" s="112"/>
      <c r="E224" s="102" t="n">
        <f aca="false">E182</f>
        <v>25821.9265392447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574.123016851398</v>
      </c>
      <c r="B230" s="102" t="n">
        <f aca="false">B167</f>
        <v>14.175</v>
      </c>
      <c r="C230" s="185"/>
      <c r="D230" s="185"/>
      <c r="E230" s="102" t="n">
        <f aca="false">E167</f>
        <v>588.298016851398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15.06816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5.02272</v>
      </c>
      <c r="B236" s="102" t="n">
        <f aca="false">E233+A236</f>
        <v>20.09088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166.15625</v>
      </c>
      <c r="C240" s="92"/>
      <c r="D240" s="92"/>
      <c r="E240" s="102" t="n">
        <f aca="false">IF(E105="YES",(H36*A108)*0.1,0)</f>
        <v>6.3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272.447916666667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0.137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2829.61653924473</v>
      </c>
      <c r="C254" s="196"/>
      <c r="D254" s="197" t="s">
        <v>218</v>
      </c>
      <c r="E254" s="197"/>
      <c r="F254" s="199" t="n">
        <f aca="false">F261+F267+F269+B270+B271</f>
        <v>199.3875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162.991666666667</v>
      </c>
      <c r="C255" s="196"/>
      <c r="D255" s="197" t="s">
        <v>220</v>
      </c>
      <c r="E255" s="197"/>
      <c r="F255" s="199" t="n">
        <f aca="false">(B254-F254)+B255</f>
        <v>2793.2207059114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0.072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0.137</v>
      </c>
      <c r="C260" s="42"/>
      <c r="D260" s="165" t="s">
        <v>217</v>
      </c>
      <c r="E260" s="165"/>
      <c r="F260" s="145" t="n">
        <f aca="false">B254</f>
        <v>2829.61653924473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0.009375</v>
      </c>
      <c r="C261" s="31"/>
      <c r="D261" s="165" t="s">
        <v>223</v>
      </c>
      <c r="E261" s="165"/>
      <c r="F261" s="150" t="n">
        <f aca="false">B68</f>
        <v>199.3875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63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2793.2207059114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413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386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396</v>
      </c>
      <c r="C35" s="222"/>
      <c r="D35" s="222" t="s">
        <v>385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20268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389</v>
      </c>
      <c r="C38" s="222"/>
      <c r="D38" s="103" t="s">
        <v>387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384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17002.4078787606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199.3875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20268</v>
      </c>
      <c r="C81" s="92"/>
      <c r="D81" s="92"/>
      <c r="E81" s="112"/>
      <c r="F81" s="24" t="s">
        <v>106</v>
      </c>
      <c r="G81" s="26" t="n">
        <f aca="false">B81</f>
        <v>20268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15012.1760889046</v>
      </c>
      <c r="C88" s="92" t="n">
        <f aca="false">B81-B86</f>
        <v>15012.1760889046</v>
      </c>
      <c r="D88" s="92"/>
      <c r="E88" s="112"/>
      <c r="F88" s="30" t="s">
        <v>113</v>
      </c>
      <c r="G88" s="32" t="n">
        <f aca="false">G81-G86</f>
        <v>14243.6270487143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546.961609847631</v>
      </c>
      <c r="C89" s="92" t="n">
        <f aca="false">(B88/B87)</f>
        <v>546.961609847631</v>
      </c>
      <c r="D89" s="92"/>
      <c r="E89" s="112"/>
      <c r="F89" s="30" t="s">
        <v>114</v>
      </c>
      <c r="G89" s="32" t="n">
        <f aca="false">(G88/G87)</f>
        <v>486.005136521857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17502.7715151242</v>
      </c>
      <c r="C90" s="92"/>
      <c r="D90" s="92"/>
      <c r="E90" s="112"/>
      <c r="F90" s="30" t="s">
        <v>115</v>
      </c>
      <c r="G90" s="32" t="n">
        <f aca="false">((G89*(G85))+G77)</f>
        <v>15552.1643686994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17502.7715151242</v>
      </c>
      <c r="C92" s="92"/>
      <c r="D92" s="92"/>
      <c r="E92" s="112"/>
      <c r="F92" s="55" t="s">
        <v>117</v>
      </c>
      <c r="G92" s="64" t="n">
        <f aca="false">(G90+G91)</f>
        <v>15552.1643686994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546.961609847631</v>
      </c>
      <c r="C95" s="92"/>
      <c r="D95" s="92"/>
      <c r="E95" s="112"/>
      <c r="F95" s="94" t="s">
        <v>119</v>
      </c>
      <c r="G95" s="95" t="n">
        <f aca="false">G92/(G85)</f>
        <v>486.005136521857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546.961609847631</v>
      </c>
      <c r="C96" s="92"/>
      <c r="D96" s="92"/>
      <c r="E96" s="112"/>
      <c r="F96" s="96" t="s">
        <v>120</v>
      </c>
      <c r="G96" s="97" t="n">
        <f aca="false">G94+G95</f>
        <v>486.005136521857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389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394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390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388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 t="s">
        <v>18</v>
      </c>
      <c r="B120" s="115" t="n">
        <v>0</v>
      </c>
      <c r="C120" s="116" t="s">
        <v>150</v>
      </c>
      <c r="D120" s="115" t="s">
        <v>149</v>
      </c>
      <c r="E120" s="117" t="n">
        <v>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16745</v>
      </c>
      <c r="C125" s="132" t="n">
        <f aca="false">C121-C124</f>
        <v>16745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16745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3488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21268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21268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-16890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21268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175" t="n">
        <f aca="false">B95</f>
        <v>546.961609847631</v>
      </c>
      <c r="B167" s="176" t="str">
        <f aca="false">B94</f>
        <v>0</v>
      </c>
      <c r="C167" s="173"/>
      <c r="D167" s="173"/>
      <c r="E167" s="176" t="n">
        <f aca="false">B96</f>
        <v>546.961609847631</v>
      </c>
      <c r="F167" s="22"/>
      <c r="G167" s="22" t="n">
        <f aca="false">ROUND(G95,2)</f>
        <v>486.01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179" t="str">
        <f aca="false">H30</f>
        <v>5000</v>
      </c>
      <c r="C170" s="180"/>
      <c r="D170" s="22"/>
      <c r="E170" s="181" t="n">
        <v>7200.0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17440</v>
      </c>
      <c r="B173" s="102" t="n">
        <f aca="false">H137</f>
        <v>3488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21268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21268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3434.77151512419</v>
      </c>
      <c r="B182" s="102" t="str">
        <f aca="false">B114</f>
        <v>199.99</v>
      </c>
      <c r="C182" s="102"/>
      <c r="D182" s="22"/>
      <c r="E182" s="102" t="n">
        <f aca="false">E179+A182+(B182*1.2)+A185</f>
        <v>24952.7595151242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4.1856</v>
      </c>
      <c r="B188" s="102" t="n">
        <f aca="false">(G158*B67)/1.2</f>
        <v>166.15625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266.14625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546.961609847631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1484.32</v>
      </c>
      <c r="B201" s="185" t="n">
        <f aca="false">E179+A201+(B182*1.2)+A185</f>
        <v>23002.308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546.961609847631</v>
      </c>
      <c r="B212" s="176" t="str">
        <f aca="false">B167</f>
        <v>0</v>
      </c>
      <c r="C212" s="173"/>
      <c r="D212" s="173"/>
      <c r="E212" s="176" t="n">
        <f aca="false">E167</f>
        <v>546.961609847631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17440</v>
      </c>
      <c r="B215" s="102" t="n">
        <f aca="false">B173</f>
        <v>3488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21268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21268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3434.77151512419</v>
      </c>
      <c r="B224" s="102" t="str">
        <f aca="false">B182</f>
        <v>199.99</v>
      </c>
      <c r="C224" s="102"/>
      <c r="D224" s="112"/>
      <c r="E224" s="102" t="n">
        <f aca="false">E182</f>
        <v>24952.7595151242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546.961609847631</v>
      </c>
      <c r="B230" s="102" t="str">
        <f aca="false">B167</f>
        <v>0</v>
      </c>
      <c r="C230" s="185"/>
      <c r="D230" s="185"/>
      <c r="E230" s="102" t="n">
        <f aca="false">E167</f>
        <v>546.961609847631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12.5568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4.1856</v>
      </c>
      <c r="B236" s="102" t="n">
        <f aca="false">E233+A236</f>
        <v>16.7424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166.15625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266.14625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9" t="n">
        <f aca="false">(E182-B182)-(B201-B182-A185)</f>
        <v>1960.45151512419</v>
      </c>
      <c r="C254" s="196"/>
      <c r="D254" s="197" t="s">
        <v>218</v>
      </c>
      <c r="E254" s="197"/>
      <c r="F254" s="199" t="n">
        <f aca="false">F261+F267+F269+B270+B271</f>
        <v>199.3875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</v>
      </c>
      <c r="C255" s="196"/>
      <c r="D255" s="197" t="s">
        <v>220</v>
      </c>
      <c r="E255" s="197"/>
      <c r="F255" s="199" t="n">
        <f aca="false">(B254-F254)+B255</f>
        <v>1861.05401512419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0.115</v>
      </c>
      <c r="C260" s="42"/>
      <c r="D260" s="165" t="s">
        <v>217</v>
      </c>
      <c r="E260" s="165"/>
      <c r="F260" s="145" t="n">
        <f aca="false">B254</f>
        <v>1960.45151512419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0.009375</v>
      </c>
      <c r="C261" s="31"/>
      <c r="D261" s="165" t="s">
        <v>223</v>
      </c>
      <c r="E261" s="165"/>
      <c r="F261" s="150" t="n">
        <f aca="false">B68</f>
        <v>199.3875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1861.05401512419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9.54545454545455</v>
      </c>
      <c r="E32" s="225"/>
      <c r="F32" s="62"/>
      <c r="G32" s="226" t="s">
        <v>243</v>
      </c>
      <c r="H32" s="224" t="n">
        <f aca="false">A41</f>
        <v>9.54545454545455</v>
      </c>
      <c r="J32" s="43" t="s">
        <v>37</v>
      </c>
      <c r="K32" s="44" t="s">
        <v>413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386</v>
      </c>
      <c r="P34" s="211"/>
    </row>
    <row r="35" customFormat="false" ht="19.5" hidden="false" customHeight="false" outlineLevel="0" collapsed="false">
      <c r="A35" s="225" t="n">
        <f aca="false">B32+D32</f>
        <v>509.545454545455</v>
      </c>
      <c r="B35" s="222" t="s">
        <v>396</v>
      </c>
      <c r="C35" s="222"/>
      <c r="D35" s="222" t="s">
        <v>385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414</v>
      </c>
      <c r="J36" s="43" t="s">
        <v>51</v>
      </c>
      <c r="K36" s="51" t="n">
        <f aca="false">K32-K34</f>
        <v>20268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390</v>
      </c>
      <c r="C38" s="222"/>
      <c r="D38" s="103" t="s">
        <v>387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9.54545454545455</v>
      </c>
      <c r="B41" s="240" t="n">
        <f aca="false">IF(B38="YES",D38+A41,D38)</f>
        <v>509.545454545455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384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9.54545454545455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509.909090909091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509.909090909091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16992.8624242151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199.3875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20268</v>
      </c>
      <c r="C81" s="92"/>
      <c r="D81" s="92"/>
      <c r="E81" s="112"/>
      <c r="F81" s="24" t="s">
        <v>106</v>
      </c>
      <c r="G81" s="26" t="n">
        <f aca="false">B81</f>
        <v>20268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15012.1760889046</v>
      </c>
      <c r="C88" s="92" t="n">
        <f aca="false">B81-B86</f>
        <v>15012.1760889046</v>
      </c>
      <c r="D88" s="92"/>
      <c r="E88" s="112"/>
      <c r="F88" s="30" t="s">
        <v>113</v>
      </c>
      <c r="G88" s="32" t="n">
        <f aca="false">G81-G86</f>
        <v>14243.6270487143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546.961609847631</v>
      </c>
      <c r="C89" s="92" t="n">
        <f aca="false">(B88/B87)</f>
        <v>546.961609847631</v>
      </c>
      <c r="D89" s="92"/>
      <c r="E89" s="112"/>
      <c r="F89" s="30" t="s">
        <v>114</v>
      </c>
      <c r="G89" s="32" t="n">
        <f aca="false">(G88/G87)</f>
        <v>486.005136521857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17502.7715151242</v>
      </c>
      <c r="C90" s="92"/>
      <c r="D90" s="92"/>
      <c r="E90" s="112"/>
      <c r="F90" s="30" t="s">
        <v>115</v>
      </c>
      <c r="G90" s="32" t="n">
        <f aca="false">((G89*(G85))+G77)</f>
        <v>15552.1643686994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17502.7715151242</v>
      </c>
      <c r="C92" s="92"/>
      <c r="D92" s="92"/>
      <c r="E92" s="112"/>
      <c r="F92" s="55" t="s">
        <v>117</v>
      </c>
      <c r="G92" s="64" t="n">
        <f aca="false">(G90+G91)</f>
        <v>15552.1643686994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15.35625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546.961609847631</v>
      </c>
      <c r="C95" s="92"/>
      <c r="D95" s="92"/>
      <c r="E95" s="112"/>
      <c r="F95" s="94" t="s">
        <v>119</v>
      </c>
      <c r="G95" s="95" t="n">
        <f aca="false">G92/(G85)</f>
        <v>486.005136521857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562.317859847631</v>
      </c>
      <c r="C96" s="92"/>
      <c r="D96" s="92"/>
      <c r="E96" s="112"/>
      <c r="F96" s="96" t="s">
        <v>120</v>
      </c>
      <c r="G96" s="97" t="n">
        <f aca="false">G94+G95</f>
        <v>486.005136521857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0.3</v>
      </c>
      <c r="B108" s="106" t="s">
        <v>394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390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398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16745</v>
      </c>
      <c r="C125" s="132" t="n">
        <f aca="false">C121-C124</f>
        <v>16745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16745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3488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21268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21268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-16890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21268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261" t="n">
        <f aca="false">B95</f>
        <v>546.961609847631</v>
      </c>
      <c r="B167" s="176" t="n">
        <f aca="false">B94</f>
        <v>15.35625</v>
      </c>
      <c r="C167" s="173"/>
      <c r="D167" s="173"/>
      <c r="E167" s="176" t="n">
        <f aca="false">B96</f>
        <v>562.317859847631</v>
      </c>
      <c r="F167" s="22"/>
      <c r="G167" s="22" t="n">
        <f aca="false">ROUND(G95,2)</f>
        <v>486.01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17440</v>
      </c>
      <c r="B173" s="102" t="n">
        <f aca="false">H137</f>
        <v>3488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21268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21268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3434.77151512419</v>
      </c>
      <c r="B182" s="102" t="str">
        <f aca="false">B114</f>
        <v>239.99</v>
      </c>
      <c r="C182" s="102"/>
      <c r="D182" s="22"/>
      <c r="E182" s="102" t="n">
        <f aca="false">E179+A182+B182+A185</f>
        <v>24952.7615151242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5.02272</v>
      </c>
      <c r="B188" s="102" t="n">
        <f aca="false">(G158*B67)/1.2</f>
        <v>166.15625</v>
      </c>
      <c r="C188" s="92"/>
      <c r="D188" s="92"/>
      <c r="E188" s="102" t="n">
        <f aca="false">IF(E105="YES",(H36*A108)*0.1,0)</f>
        <v>9.45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275.597916666667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562.317859847631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1484.32</v>
      </c>
      <c r="B201" s="185" t="n">
        <f aca="false">E179+A201+B182+A185</f>
        <v>23002.31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546.961609847631</v>
      </c>
      <c r="B212" s="176" t="n">
        <f aca="false">B167</f>
        <v>15.35625</v>
      </c>
      <c r="C212" s="173"/>
      <c r="D212" s="173"/>
      <c r="E212" s="176" t="n">
        <f aca="false">E167</f>
        <v>562.317859847631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17440</v>
      </c>
      <c r="B215" s="102" t="n">
        <f aca="false">B173</f>
        <v>3488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21268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21268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3434.77151512419</v>
      </c>
      <c r="B224" s="102" t="str">
        <f aca="false">B182</f>
        <v>239.99</v>
      </c>
      <c r="C224" s="102"/>
      <c r="D224" s="112"/>
      <c r="E224" s="102" t="n">
        <f aca="false">E182</f>
        <v>24952.7615151242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546.961609847631</v>
      </c>
      <c r="B230" s="102" t="n">
        <f aca="false">B167</f>
        <v>15.35625</v>
      </c>
      <c r="C230" s="185"/>
      <c r="D230" s="185"/>
      <c r="E230" s="102" t="n">
        <f aca="false">E167</f>
        <v>562.317859847631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5.02272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166.15625</v>
      </c>
      <c r="C240" s="92"/>
      <c r="D240" s="92"/>
      <c r="E240" s="102" t="n">
        <f aca="false">E188</f>
        <v>9.45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275.597916666667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1960.45151512419</v>
      </c>
      <c r="C254" s="196"/>
      <c r="D254" s="197" t="s">
        <v>218</v>
      </c>
      <c r="E254" s="197"/>
      <c r="F254" s="199" t="n">
        <f aca="false">F261+F267+F269+B270+B271</f>
        <v>199.3875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194.491666666667</v>
      </c>
      <c r="C255" s="196"/>
      <c r="D255" s="197" t="s">
        <v>220</v>
      </c>
      <c r="E255" s="197"/>
      <c r="F255" s="199" t="n">
        <f aca="false">(B254-F254)+B255</f>
        <v>1955.55568179086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0.115</v>
      </c>
      <c r="C260" s="42"/>
      <c r="D260" s="165" t="s">
        <v>217</v>
      </c>
      <c r="E260" s="165"/>
      <c r="F260" s="145" t="n">
        <f aca="false">B254</f>
        <v>1960.45151512419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0.009375</v>
      </c>
      <c r="C261" s="31"/>
      <c r="D261" s="165" t="s">
        <v>223</v>
      </c>
      <c r="E261" s="165"/>
      <c r="F261" s="150" t="n">
        <f aca="false">B68</f>
        <v>199.3875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0.3</v>
      </c>
      <c r="C262" s="31"/>
      <c r="D262" s="165" t="s">
        <v>224</v>
      </c>
      <c r="E262" s="165"/>
      <c r="F262" s="145" t="n">
        <f aca="false">E240*10</f>
        <v>94.5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1955.55568179086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71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495" t="n">
        <v>46854.17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550.0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387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411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384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279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280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8803.62666666667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8878.20357671104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739.850298059253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739.850298059253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130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341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199.99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351</v>
      </c>
      <c r="C105" s="311"/>
      <c r="D105" s="418" t="n">
        <v>1000.0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19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390</v>
      </c>
      <c r="B111" s="311" t="n">
        <v>20.0</v>
      </c>
      <c r="C111" s="311"/>
      <c r="D111" s="106" t="s">
        <v>399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389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0.0</v>
      </c>
      <c r="E118" s="106" t="n">
        <v>6000.0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0.0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IF(A111="YES",B95,0)</f>
        <v>0</v>
      </c>
      <c r="C134" s="325"/>
      <c r="D134" s="320" t="n">
        <f aca="false">B97</f>
        <v>739.850298059253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739.850298059253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739.850298059253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739.850298059253</v>
      </c>
      <c r="B143" s="37" t="n">
        <f aca="false">IF(A111="YES",B95,0)</f>
        <v>0</v>
      </c>
      <c r="C143" s="316"/>
      <c r="D143" s="37" t="n">
        <f aca="false">B97</f>
        <v>739.850298059253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1307.188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1267.19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709.27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739.850298059253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IF(A111="YES",B95,0)</f>
        <v>0</v>
      </c>
      <c r="C177" s="357"/>
      <c r="D177" s="354" t="n">
        <f aca="false">B91</f>
        <v>8803.62666666667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739.850298059253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739.850298059253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739.850298059253</v>
      </c>
      <c r="B186" s="102" t="n">
        <f aca="false">IF(A111="YES",B95,0)</f>
        <v>0</v>
      </c>
      <c r="C186" s="352"/>
      <c r="D186" s="102" t="n">
        <f aca="false">B97</f>
        <v>739.850298059253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709.27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209.28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1595.67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1464.96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209.28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1595.67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495" t="n">
        <v>16745.0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389</v>
      </c>
      <c r="C38" s="222"/>
      <c r="D38" s="103" t="s">
        <v>387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384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10000.0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0.0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0.0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10564.352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10638.9289100444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886.577409170364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886.577409170364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130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284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239.99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130</v>
      </c>
      <c r="C105" s="311"/>
      <c r="D105" s="418" t="n">
        <v>1000.0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0.0</v>
      </c>
      <c r="C108" s="106"/>
      <c r="D108" s="106" t="n">
        <v>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19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389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389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0.0</v>
      </c>
      <c r="E118" s="106" t="n">
        <v>6000.0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0.0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886.577409170364</v>
      </c>
      <c r="B134" s="320" t="n">
        <f aca="false">IF(A111="YES",B95,0)</f>
        <v>0</v>
      </c>
      <c r="C134" s="325"/>
      <c r="D134" s="320" t="n">
        <f aca="false">B97</f>
        <v>886.577409170364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886.577409170364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886.577409170364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886.577409170364</v>
      </c>
      <c r="B143" s="37" t="n">
        <f aca="false">IF(A111="YES",B95,0)</f>
        <v>0</v>
      </c>
      <c r="C143" s="316"/>
      <c r="D143" s="37" t="n">
        <f aca="false">B97</f>
        <v>886.577409170364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1307.188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1267.19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709.271666666667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886.577409170364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886.577409170364</v>
      </c>
      <c r="B177" s="354" t="n">
        <f aca="false">IF(A111="YES",B95,0)</f>
        <v>0</v>
      </c>
      <c r="C177" s="357"/>
      <c r="D177" s="354" t="n">
        <f aca="false">B91</f>
        <v>10564.352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886.577409170364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886.577409170364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886.577409170364</v>
      </c>
      <c r="B186" s="102" t="n">
        <f aca="false">IF(A111="YES",B95,0)</f>
        <v>0</v>
      </c>
      <c r="C186" s="352"/>
      <c r="D186" s="102" t="n">
        <f aca="false">B97</f>
        <v>886.577409170364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709.271666666667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209.28</v>
      </c>
      <c r="C211" s="319" t="s">
        <v>219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1595.67166666667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1464.96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209.28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1595.67166666667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495" t="n">
        <v>16745.0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 t="n">
        <v>23125</v>
      </c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 t="n">
        <v>0</v>
      </c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 t="n">
        <v>0</v>
      </c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387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415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384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10000.0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0.0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0.0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8803.62666666667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8878.20357671104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739.850298059253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739.850298059253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1000.0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389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389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0.0</v>
      </c>
      <c r="E118" s="106" t="n">
        <v>6000.0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0.0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IF(A111="YES",B95,0)</f>
        <v>0</v>
      </c>
      <c r="C134" s="325"/>
      <c r="D134" s="320" t="n">
        <f aca="false">B97</f>
        <v>739.850298059253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739.850298059253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739.850298059253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739.850298059253</v>
      </c>
      <c r="B143" s="37" t="n">
        <f aca="false">IF(A111="YES",B95,0)</f>
        <v>0</v>
      </c>
      <c r="C143" s="316"/>
      <c r="D143" s="37" t="n">
        <f aca="false">B97</f>
        <v>739.850298059253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1307.188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1267.19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709.27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739.850298059253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IF(A111="YES",B95,0)</f>
        <v>0</v>
      </c>
      <c r="C177" s="357"/>
      <c r="D177" s="354" t="n">
        <f aca="false">B91</f>
        <v>8803.62666666667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739.850298059253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739.850298059253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739.850298059253</v>
      </c>
      <c r="B186" s="102" t="n">
        <f aca="false">IF(A111="YES",B95,0)</f>
        <v>0</v>
      </c>
      <c r="C186" s="352"/>
      <c r="D186" s="102" t="n">
        <f aca="false">B97</f>
        <v>739.850298059253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709.27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209.28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1595.67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1464.96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209.28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1595.67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495" t="n">
        <v>16745.0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389</v>
      </c>
      <c r="C38" s="222"/>
      <c r="D38" s="103" t="s">
        <v>387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401</v>
      </c>
      <c r="B41" s="240" t="str">
        <f aca="false">IF(B38="YES",D38+A41,D38)</f>
        <v>500</v>
      </c>
      <c r="C41" s="240"/>
      <c r="D41" s="103" t="s">
        <v>405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384</v>
      </c>
      <c r="B44" s="103" t="s">
        <v>406</v>
      </c>
      <c r="C44" s="103"/>
      <c r="D44" s="103" t="s">
        <v>401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407</v>
      </c>
      <c r="C47" s="425"/>
      <c r="D47" s="103" t="s">
        <v>407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338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10000.0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279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280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8803.62666666667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8878.20357671104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739.850298059253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739.850298059253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350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1000.0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389</v>
      </c>
      <c r="B111" s="313" t="n">
        <v>0.0</v>
      </c>
      <c r="C111" s="313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389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0.0</v>
      </c>
      <c r="E118" s="106" t="n">
        <v>6000.0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0.0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IF(A111="YES",B95,0)</f>
        <v>0</v>
      </c>
      <c r="C134" s="325"/>
      <c r="D134" s="320" t="n">
        <f aca="false">B97</f>
        <v>739.850298059253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739.850298059253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739.850298059253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739.850298059253</v>
      </c>
      <c r="B143" s="37" t="n">
        <f aca="false">IF(A111="YES",B95,0)</f>
        <v>0</v>
      </c>
      <c r="C143" s="316"/>
      <c r="D143" s="37" t="n">
        <f aca="false">B97</f>
        <v>739.850298059253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1307.188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1267.19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709.27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739.850298059253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IF(A111="YES",B95,0)</f>
        <v>0</v>
      </c>
      <c r="C177" s="357"/>
      <c r="D177" s="354" t="n">
        <f aca="false">B91</f>
        <v>8803.62666666667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739.850298059253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739.850298059253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739.850298059253</v>
      </c>
      <c r="B186" s="102" t="n">
        <f aca="false">IF(A111="YES",B95,0)</f>
        <v>0</v>
      </c>
      <c r="C186" s="352"/>
      <c r="D186" s="102" t="n">
        <f aca="false">B97</f>
        <v>739.850298059253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709.27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209.28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1595.67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1464.96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209.28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1595.67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495" t="n">
        <v>16745.0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387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391</v>
      </c>
      <c r="B41" s="240" t="n">
        <f aca="false">IF(B38="YES",D38+A41,D38)</f>
        <v>550</v>
      </c>
      <c r="C41" s="240"/>
      <c r="D41" s="103" t="s">
        <v>405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384</v>
      </c>
      <c r="B44" s="103" t="s">
        <v>406</v>
      </c>
      <c r="C44" s="103"/>
      <c r="D44" s="103" t="s">
        <v>407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407</v>
      </c>
      <c r="C47" s="425"/>
      <c r="D47" s="103" t="s">
        <v>407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10000.0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0.0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0.0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10564.352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10638.9289100444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72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886.577409170364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886.577409170364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284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1000.0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389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389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0.0</v>
      </c>
      <c r="E118" s="106" t="n">
        <v>6000.0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0.0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886.577409170364</v>
      </c>
      <c r="B134" s="320" t="n">
        <f aca="false">IF(A111="YES",B95,0)</f>
        <v>0</v>
      </c>
      <c r="C134" s="325"/>
      <c r="D134" s="320" t="n">
        <f aca="false">B97</f>
        <v>886.577409170364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886.577409170364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886.577409170364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886.577409170364</v>
      </c>
      <c r="B143" s="37" t="n">
        <f aca="false">IF(A111="YES",B95,0)</f>
        <v>0</v>
      </c>
      <c r="C143" s="316"/>
      <c r="D143" s="37" t="n">
        <f aca="false">B97</f>
        <v>886.577409170364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1319.188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1279.19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709.271666666667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886.577409170364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886.577409170364</v>
      </c>
      <c r="B177" s="354" t="n">
        <f aca="false">IF(A111="YES",B95,0)</f>
        <v>0</v>
      </c>
      <c r="C177" s="357"/>
      <c r="D177" s="354" t="n">
        <f aca="false">B97</f>
        <v>886.577409170364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886.577409170364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886.577409170364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886.577409170364</v>
      </c>
      <c r="B186" s="102" t="n">
        <f aca="false">IF(A111="YES",B95,0)</f>
        <v>0</v>
      </c>
      <c r="C186" s="352"/>
      <c r="D186" s="102" t="n">
        <f aca="false">B97</f>
        <v>886.577409170364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709.271666666667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209.28</v>
      </c>
      <c r="C211" s="319" t="s">
        <v>219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1595.67166666667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1464.96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209.28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1595.67166666667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495" t="n">
        <v>16745.0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387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391</v>
      </c>
      <c r="B41" s="240" t="n">
        <f aca="false">IF(B38="YES",D38+A41,D38)</f>
        <v>550</v>
      </c>
      <c r="C41" s="240"/>
      <c r="D41" s="103" t="s">
        <v>405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384</v>
      </c>
      <c r="B44" s="103" t="s">
        <v>406</v>
      </c>
      <c r="C44" s="103"/>
      <c r="D44" s="103" t="s">
        <v>407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407</v>
      </c>
      <c r="C47" s="425"/>
      <c r="D47" s="103" t="s">
        <v>407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337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337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10000.0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0.0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0.0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0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8803.62666666667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8878.20357671104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739.850298059253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739.850298059253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130</v>
      </c>
      <c r="C105" s="311"/>
      <c r="D105" s="418" t="n">
        <v>1000.0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389</v>
      </c>
      <c r="B111" s="311" t="n">
        <v>20.0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389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0.0</v>
      </c>
      <c r="E118" s="106" t="n">
        <v>6000.0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2000</v>
      </c>
      <c r="E119" s="106" t="n">
        <v>2000.0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-6000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1000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127</v>
      </c>
      <c r="B130" s="319" t="n">
        <v>0.0</v>
      </c>
      <c r="C130" s="320"/>
      <c r="D130" s="319" t="s">
        <v>84</v>
      </c>
      <c r="E130" s="321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286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294</v>
      </c>
      <c r="C133" s="320"/>
      <c r="D133" s="319" t="s">
        <v>295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IF(A111="YES",B95,0)</f>
        <v>0</v>
      </c>
      <c r="C134" s="325"/>
      <c r="D134" s="320" t="n">
        <f aca="false">B97</f>
        <v>739.850298059253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739.850298059253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304</v>
      </c>
      <c r="B139" s="38" t="s">
        <v>305</v>
      </c>
      <c r="C139" s="335"/>
      <c r="D139" s="246" t="s">
        <v>208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739.850298059253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294</v>
      </c>
      <c r="C142" s="316"/>
      <c r="D142" s="316" t="s">
        <v>295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739.850298059253</v>
      </c>
      <c r="B143" s="37" t="n">
        <f aca="false">IF(A111="YES",B95,0)</f>
        <v>0</v>
      </c>
      <c r="C143" s="316"/>
      <c r="D143" s="37" t="n">
        <f aca="false">B97</f>
        <v>739.850298059253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7"/>
      <c r="D148" s="340" t="s">
        <v>282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1319.188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1279.19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709.27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739.850298059253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IF(A111="YES",B95,0)</f>
        <v>0</v>
      </c>
      <c r="C177" s="357"/>
      <c r="D177" s="354" t="n">
        <f aca="false">B91</f>
        <v>8803.62666666667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739.850298059253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739.850298059253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739.850298059253</v>
      </c>
      <c r="B186" s="102" t="n">
        <f aca="false">IF(A111="YES",B95,0)</f>
        <v>0</v>
      </c>
      <c r="C186" s="352"/>
      <c r="D186" s="102" t="n">
        <f aca="false">B97</f>
        <v>739.850298059253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709.27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</v>
      </c>
      <c r="C209" s="320" t="s">
        <v>217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209.28</v>
      </c>
      <c r="C211" s="319" t="s">
        <v>219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1595.67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D70</f>
        <v>1464.96</v>
      </c>
      <c r="C217" s="373" t="s">
        <v>223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B73</f>
        <v>209.28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B84-(B84*(E219*100))</f>
        <v>200</v>
      </c>
      <c r="C223" s="335" t="s">
        <v>220</v>
      </c>
      <c r="D223" s="316"/>
      <c r="E223" s="32" t="n">
        <f aca="false">(B217-B211+D211)</f>
        <v>1595.67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B77</f>
        <v>200</v>
      </c>
      <c r="C229" s="335" t="s">
        <v>228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B74</f>
        <v>0.0075</v>
      </c>
      <c r="C231" s="335" t="s">
        <v>231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B85</f>
        <v>200</v>
      </c>
      <c r="C233" s="379" t="s">
        <v>330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B86</f>
        <v>200</v>
      </c>
      <c r="C235" s="383" t="s">
        <v>331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130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9.54545454545455</v>
      </c>
      <c r="E32" s="225"/>
      <c r="F32" s="62"/>
      <c r="G32" s="226" t="s">
        <v>243</v>
      </c>
      <c r="H32" s="224" t="n">
        <f aca="false">A41</f>
        <v>9.54545454545455</v>
      </c>
      <c r="J32" s="43" t="s">
        <v>37</v>
      </c>
      <c r="K32" s="262" t="s">
        <v>413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386</v>
      </c>
      <c r="P34" s="211"/>
    </row>
    <row r="35" customFormat="false" ht="19.5" hidden="false" customHeight="false" outlineLevel="0" collapsed="false">
      <c r="A35" s="225" t="n">
        <f aca="false">B32+D32</f>
        <v>509.545454545455</v>
      </c>
      <c r="B35" s="222" t="s">
        <v>396</v>
      </c>
      <c r="C35" s="222"/>
      <c r="D35" s="222" t="s">
        <v>385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20268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389</v>
      </c>
      <c r="C38" s="222"/>
      <c r="D38" s="103" t="s">
        <v>387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9.54545454545455</v>
      </c>
      <c r="B41" s="240" t="n">
        <f aca="false">IF(B38="YES",D38+A41,D38)</f>
        <v>509.545454545455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384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9.54545454545455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509.909090909091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509.909090909091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16992.8624242151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199.3875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20268</v>
      </c>
      <c r="C81" s="92"/>
      <c r="D81" s="92"/>
      <c r="E81" s="112"/>
      <c r="F81" s="24" t="s">
        <v>106</v>
      </c>
      <c r="G81" s="26" t="n">
        <f aca="false">B81</f>
        <v>20268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15012.1760889046</v>
      </c>
      <c r="C88" s="92" t="n">
        <f aca="false">B81-B86</f>
        <v>15012.1760889046</v>
      </c>
      <c r="D88" s="92"/>
      <c r="E88" s="112"/>
      <c r="F88" s="30" t="s">
        <v>113</v>
      </c>
      <c r="G88" s="32" t="n">
        <f aca="false">G81-G86</f>
        <v>14243.6270487143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546.961609847631</v>
      </c>
      <c r="C89" s="92" t="n">
        <f aca="false">(B88/B87)</f>
        <v>546.961609847631</v>
      </c>
      <c r="D89" s="92"/>
      <c r="E89" s="112"/>
      <c r="F89" s="30" t="s">
        <v>114</v>
      </c>
      <c r="G89" s="32" t="n">
        <f aca="false">(G88/G87)</f>
        <v>486.005136521857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17502.7715151242</v>
      </c>
      <c r="C90" s="92"/>
      <c r="D90" s="92"/>
      <c r="E90" s="112"/>
      <c r="F90" s="30" t="s">
        <v>115</v>
      </c>
      <c r="G90" s="32" t="n">
        <f aca="false">((G89*(G85))+G77)</f>
        <v>15552.1643686994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17502.7715151242</v>
      </c>
      <c r="C92" s="92"/>
      <c r="D92" s="92"/>
      <c r="E92" s="112"/>
      <c r="F92" s="55" t="s">
        <v>117</v>
      </c>
      <c r="G92" s="64" t="n">
        <f aca="false">(G90+G91)</f>
        <v>15552.1643686994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12.796875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546.961609847631</v>
      </c>
      <c r="C95" s="92"/>
      <c r="D95" s="92"/>
      <c r="E95" s="112"/>
      <c r="F95" s="94" t="s">
        <v>119</v>
      </c>
      <c r="G95" s="95" t="n">
        <f aca="false">G92/(G85)</f>
        <v>486.005136521857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559.758484847631</v>
      </c>
      <c r="C96" s="92"/>
      <c r="D96" s="92"/>
      <c r="E96" s="112"/>
      <c r="F96" s="96" t="s">
        <v>120</v>
      </c>
      <c r="G96" s="97" t="n">
        <f aca="false">G94+G95</f>
        <v>486.005136521857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130</v>
      </c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389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402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267</v>
      </c>
      <c r="AB108" s="8"/>
      <c r="AC108" s="235"/>
      <c r="AD108" s="235"/>
      <c r="AE108" s="235"/>
      <c r="AF108" s="8"/>
      <c r="AG108" s="8"/>
      <c r="AH108" s="8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268</v>
      </c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Z110" s="62" t="s">
        <v>269</v>
      </c>
    </row>
    <row r="111" customFormat="false" ht="19.5" hidden="false" customHeight="false" outlineLevel="0" collapsed="false">
      <c r="A111" s="39" t="s">
        <v>390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270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388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</row>
    <row r="121" customFormat="false" ht="19.5" hidden="false" customHeight="false" outlineLevel="0" collapsed="false">
      <c r="A121" s="24" t="s">
        <v>151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153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16745</v>
      </c>
      <c r="C125" s="132" t="n">
        <f aca="false">C121-C124</f>
        <v>16745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16745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3488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21268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21268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-16890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21268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</row>
    <row r="167" customFormat="false" ht="18.75" hidden="false" customHeight="false" outlineLevel="0" collapsed="false">
      <c r="A167" s="261" t="n">
        <f aca="false">B95</f>
        <v>546.961609847631</v>
      </c>
      <c r="B167" s="176" t="n">
        <f aca="false">B94</f>
        <v>12.796875</v>
      </c>
      <c r="C167" s="173"/>
      <c r="D167" s="173"/>
      <c r="E167" s="176" t="n">
        <f aca="false">B96</f>
        <v>559.758484847631</v>
      </c>
      <c r="F167" s="22"/>
      <c r="G167" s="22" t="n">
        <f aca="false">ROUND(G95,2)</f>
        <v>486.01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17440</v>
      </c>
      <c r="B173" s="102" t="n">
        <f aca="false">H137</f>
        <v>3488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21268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21268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</row>
    <row r="182" customFormat="false" ht="18.75" hidden="false" customHeight="false" outlineLevel="0" collapsed="false">
      <c r="A182" s="110" t="n">
        <f aca="false">(A167*B59)+E185-E179-A185</f>
        <v>3434.77151512419</v>
      </c>
      <c r="B182" s="102" t="str">
        <f aca="false">B114</f>
        <v>199.99</v>
      </c>
      <c r="C182" s="102"/>
      <c r="D182" s="22"/>
      <c r="E182" s="102" t="n">
        <f aca="false">E179+A182+(B182*1.2)+A185</f>
        <v>24952.7595151242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E170+A185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4.1856</v>
      </c>
      <c r="B188" s="102" t="n">
        <f aca="false">(G158*B67)/1.2</f>
        <v>166.15625</v>
      </c>
      <c r="C188" s="92"/>
      <c r="D188" s="92"/>
      <c r="E188" s="102" t="n">
        <f aca="false">IF(E105="YES",(H36*A108)*0.1,0)</f>
        <v>9.45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275.59625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559.758484847631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(G167*B59)+E185-E179-A185</f>
        <v>1484.32</v>
      </c>
      <c r="B201" s="185" t="n">
        <f aca="false">E179+A201+(B182*1.2)+A185</f>
        <v>23002.308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546.961609847631</v>
      </c>
      <c r="B212" s="176" t="n">
        <f aca="false">B167</f>
        <v>12.796875</v>
      </c>
      <c r="C212" s="173"/>
      <c r="D212" s="173"/>
      <c r="E212" s="176" t="n">
        <f aca="false">E167</f>
        <v>559.758484847631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17440</v>
      </c>
      <c r="B215" s="102" t="n">
        <f aca="false">B173</f>
        <v>3488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21268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21268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3434.77151512419</v>
      </c>
      <c r="B224" s="102" t="str">
        <f aca="false">B182</f>
        <v>199.99</v>
      </c>
      <c r="C224" s="102"/>
      <c r="D224" s="112"/>
      <c r="E224" s="102" t="n">
        <f aca="false">E182</f>
        <v>24952.7595151242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546.961609847631</v>
      </c>
      <c r="B230" s="102" t="n">
        <f aca="false">B167</f>
        <v>12.796875</v>
      </c>
      <c r="C230" s="185"/>
      <c r="D230" s="185"/>
      <c r="E230" s="102" t="n">
        <f aca="false">E167</f>
        <v>559.758484847631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4.1856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166.15625</v>
      </c>
      <c r="C240" s="92"/>
      <c r="D240" s="92"/>
      <c r="E240" s="102" t="n">
        <f aca="false">IF(E105="YES",(H36*A108)*0.1,0)</f>
        <v>9.45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275.59625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B63</f>
        <v>0.065</v>
      </c>
      <c r="C253" s="196"/>
      <c r="D253" s="197" t="s">
        <v>216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9" t="n">
        <f aca="false">(E182-B182)-(B201-B182-A185)</f>
        <v>1960.45151512419</v>
      </c>
      <c r="C254" s="196"/>
      <c r="D254" s="197" t="s">
        <v>218</v>
      </c>
      <c r="E254" s="197"/>
      <c r="F254" s="199" t="n">
        <f aca="false">F261+F267+F269+B270+B271</f>
        <v>199.3875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194.49</v>
      </c>
      <c r="C255" s="196"/>
      <c r="D255" s="197" t="s">
        <v>220</v>
      </c>
      <c r="E255" s="197"/>
      <c r="F255" s="199" t="n">
        <f aca="false">(B254-F254)+B255</f>
        <v>1955.55401512419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0.115</v>
      </c>
      <c r="C260" s="42"/>
      <c r="D260" s="165" t="s">
        <v>217</v>
      </c>
      <c r="E260" s="165"/>
      <c r="F260" s="145" t="n">
        <f aca="false">B254</f>
        <v>1960.45151512419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0.009375</v>
      </c>
      <c r="C261" s="31"/>
      <c r="D261" s="165" t="s">
        <v>223</v>
      </c>
      <c r="E261" s="165"/>
      <c r="F261" s="150" t="n">
        <f aca="false">B68</f>
        <v>199.3875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0.3</v>
      </c>
      <c r="C262" s="31"/>
      <c r="D262" s="165" t="s">
        <v>224</v>
      </c>
      <c r="E262" s="165"/>
      <c r="F262" s="145" t="n">
        <f aca="false">E240*10</f>
        <v>94.5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1955.55401512419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0" colorId="64" zoomScale="85" zoomScaleNormal="85" zoomScalePageLayoutView="100" workbookViewId="0">
      <selection pane="topLeft" activeCell="A202" activeCellId="0" sqref="A20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 t="n">
        <v>550</v>
      </c>
      <c r="F10" s="153"/>
      <c r="G10" s="154"/>
      <c r="H10" s="438" t="n">
        <v>695.0</v>
      </c>
      <c r="I10" s="2"/>
      <c r="J10" s="2"/>
      <c r="K10" s="1" t="s">
        <v>19</v>
      </c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 t="n">
        <v>0</v>
      </c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389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183</v>
      </c>
      <c r="B30" s="103" t="s">
        <v>401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1503.0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/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530.923798505743</v>
      </c>
      <c r="F33" s="231"/>
      <c r="G33" s="231"/>
      <c r="H33" s="46"/>
      <c r="I33" s="2"/>
      <c r="J33" s="33" t="s">
        <v>355</v>
      </c>
      <c r="K33" s="47" t="n">
        <f aca="false">H21-H11+(H16*20%)</f>
        <v>17780</v>
      </c>
      <c r="L33" s="1" t="n">
        <f aca="false">H21-H11+(H16*20%)</f>
        <v>17780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530.923798505743</v>
      </c>
      <c r="B36" s="231" t="str">
        <f aca="false">IF(B26="YES",K42,"0.00")</f>
        <v>0.00</v>
      </c>
      <c r="C36" s="231"/>
      <c r="D36" s="231"/>
      <c r="E36" s="231" t="n">
        <f aca="false">K31</f>
        <v>1503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17780</v>
      </c>
      <c r="L39" s="2" t="n">
        <f aca="false">(L47*K46)+K44</f>
        <v>26276.1847895144</v>
      </c>
      <c r="N39" s="1" t="n">
        <f aca="false">K39-L39</f>
        <v>-8496.18478951443</v>
      </c>
      <c r="P39" s="211"/>
    </row>
    <row r="40" customFormat="false" ht="19.5" hidden="false" customHeight="false" outlineLevel="0" collapsed="false">
      <c r="A40" s="106" t="n">
        <f aca="false">E36*A45/100</f>
        <v>5850.0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1252.5</v>
      </c>
      <c r="L40" s="2" t="n">
        <f aca="false">K39-L39</f>
        <v>-8496.18478951443</v>
      </c>
      <c r="N40" s="1" t="n">
        <f aca="false">N38-N39</f>
        <v>11407.8647895144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1015.87639410025</v>
      </c>
      <c r="L44" s="2"/>
      <c r="P44" s="211"/>
    </row>
    <row r="45" customFormat="false" ht="19.5" hidden="false" customHeight="false" outlineLevel="0" collapsed="false">
      <c r="A45" s="446" t="n">
        <v>100.0</v>
      </c>
      <c r="B45" s="92"/>
      <c r="C45" s="61" t="n">
        <v>100.0</v>
      </c>
      <c r="D45" s="61"/>
      <c r="E45" s="61"/>
      <c r="F45" s="92"/>
      <c r="G45" s="92"/>
      <c r="H45" s="32"/>
      <c r="J45" s="2" t="s">
        <v>366</v>
      </c>
      <c r="K45" s="2" t="n">
        <f aca="false">(K39-K44)</f>
        <v>16764.1236058997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530.923798505743</v>
      </c>
      <c r="L47" s="2" t="n">
        <f aca="false">L49-K42</f>
        <v>800</v>
      </c>
      <c r="M47" s="1" t="n">
        <f aca="false">K47-L47</f>
        <v>-269.076201494257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530.923798505743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530.923798505743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20928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20928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20928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7431.3102273373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31086.2555254576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904.957364501752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904.957364501752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187.84989375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1547.8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204.92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168.754479166667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530.923798505743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530.923798505743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530.923798505743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530.923798505743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23021.604</v>
      </c>
      <c r="C81" s="92"/>
      <c r="D81" s="92"/>
      <c r="E81" s="112"/>
      <c r="F81" s="24" t="s">
        <v>106</v>
      </c>
      <c r="G81" s="26" t="n">
        <f aca="false">G158</f>
        <v>23021.604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17234.5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17234.5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1503</v>
      </c>
      <c r="C82" s="92"/>
      <c r="D82" s="92"/>
      <c r="E82" s="112"/>
      <c r="F82" s="30" t="s">
        <v>107</v>
      </c>
      <c r="G82" s="32" t="n">
        <f aca="false">IF(A111="YES",A40,0)</f>
        <v>1503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1503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1503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1060.98904128267</v>
      </c>
      <c r="C86" s="92"/>
      <c r="D86" s="92"/>
      <c r="E86" s="112"/>
      <c r="F86" s="30" t="s">
        <v>111</v>
      </c>
      <c r="G86" s="32" t="n">
        <f aca="false">(G82/((1+G84)^(G85+1)))</f>
        <v>1226.16280767901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1027.83049031138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1027.83049031138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21960.6149587173</v>
      </c>
      <c r="C88" s="92"/>
      <c r="D88" s="92"/>
      <c r="E88" s="112"/>
      <c r="F88" s="30" t="s">
        <v>113</v>
      </c>
      <c r="G88" s="32" t="n">
        <f aca="false">G81-G86</f>
        <v>21795.441192321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16206.6695096886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16206.6695096886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765.107152207009</v>
      </c>
      <c r="C89" s="92"/>
      <c r="D89" s="92"/>
      <c r="E89" s="112"/>
      <c r="F89" s="30" t="s">
        <v>114</v>
      </c>
      <c r="G89" s="32" t="n">
        <f aca="false">(G88/G87)</f>
        <v>708.574192593643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573.155597417728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573.155597417728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26013.6431750383</v>
      </c>
      <c r="C90" s="92"/>
      <c r="D90" s="92"/>
      <c r="E90" s="112"/>
      <c r="F90" s="30" t="s">
        <v>115</v>
      </c>
      <c r="G90" s="32" t="n">
        <f aca="false">((G89*(G85))+G77)</f>
        <v>24091.5225481838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19487.2903122028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19487.2903122028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26013.6431750383</v>
      </c>
      <c r="C92" s="92"/>
      <c r="D92" s="92"/>
      <c r="E92" s="112"/>
      <c r="F92" s="55" t="s">
        <v>117</v>
      </c>
      <c r="G92" s="64" t="n">
        <f aca="false">(G90+G91)</f>
        <v>24091.5225481838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19487.2903122028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19487.2903122028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765.107152207009</v>
      </c>
      <c r="C95" s="92"/>
      <c r="D95" s="92"/>
      <c r="E95" s="112"/>
      <c r="F95" s="94" t="s">
        <v>119</v>
      </c>
      <c r="G95" s="95" t="n">
        <f aca="false">G92/(G85)</f>
        <v>708.574192593643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573.155597417728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573.155597417728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765.107152207009</v>
      </c>
      <c r="C96" s="92"/>
      <c r="D96" s="92"/>
      <c r="E96" s="112"/>
      <c r="F96" s="96" t="s">
        <v>120</v>
      </c>
      <c r="G96" s="97" t="n">
        <f aca="false">G94+G95</f>
        <v>708.574192593643</v>
      </c>
      <c r="H96" s="32"/>
      <c r="J96" s="96" t="s">
        <v>120</v>
      </c>
      <c r="K96" s="97" t="n">
        <f aca="false">(K94+K95)</f>
        <v>1460.84083744584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573.155597417728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573.155597417728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447" t="s">
        <v>389</v>
      </c>
      <c r="F105" s="447"/>
      <c r="G105" s="447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402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390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388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16745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151</v>
      </c>
      <c r="T121" s="119" t="n">
        <f aca="false">B3</f>
        <v>16745</v>
      </c>
      <c r="U121" s="120" t="n">
        <f aca="false">T121</f>
        <v>16745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151</v>
      </c>
      <c r="AC121" s="119" t="n">
        <f aca="false">B3</f>
        <v>16745</v>
      </c>
      <c r="AD121" s="120" t="n">
        <f aca="false">AC121</f>
        <v>16745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152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152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152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f aca="false">B5</f>
        <v>0</v>
      </c>
      <c r="C123" s="120" t="n">
        <v>-3544.67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-3544.67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154</v>
      </c>
      <c r="T124" s="129" t="n">
        <f aca="false">(T121*T122)+T123</f>
        <v>0</v>
      </c>
      <c r="U124" s="130" t="n">
        <f aca="false">(U121*U122)+U123</f>
        <v>4186.25</v>
      </c>
      <c r="V124" s="129" t="n">
        <f aca="false">(V121*V122)+V123</f>
        <v>0</v>
      </c>
      <c r="W124" s="130" t="n">
        <f aca="false">(W121*W122)+W123</f>
        <v>0</v>
      </c>
      <c r="X124" s="129" t="n">
        <f aca="false">(X121*X122)+X123</f>
        <v>0</v>
      </c>
      <c r="Y124" s="130" t="n">
        <f aca="false">(Y121*Y122)+Y123</f>
        <v>0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4186.25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16745</v>
      </c>
      <c r="C125" s="132" t="n">
        <f aca="false">C121-C124</f>
        <v>20289.67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16745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155</v>
      </c>
      <c r="T125" s="131" t="n">
        <f aca="false">T121-T124</f>
        <v>16745</v>
      </c>
      <c r="U125" s="132" t="n">
        <f aca="false">U121-U124</f>
        <v>12558.75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155</v>
      </c>
      <c r="AC125" s="131" t="n">
        <f aca="false">AC121-AC124</f>
        <v>16745</v>
      </c>
      <c r="AD125" s="132" t="n">
        <f aca="false">AD121-AD124</f>
        <v>12558.75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20289.67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16745</v>
      </c>
      <c r="Q135" s="152" t="n">
        <f aca="false">L125+N125+P125+Q128</f>
        <v>28629.17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16745</v>
      </c>
      <c r="Z135" s="152" t="n">
        <f aca="false">U125+W125+Y125+Z128</f>
        <v>12558.75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16745</v>
      </c>
      <c r="AI135" s="152" t="n">
        <f aca="false">AD125+AF125+AH125+AI128</f>
        <v>12558.75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4196.934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3488</v>
      </c>
      <c r="Q137" s="32" t="n">
        <f aca="false">(Q135+Q136)*20%</f>
        <v>5864.834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3488</v>
      </c>
      <c r="Z137" s="32" t="n">
        <f aca="false">(Z135+Z136)*20%</f>
        <v>2650.75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3488</v>
      </c>
      <c r="AI137" s="32" t="n">
        <f aca="false">(AI135+AI136)*20%</f>
        <v>2650.75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25521.604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21268</v>
      </c>
      <c r="Q141" s="156" t="n">
        <f aca="false">(Q135+Q136+Q139+Q140+Q137)-Q138</f>
        <v>35519.004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21268</v>
      </c>
      <c r="Z141" s="156" t="n">
        <f aca="false">(Z135+Z136+Z139+Z140+Z137)-Z138</f>
        <v>16234.5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21268</v>
      </c>
      <c r="AI141" s="156" t="n">
        <f aca="false">(AI135+AI136+AI139+AI140+AI137)-AI138</f>
        <v>16234.5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25521.604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21268</v>
      </c>
      <c r="Q147" s="163" t="n">
        <f aca="false">Q141-((Q144*1.2)+(Q145*1.2)+(Q146*1.2)+(Q142*1.2))</f>
        <v>35519.004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21268</v>
      </c>
      <c r="Z147" s="163" t="n">
        <f aca="false">Z141-((Z144*1.2)+(Z145*1.2)+(Z146*1.2)+(Z142*1.2))</f>
        <v>16234.5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21268</v>
      </c>
      <c r="AI147" s="163" t="n">
        <f aca="false">AI141-((AI144*1.2)+(AI145*1.2)+(AI146*1.2)+(AI142*1.2))</f>
        <v>16234.5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3544.67</v>
      </c>
      <c r="I148" s="1" t="n">
        <f aca="false">(H148-G81)/1.2</f>
        <v>-16230.7783333333</v>
      </c>
      <c r="J148" s="153" t="s">
        <v>174</v>
      </c>
      <c r="K148" s="153"/>
      <c r="L148" s="153"/>
      <c r="M148" s="153"/>
      <c r="N148" s="153"/>
      <c r="O148" s="153"/>
      <c r="P148" s="154"/>
      <c r="Q148" s="39" t="n">
        <f aca="false">Q147-P147</f>
        <v>14251.004</v>
      </c>
      <c r="S148" s="153" t="s">
        <v>174</v>
      </c>
      <c r="T148" s="153"/>
      <c r="U148" s="153"/>
      <c r="V148" s="153"/>
      <c r="W148" s="153"/>
      <c r="X148" s="153"/>
      <c r="Y148" s="154"/>
      <c r="Z148" s="39" t="n">
        <f aca="false">Z147-Y147</f>
        <v>-5033.5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n">
        <f aca="false">AI147-AH147</f>
        <v>-5033.5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0.0</v>
      </c>
      <c r="F152" s="106"/>
      <c r="G152" s="106" t="n">
        <v>1000.0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500.0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23021.604</v>
      </c>
      <c r="H158" s="169"/>
      <c r="J158" s="168" t="s">
        <v>181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181</v>
      </c>
      <c r="T158" s="92"/>
      <c r="U158" s="92"/>
      <c r="V158" s="112"/>
      <c r="W158" s="92"/>
      <c r="X158" s="112"/>
      <c r="Y158" s="169" t="n">
        <f aca="false">Z147-Y154-Y157</f>
        <v>17234.5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n">
        <f aca="false">AI147-AH154-AH157</f>
        <v>17234.5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765.107152207009</v>
      </c>
      <c r="B167" s="176" t="str">
        <f aca="false">B94</f>
        <v>0</v>
      </c>
      <c r="C167" s="173"/>
      <c r="D167" s="173"/>
      <c r="E167" s="176" t="n">
        <f aca="false">B96</f>
        <v>765.107152207009</v>
      </c>
      <c r="F167" s="22"/>
      <c r="G167" s="22" t="n">
        <f aca="false">ROUND(G95,2)</f>
        <v>708.57</v>
      </c>
      <c r="H167" s="32"/>
      <c r="J167" s="175" t="n">
        <f aca="false">K95</f>
        <v>1460.84083744584</v>
      </c>
      <c r="K167" s="176" t="n">
        <f aca="false">K94</f>
        <v>0</v>
      </c>
      <c r="L167" s="173"/>
      <c r="M167" s="173"/>
      <c r="N167" s="176" t="n">
        <f aca="false">K96</f>
        <v>1460.84083744584</v>
      </c>
      <c r="O167" s="22"/>
      <c r="P167" s="22"/>
      <c r="Q167" s="32"/>
      <c r="S167" s="175" t="n">
        <f aca="false">T95</f>
        <v>573.155597417728</v>
      </c>
      <c r="T167" s="176" t="n">
        <f aca="false">T94</f>
        <v>0</v>
      </c>
      <c r="U167" s="173"/>
      <c r="V167" s="173"/>
      <c r="W167" s="176" t="n">
        <f aca="false">T96</f>
        <v>573.155597417728</v>
      </c>
      <c r="X167" s="22"/>
      <c r="Y167" s="22"/>
      <c r="Z167" s="32"/>
      <c r="AB167" s="175" t="n">
        <f aca="false">AC95</f>
        <v>573.155597417728</v>
      </c>
      <c r="AC167" s="176" t="n">
        <f aca="false">AC94</f>
        <v>0</v>
      </c>
      <c r="AD167" s="173"/>
      <c r="AE167" s="173"/>
      <c r="AF167" s="176" t="n">
        <f aca="false">AC96</f>
        <v>573.155597417728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1503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1503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1503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1503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20984.67</v>
      </c>
      <c r="B173" s="102" t="n">
        <f aca="false">H137</f>
        <v>4196.934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13253.75</v>
      </c>
      <c r="T173" s="102" t="n">
        <f aca="false">Z137</f>
        <v>2650.75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13253.75</v>
      </c>
      <c r="AC173" s="102" t="n">
        <f aca="false">AI137</f>
        <v>2650.75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25521.604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16234.5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16234.5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23021.604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17234.5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17234.5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4495.0391750383</v>
      </c>
      <c r="B182" s="102" t="str">
        <f aca="false">B114</f>
        <v>199.99</v>
      </c>
      <c r="C182" s="102"/>
      <c r="D182" s="22"/>
      <c r="E182" s="102" t="n">
        <f aca="false">E179+A182+(B182*1.2)+A185</f>
        <v>27766.6311750383</v>
      </c>
      <c r="F182" s="22"/>
      <c r="G182" s="22"/>
      <c r="H182" s="104"/>
      <c r="J182" s="110" t="n">
        <f aca="false">(J167*K59)+N185-N179-J185</f>
        <v>14652.5844731586</v>
      </c>
      <c r="K182" s="102" t="n">
        <f aca="false">K114</f>
        <v>239.99</v>
      </c>
      <c r="L182" s="102"/>
      <c r="M182" s="22"/>
      <c r="N182" s="102" t="n">
        <f aca="false">N179+J182+K182+J185</f>
        <v>51431.5784731586</v>
      </c>
      <c r="O182" s="22"/>
      <c r="P182" s="22"/>
      <c r="Q182" s="104"/>
      <c r="S182" s="110" t="n">
        <f aca="false">(S167*T59)+W185-W179-S185</f>
        <v>3755.79031220275</v>
      </c>
      <c r="T182" s="102" t="n">
        <f aca="false">T114</f>
        <v>199.99</v>
      </c>
      <c r="U182" s="102"/>
      <c r="V182" s="22"/>
      <c r="W182" s="102" t="n">
        <f aca="false">W179+S182+T182+S185</f>
        <v>21200.2803122028</v>
      </c>
      <c r="X182" s="22"/>
      <c r="Y182" s="22"/>
      <c r="Z182" s="104"/>
      <c r="AB182" s="110" t="n">
        <f aca="false">(AB167*AC59)+AF185-AF179-AB185</f>
        <v>3755.79031220275</v>
      </c>
      <c r="AC182" s="102" t="n">
        <f aca="false">AC114</f>
        <v>239.99</v>
      </c>
      <c r="AD182" s="102"/>
      <c r="AE182" s="22"/>
      <c r="AF182" s="102" t="n">
        <f aca="false">AF179+AB182+AC182+AB185</f>
        <v>21240.2803122028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E170+A185</f>
        <v>1513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1523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1513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1513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0</v>
      </c>
      <c r="B188" s="102" t="n">
        <f aca="false">(G158*B67)/1.2</f>
        <v>187.84989375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0.042536</v>
      </c>
      <c r="K188" s="102" t="n">
        <f aca="false">(P158*K67)/1.2</f>
        <v>2250.73722569444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140.628732638889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140.628732638889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287.83989375</v>
      </c>
      <c r="C191" s="92"/>
      <c r="D191" s="92"/>
      <c r="E191" s="102" t="n">
        <f aca="false">H148</f>
        <v>3544.67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3390.72722569444</v>
      </c>
      <c r="L191" s="92"/>
      <c r="M191" s="92"/>
      <c r="N191" s="102" t="n">
        <f aca="false">Q148</f>
        <v>14251.004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1240.61873263889</v>
      </c>
      <c r="U191" s="92"/>
      <c r="V191" s="92"/>
      <c r="W191" s="102" t="n">
        <f aca="false">Z148</f>
        <v>-5033.5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1280.61873263889</v>
      </c>
      <c r="AD191" s="92"/>
      <c r="AE191" s="92"/>
      <c r="AF191" s="102" t="n">
        <f aca="false">AI148</f>
        <v>-5033.5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765.107152207009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1460.84083744584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573.155597417728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573.155597417728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2572.776</v>
      </c>
      <c r="B201" s="185" t="n">
        <f aca="false">E179+A201+(B182*1.2)+A185</f>
        <v>25844.368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765.107152207009</v>
      </c>
      <c r="B212" s="176" t="str">
        <f aca="false">B167</f>
        <v>0</v>
      </c>
      <c r="C212" s="173"/>
      <c r="D212" s="173"/>
      <c r="E212" s="176" t="n">
        <f aca="false">E167</f>
        <v>765.107152207009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20984.67</v>
      </c>
      <c r="B215" s="102" t="n">
        <f aca="false">B173</f>
        <v>4196.934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25521.604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23021.604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4495.0391750383</v>
      </c>
      <c r="B224" s="102" t="str">
        <f aca="false">B182</f>
        <v>199.99</v>
      </c>
      <c r="C224" s="102"/>
      <c r="D224" s="112"/>
      <c r="E224" s="102" t="n">
        <f aca="false">E182</f>
        <v>27766.6311750383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765.107152207009</v>
      </c>
      <c r="B230" s="102" t="str">
        <f aca="false">B167</f>
        <v>0</v>
      </c>
      <c r="C230" s="185"/>
      <c r="D230" s="185"/>
      <c r="E230" s="102" t="n">
        <f aca="false">E167</f>
        <v>765.107152207009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1503</v>
      </c>
      <c r="B233" s="102" t="n">
        <f aca="false">E185</f>
        <v>1513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3544.67</v>
      </c>
      <c r="B240" s="102" t="n">
        <f aca="false">B68</f>
        <v>187.84989375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3832.50989375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1932.26317503829</v>
      </c>
      <c r="C254" s="196"/>
      <c r="D254" s="197" t="s">
        <v>218</v>
      </c>
      <c r="E254" s="197"/>
      <c r="F254" s="199" t="n">
        <f aca="false">F261+F267+F269+B270+B271</f>
        <v>225.4198725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99.99</v>
      </c>
      <c r="C255" s="196"/>
      <c r="D255" s="197" t="s">
        <v>220</v>
      </c>
      <c r="E255" s="197"/>
      <c r="F255" s="199" t="n">
        <f aca="false">(B254-F254)+B255</f>
        <v>1806.83330253829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</v>
      </c>
      <c r="C260" s="42"/>
      <c r="D260" s="165" t="s">
        <v>217</v>
      </c>
      <c r="E260" s="165"/>
      <c r="F260" s="145" t="n">
        <f aca="false">B254</f>
        <v>1932.26317503829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0.00979166666666667</v>
      </c>
      <c r="C261" s="31"/>
      <c r="D261" s="165" t="s">
        <v>223</v>
      </c>
      <c r="E261" s="165"/>
      <c r="F261" s="150" t="n">
        <f aca="false">B68*1.2</f>
        <v>225.4198725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1806.83330253829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A202" activeCellId="0" sqref="A20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390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183</v>
      </c>
      <c r="B30" s="103" t="s">
        <v>401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2505.0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 t="n">
        <v>0</v>
      </c>
      <c r="J32" s="28" t="s">
        <v>36</v>
      </c>
      <c r="K32" s="445" t="n">
        <v>1833.65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562.10944916212</v>
      </c>
      <c r="F33" s="231"/>
      <c r="G33" s="231"/>
      <c r="H33" s="46"/>
      <c r="I33" s="2"/>
      <c r="J33" s="33" t="s">
        <v>355</v>
      </c>
      <c r="K33" s="47" t="n">
        <f aca="false">H21-H11+(H16*20%)</f>
        <v>17780</v>
      </c>
      <c r="L33" s="1" t="n">
        <f aca="false">H21-H11+(H16*20%)</f>
        <v>17780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520.19944916212</v>
      </c>
      <c r="B36" s="231" t="n">
        <f aca="false">IF(B26="YES",K42,"0.00")</f>
        <v>41.91</v>
      </c>
      <c r="C36" s="231"/>
      <c r="D36" s="231"/>
      <c r="E36" s="231" t="n">
        <f aca="false">K31</f>
        <v>2004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17780</v>
      </c>
      <c r="L39" s="2" t="n">
        <f aca="false">(L47*K46)+K44</f>
        <v>25291.4858481498</v>
      </c>
      <c r="N39" s="1" t="n">
        <f aca="false">K39-L39</f>
        <v>-7511.48584814975</v>
      </c>
      <c r="P39" s="211"/>
    </row>
    <row r="40" customFormat="false" ht="19.5" hidden="false" customHeight="false" outlineLevel="0" collapsed="false">
      <c r="A40" s="106" t="n">
        <f aca="false">E36*A45/100</f>
        <v>5850.0</v>
      </c>
      <c r="B40" s="106" t="n">
        <f aca="false">IF(B26="YES",K42,"0.00")</f>
        <v>41.91</v>
      </c>
      <c r="C40" s="106"/>
      <c r="D40" s="106"/>
      <c r="E40" s="181" t="n">
        <f aca="false">K32</f>
        <v>1466.85</v>
      </c>
      <c r="F40" s="185"/>
      <c r="G40" s="185"/>
      <c r="H40" s="46"/>
      <c r="J40" s="2" t="s">
        <v>107</v>
      </c>
      <c r="K40" s="2" t="n">
        <f aca="false">(A40)/1.2</f>
        <v>1670</v>
      </c>
      <c r="L40" s="2" t="n">
        <f aca="false">K39-L39</f>
        <v>-7511.48584814975</v>
      </c>
      <c r="N40" s="1" t="n">
        <f aca="false">N38-N39</f>
        <v>10423.1658481498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(K32/K36/100)*C45</f>
        <v>41.91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1354.50185880034</v>
      </c>
      <c r="L44" s="2"/>
      <c r="P44" s="211"/>
    </row>
    <row r="45" customFormat="false" ht="19.5" hidden="false" customHeight="false" outlineLevel="0" collapsed="false">
      <c r="A45" s="502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366</v>
      </c>
      <c r="K45" s="2" t="n">
        <f aca="false">(K39-K44)</f>
        <v>16425.4981411997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520.19944916212</v>
      </c>
      <c r="L47" s="2" t="n">
        <f aca="false">L49-K42</f>
        <v>758.09</v>
      </c>
      <c r="M47" s="1" t="n">
        <f aca="false">K47-L47</f>
        <v>-237.89055083788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562.10944916212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562.10944916212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20928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20928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20928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7387.72776326008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31461.6077524844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6848.32065523045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868.346867489585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187.84989375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1547.8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204.92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168.754479166667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520.19944916212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520.19944916212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562.10944916212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562.10944916212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23021.604</v>
      </c>
      <c r="C81" s="92"/>
      <c r="D81" s="92"/>
      <c r="E81" s="112"/>
      <c r="F81" s="24" t="s">
        <v>106</v>
      </c>
      <c r="G81" s="26" t="n">
        <f aca="false">G158</f>
        <v>23021.604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22207.765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17234.5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2004</v>
      </c>
      <c r="C82" s="92"/>
      <c r="D82" s="92"/>
      <c r="E82" s="112"/>
      <c r="F82" s="30" t="s">
        <v>107</v>
      </c>
      <c r="G82" s="32" t="n">
        <f aca="false">IF(A111="YES",A40,0)</f>
        <v>2004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2004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2004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1414.65205504356</v>
      </c>
      <c r="C86" s="92"/>
      <c r="D86" s="92"/>
      <c r="E86" s="112"/>
      <c r="F86" s="30" t="s">
        <v>111</v>
      </c>
      <c r="G86" s="32" t="n">
        <f aca="false">(G82/((1+G84)^(G85+1)))</f>
        <v>1634.88374357201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1370.4406537485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1370.4406537485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21606.9519449564</v>
      </c>
      <c r="C88" s="92"/>
      <c r="D88" s="92"/>
      <c r="E88" s="112"/>
      <c r="F88" s="30" t="s">
        <v>113</v>
      </c>
      <c r="G88" s="32" t="n">
        <f aca="false">G81-G86</f>
        <v>21386.720256428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20837.3243462515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15864.0593462515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752.785543645126</v>
      </c>
      <c r="C89" s="92"/>
      <c r="D89" s="92"/>
      <c r="E89" s="112"/>
      <c r="F89" s="30" t="s">
        <v>114</v>
      </c>
      <c r="G89" s="32" t="n">
        <f aca="false">(G88/G87)</f>
        <v>695.286592467038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736.920628703078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561.0390467107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25594.7084839343</v>
      </c>
      <c r="C90" s="92"/>
      <c r="D90" s="92"/>
      <c r="E90" s="112"/>
      <c r="F90" s="30" t="s">
        <v>115</v>
      </c>
      <c r="G90" s="32" t="n">
        <f aca="false">((G89*(G85))+G77)</f>
        <v>23639.7441438793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25055.3013759046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19075.3275881638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25594.7084839343</v>
      </c>
      <c r="C92" s="92"/>
      <c r="D92" s="92"/>
      <c r="E92" s="112"/>
      <c r="F92" s="55" t="s">
        <v>117</v>
      </c>
      <c r="G92" s="64" t="n">
        <f aca="false">(G90+G91)</f>
        <v>23639.7441438793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25055.3013759046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19075.3275881638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67.3025294117647</v>
      </c>
      <c r="C94" s="92"/>
      <c r="D94" s="92"/>
      <c r="E94" s="112"/>
      <c r="F94" s="87" t="s">
        <v>118</v>
      </c>
      <c r="G94" s="93" t="n">
        <f aca="false">IF(B26="YES",((E40/B85)*(1+A108)*(C45/100)),"0")</f>
        <v>56.0854411764706</v>
      </c>
      <c r="H94" s="32"/>
      <c r="J94" s="87" t="s">
        <v>118</v>
      </c>
      <c r="K94" s="88" t="n">
        <f aca="false">((E40/K85)*(1+J108))*1.2</f>
        <v>65.3796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51.7711764705882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62.1254117647059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752.785543645126</v>
      </c>
      <c r="C95" s="92"/>
      <c r="D95" s="92"/>
      <c r="E95" s="112"/>
      <c r="F95" s="94" t="s">
        <v>119</v>
      </c>
      <c r="G95" s="95" t="n">
        <f aca="false">G92/(G85)</f>
        <v>695.286592467038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736.920628703078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561.0390467107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820.088073056891</v>
      </c>
      <c r="C96" s="92"/>
      <c r="D96" s="92"/>
      <c r="E96" s="112"/>
      <c r="F96" s="96" t="s">
        <v>120</v>
      </c>
      <c r="G96" s="97" t="n">
        <f aca="false">G94+G95</f>
        <v>751.372033643508</v>
      </c>
      <c r="H96" s="32"/>
      <c r="J96" s="96" t="s">
        <v>120</v>
      </c>
      <c r="K96" s="97" t="n">
        <f aca="false">(K94+K95)</f>
        <v>1526.22043744584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788.691805173666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623.164458475405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390</v>
      </c>
      <c r="F105" s="103"/>
      <c r="G105" s="103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s">
        <v>402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390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398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16745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151</v>
      </c>
      <c r="T121" s="119" t="n">
        <f aca="false">B3</f>
        <v>16745</v>
      </c>
      <c r="U121" s="120" t="n">
        <f aca="false">T121</f>
        <v>16745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151</v>
      </c>
      <c r="AC121" s="119" t="n">
        <f aca="false">B3</f>
        <v>16745</v>
      </c>
      <c r="AD121" s="120" t="n">
        <f aca="false">AC121</f>
        <v>16745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152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152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152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f aca="false">B5</f>
        <v>0</v>
      </c>
      <c r="C123" s="120" t="n">
        <v>-3544.67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-3544.67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154</v>
      </c>
      <c r="T124" s="129" t="n">
        <f aca="false">(T121*T122)+T123</f>
        <v>0</v>
      </c>
      <c r="U124" s="130" t="n">
        <f aca="false">(U121*U122/100)+U123</f>
        <v>41.8625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4186.25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16745</v>
      </c>
      <c r="C125" s="132" t="n">
        <f aca="false">C121-C124</f>
        <v>20289.67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16745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155</v>
      </c>
      <c r="T125" s="131" t="n">
        <f aca="false">T121-T124</f>
        <v>16745</v>
      </c>
      <c r="U125" s="132" t="n">
        <f aca="false">U121-U124</f>
        <v>16703.1375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155</v>
      </c>
      <c r="AC125" s="131" t="n">
        <f aca="false">AC121-AC124</f>
        <v>16745</v>
      </c>
      <c r="AD125" s="132" t="n">
        <f aca="false">AD121-AD124</f>
        <v>12558.75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20289.67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16745</v>
      </c>
      <c r="Q135" s="152" t="n">
        <f aca="false">L125+N125+P125+Q128</f>
        <v>28629.17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16745</v>
      </c>
      <c r="Z135" s="152" t="n">
        <f aca="false">U125+W125+Y125+Z128</f>
        <v>16703.1375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16745</v>
      </c>
      <c r="AI135" s="152" t="n">
        <f aca="false">AD125+AF125+AH125+AI128</f>
        <v>12558.75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4196.934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3488</v>
      </c>
      <c r="Q137" s="32" t="n">
        <f aca="false">(Q135+Q136)*20%</f>
        <v>5864.834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3488</v>
      </c>
      <c r="Z137" s="32" t="n">
        <f aca="false">(Z135+Z136)*20%</f>
        <v>3479.6275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3488</v>
      </c>
      <c r="AI137" s="32" t="n">
        <f aca="false">(AI135+AI136)*20%</f>
        <v>2650.75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25521.604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21268</v>
      </c>
      <c r="Q141" s="156" t="n">
        <f aca="false">(Q135+Q136+Q139+Q140+Q137)-Q138</f>
        <v>35519.004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21268</v>
      </c>
      <c r="Z141" s="156" t="n">
        <f aca="false">(Z135+Z136+Z139+Z140+Z137)-Z138</f>
        <v>21207.765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21268</v>
      </c>
      <c r="AI141" s="156" t="n">
        <f aca="false">(AI135+AI136+AI139+AI140+AI137)-AI138</f>
        <v>16234.5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172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25521.604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21268</v>
      </c>
      <c r="Q147" s="163" t="n">
        <f aca="false">Q141-((Q144*1.2)+(Q145*1.2)+(Q146*1.2)+(Q142*1.2))</f>
        <v>35519.004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21268</v>
      </c>
      <c r="Z147" s="163" t="n">
        <f aca="false">Z141-((Z144*1.2)+(Z145*1.2)+(Z146*1.2)+(Z142*1.2))</f>
        <v>21207.765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21268</v>
      </c>
      <c r="AI147" s="163" t="n">
        <f aca="false">AI141-((AI144*1.2)+(AI145*1.2)+(AI146*1.2)+(AI142*1.2))</f>
        <v>16234.5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3544.67</v>
      </c>
      <c r="I148" s="1" t="n">
        <f aca="false">(H148-G81)/1.2</f>
        <v>-16230.7783333333</v>
      </c>
      <c r="J148" s="153" t="s">
        <v>174</v>
      </c>
      <c r="K148" s="153"/>
      <c r="L148" s="153"/>
      <c r="M148" s="153"/>
      <c r="N148" s="153"/>
      <c r="O148" s="153"/>
      <c r="P148" s="154"/>
      <c r="Q148" s="39" t="n">
        <f aca="false">Q147-P147</f>
        <v>14251.004</v>
      </c>
      <c r="S148" s="153" t="s">
        <v>174</v>
      </c>
      <c r="T148" s="153"/>
      <c r="U148" s="153"/>
      <c r="V148" s="153"/>
      <c r="W148" s="153"/>
      <c r="X148" s="153"/>
      <c r="Y148" s="154"/>
      <c r="Z148" s="39" t="n">
        <f aca="false">Z147-Y147</f>
        <v>-60.2350000000006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n">
        <f aca="false">AI147-AH147</f>
        <v>-5033.5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0.0</v>
      </c>
      <c r="F152" s="106"/>
      <c r="G152" s="106" t="n">
        <v>1000.0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500.0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23021.604</v>
      </c>
      <c r="H158" s="169"/>
      <c r="J158" s="168" t="s">
        <v>181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181</v>
      </c>
      <c r="T158" s="92"/>
      <c r="U158" s="92"/>
      <c r="V158" s="112"/>
      <c r="W158" s="92"/>
      <c r="X158" s="112"/>
      <c r="Y158" s="169" t="n">
        <f aca="false">Z147-Y154-Y157</f>
        <v>22207.765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n">
        <f aca="false">AI147-AH154-AH157</f>
        <v>17234.5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752.785543645126</v>
      </c>
      <c r="B167" s="176" t="n">
        <f aca="false">B94</f>
        <v>67.3025294117647</v>
      </c>
      <c r="C167" s="173"/>
      <c r="D167" s="173"/>
      <c r="E167" s="176" t="n">
        <f aca="false">B96</f>
        <v>820.088073056891</v>
      </c>
      <c r="F167" s="22"/>
      <c r="G167" s="22" t="n">
        <f aca="false">ROUND(G95,2)</f>
        <v>695.29</v>
      </c>
      <c r="H167" s="32"/>
      <c r="J167" s="175" t="n">
        <f aca="false">K95</f>
        <v>1460.84083744584</v>
      </c>
      <c r="K167" s="176" t="n">
        <f aca="false">K94</f>
        <v>65.3796</v>
      </c>
      <c r="L167" s="173"/>
      <c r="M167" s="173"/>
      <c r="N167" s="176" t="n">
        <f aca="false">K96</f>
        <v>1526.22043744584</v>
      </c>
      <c r="O167" s="22"/>
      <c r="P167" s="22"/>
      <c r="Q167" s="32"/>
      <c r="S167" s="175" t="n">
        <f aca="false">T95</f>
        <v>736.920628703078</v>
      </c>
      <c r="T167" s="176" t="n">
        <f aca="false">T94</f>
        <v>51.7711764705882</v>
      </c>
      <c r="U167" s="173"/>
      <c r="V167" s="173"/>
      <c r="W167" s="176" t="n">
        <f aca="false">T96</f>
        <v>788.691805173666</v>
      </c>
      <c r="X167" s="22"/>
      <c r="Y167" s="22"/>
      <c r="Z167" s="32"/>
      <c r="AB167" s="175" t="n">
        <f aca="false">AC95</f>
        <v>561.0390467107</v>
      </c>
      <c r="AC167" s="176" t="n">
        <f aca="false">AC94</f>
        <v>62.1254117647059</v>
      </c>
      <c r="AD167" s="173"/>
      <c r="AE167" s="173"/>
      <c r="AF167" s="176" t="n">
        <f aca="false">AC96</f>
        <v>623.164458475405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2004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2004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2004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2004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20984.67</v>
      </c>
      <c r="B173" s="102" t="n">
        <f aca="false">H137</f>
        <v>4196.934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17398.1375</v>
      </c>
      <c r="T173" s="102" t="n">
        <f aca="false">Z137</f>
        <v>3479.6275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13253.75</v>
      </c>
      <c r="AC173" s="102" t="n">
        <f aca="false">AI137</f>
        <v>2650.75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25521.604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21207.765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16234.5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23021.604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22207.765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17234.5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4577.10448393428</v>
      </c>
      <c r="B182" s="102" t="str">
        <f aca="false">B114</f>
        <v>239.99</v>
      </c>
      <c r="C182" s="102"/>
      <c r="D182" s="22"/>
      <c r="E182" s="102" t="n">
        <f aca="false">E179+A182+B182+A185</f>
        <v>27848.6984839343</v>
      </c>
      <c r="F182" s="22"/>
      <c r="G182" s="22"/>
      <c r="H182" s="104"/>
      <c r="J182" s="110" t="n">
        <f aca="false">(J167*K59)+N185-N179-J185</f>
        <v>15153.5844731586</v>
      </c>
      <c r="K182" s="102" t="n">
        <f aca="false">K114</f>
        <v>239.99</v>
      </c>
      <c r="L182" s="102"/>
      <c r="M182" s="22"/>
      <c r="N182" s="102" t="n">
        <f aca="false">N179+J182+K182+J185</f>
        <v>51932.5784731586</v>
      </c>
      <c r="O182" s="22"/>
      <c r="P182" s="22"/>
      <c r="Q182" s="104"/>
      <c r="S182" s="110" t="n">
        <f aca="false">(S167*T59)+W185-W179-S185</f>
        <v>4851.53637590465</v>
      </c>
      <c r="T182" s="102" t="n">
        <f aca="false">T114</f>
        <v>199.99</v>
      </c>
      <c r="U182" s="102"/>
      <c r="V182" s="22"/>
      <c r="W182" s="102" t="n">
        <f aca="false">W179+S182+T182+S185</f>
        <v>27269.2913759046</v>
      </c>
      <c r="X182" s="22"/>
      <c r="Y182" s="22"/>
      <c r="Z182" s="104"/>
      <c r="AB182" s="110" t="n">
        <f aca="false">(AB167*AC59)+AF185-AF179-AB185</f>
        <v>3844.82758816379</v>
      </c>
      <c r="AC182" s="102" t="n">
        <f aca="false">AC114</f>
        <v>239.99</v>
      </c>
      <c r="AD182" s="102"/>
      <c r="AE182" s="22"/>
      <c r="AF182" s="102" t="n">
        <f aca="false">AF179+AB182+AC182+AB185</f>
        <v>21329.3175881638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(IF(E170=0,E167+A185,E170+A185))</f>
        <v>2014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2024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2014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2014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5.02272</v>
      </c>
      <c r="B188" s="102" t="n">
        <f aca="false">B68</f>
        <v>187.84989375</v>
      </c>
      <c r="C188" s="92"/>
      <c r="D188" s="92"/>
      <c r="E188" s="102" t="n">
        <f aca="false">(E40*A108)*0.1*(C45/100)</f>
        <v>44.0055</v>
      </c>
      <c r="F188" s="22"/>
      <c r="G188" s="22"/>
      <c r="H188" s="32"/>
      <c r="J188" s="110" t="n">
        <f aca="false">IF(N105="YES",H15*0.000002,0)</f>
        <v>0.042536</v>
      </c>
      <c r="K188" s="102" t="n">
        <f aca="false">(P158*K67)/1.2</f>
        <v>2250.73722569444</v>
      </c>
      <c r="L188" s="92"/>
      <c r="M188" s="92"/>
      <c r="N188" s="102" t="n">
        <f aca="false">(E40*J108)*0.1</f>
        <v>44.0055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181.209193576389</v>
      </c>
      <c r="U188" s="92"/>
      <c r="V188" s="92"/>
      <c r="W188" s="102" t="n">
        <f aca="false">(E40*S108)*0.1</f>
        <v>29.337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140.628732638889</v>
      </c>
      <c r="AD188" s="92"/>
      <c r="AE188" s="92"/>
      <c r="AF188" s="102" t="n">
        <f aca="false">(E40*AB108)*0.1</f>
        <v>29.337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331.847060416667</v>
      </c>
      <c r="C191" s="92"/>
      <c r="D191" s="92"/>
      <c r="E191" s="102" t="n">
        <f aca="false">H148</f>
        <v>3544.67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3434.73272569444</v>
      </c>
      <c r="L191" s="92"/>
      <c r="M191" s="92"/>
      <c r="N191" s="102" t="n">
        <f aca="false">Q148</f>
        <v>14251.004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1310.53619357639</v>
      </c>
      <c r="U191" s="92"/>
      <c r="V191" s="92"/>
      <c r="W191" s="102" t="n">
        <f aca="false">Z148</f>
        <v>-60.2350000000006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1309.95573263889</v>
      </c>
      <c r="AD191" s="92"/>
      <c r="AE191" s="92"/>
      <c r="AF191" s="102" t="n">
        <f aca="false">AI148</f>
        <v>-5033.5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820.088073056891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1526.22043744584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788.691805173666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623.164458475405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2622.256</v>
      </c>
      <c r="B201" s="185" t="n">
        <f aca="false">E179+A201+B182+A185</f>
        <v>25893.85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273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752.785543645126</v>
      </c>
      <c r="B212" s="176" t="n">
        <f aca="false">B167</f>
        <v>67.3025294117647</v>
      </c>
      <c r="C212" s="173"/>
      <c r="D212" s="173"/>
      <c r="E212" s="176" t="n">
        <f aca="false">E167</f>
        <v>820.088073056891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20984.67</v>
      </c>
      <c r="B215" s="102" t="n">
        <f aca="false">B173</f>
        <v>4196.934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25521.604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23021.604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4577.10448393428</v>
      </c>
      <c r="B224" s="102" t="str">
        <f aca="false">B182</f>
        <v>239.99</v>
      </c>
      <c r="C224" s="102"/>
      <c r="D224" s="112"/>
      <c r="E224" s="102" t="n">
        <f aca="false">E182</f>
        <v>27848.6984839343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752.785543645126</v>
      </c>
      <c r="B230" s="102" t="n">
        <f aca="false">B167</f>
        <v>67.3025294117647</v>
      </c>
      <c r="C230" s="185"/>
      <c r="D230" s="185"/>
      <c r="E230" s="102" t="n">
        <f aca="false">E167</f>
        <v>820.088073056891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188</v>
      </c>
      <c r="B232" s="92" t="s">
        <v>210</v>
      </c>
      <c r="C232" s="92"/>
      <c r="D232" s="92"/>
      <c r="E232" s="92" t="s">
        <v>211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2004</v>
      </c>
      <c r="B233" s="102" t="n">
        <f aca="false">E185</f>
        <v>2014</v>
      </c>
      <c r="C233" s="92"/>
      <c r="D233" s="92"/>
      <c r="E233" s="102" t="n">
        <f aca="false">A188</f>
        <v>5.02272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132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3544.67</v>
      </c>
      <c r="B240" s="102" t="n">
        <f aca="false">B68</f>
        <v>187.84989375</v>
      </c>
      <c r="C240" s="92"/>
      <c r="D240" s="92"/>
      <c r="E240" s="102" t="n">
        <f aca="false">E188</f>
        <v>44.0055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3876.51706041667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1964.84848393428</v>
      </c>
      <c r="C254" s="196"/>
      <c r="D254" s="197" t="s">
        <v>218</v>
      </c>
      <c r="E254" s="197"/>
      <c r="F254" s="199" t="n">
        <f aca="false">F261+F267+F269+B270+B271</f>
        <v>225.4198725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540.046666666667</v>
      </c>
      <c r="C255" s="196"/>
      <c r="D255" s="197" t="s">
        <v>220</v>
      </c>
      <c r="E255" s="197"/>
      <c r="F255" s="199" t="n">
        <f aca="false">(B254-F254)+B255</f>
        <v>2279.47527810095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</v>
      </c>
      <c r="C260" s="42"/>
      <c r="D260" s="165" t="s">
        <v>217</v>
      </c>
      <c r="E260" s="165"/>
      <c r="F260" s="145" t="n">
        <f aca="false">B254</f>
        <v>1964.84848393428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0.00979166666666667</v>
      </c>
      <c r="C261" s="31"/>
      <c r="D261" s="165" t="s">
        <v>223</v>
      </c>
      <c r="E261" s="165"/>
      <c r="F261" s="150" t="n">
        <f aca="false">B68*1.2</f>
        <v>225.4198725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0.3</v>
      </c>
      <c r="C262" s="31"/>
      <c r="D262" s="165" t="s">
        <v>224</v>
      </c>
      <c r="E262" s="165"/>
      <c r="F262" s="145" t="n">
        <f aca="false">E240*10</f>
        <v>440.055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2279.47527810095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202" activeCellId="0" sqref="A20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 t="n">
        <v>550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/>
      <c r="C13" s="153"/>
      <c r="D13" s="153"/>
      <c r="E13" s="153" t="n">
        <v>555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389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183</v>
      </c>
      <c r="B30" s="103" t="s">
        <v>401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1503.0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 t="n">
        <v>0</v>
      </c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583.05944916212</v>
      </c>
      <c r="F33" s="231"/>
      <c r="G33" s="231"/>
      <c r="H33" s="46"/>
      <c r="I33" s="2"/>
      <c r="J33" s="33" t="s">
        <v>355</v>
      </c>
      <c r="K33" s="47" t="n">
        <f aca="false">H21-H11+(H16*20%)</f>
        <v>17780</v>
      </c>
      <c r="L33" s="1" t="n">
        <f aca="false">H21-H11+(H16*20%)</f>
        <v>17780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520.19944916212</v>
      </c>
      <c r="B36" s="231" t="n">
        <f aca="false">IF(B26="YES",K42,"0.00")</f>
        <v>62.86</v>
      </c>
      <c r="C36" s="231"/>
      <c r="D36" s="231"/>
      <c r="E36" s="231" t="n">
        <f aca="false">K31</f>
        <v>2004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17780</v>
      </c>
      <c r="L39" s="2" t="n">
        <f aca="false">(L47*K46)+K44</f>
        <v>24629.9815220448</v>
      </c>
      <c r="N39" s="1" t="n">
        <f aca="false">K39-L39</f>
        <v>-6849.98152204484</v>
      </c>
      <c r="P39" s="211"/>
    </row>
    <row r="40" customFormat="false" ht="19.5" hidden="false" customHeight="false" outlineLevel="0" collapsed="false">
      <c r="A40" s="312" t="n">
        <f aca="false">E36*A45/100</f>
        <v>5850.0</v>
      </c>
      <c r="B40" s="106" t="n">
        <f aca="false">IF(B26="YES",K42,"0.00")</f>
        <v>62.86</v>
      </c>
      <c r="C40" s="106"/>
      <c r="D40" s="106"/>
      <c r="E40" s="181" t="n">
        <f aca="false">K32</f>
        <v>2200.1</v>
      </c>
      <c r="F40" s="185"/>
      <c r="G40" s="185"/>
      <c r="H40" s="46"/>
      <c r="J40" s="2" t="s">
        <v>107</v>
      </c>
      <c r="K40" s="2" t="n">
        <f aca="false">(A40)/1.2</f>
        <v>1670</v>
      </c>
      <c r="L40" s="2" t="n">
        <f aca="false">K39-L39</f>
        <v>-6849.98152204484</v>
      </c>
      <c r="N40" s="1" t="n">
        <f aca="false">N38-N39</f>
        <v>9761.66152204484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(K32/K36/100)*C45</f>
        <v>62.86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1354.50185880034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366</v>
      </c>
      <c r="K45" s="2" t="n">
        <f aca="false">(K39-K44)</f>
        <v>16425.4981411997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520.19944916212</v>
      </c>
      <c r="L47" s="2" t="n">
        <f aca="false">L49-K42</f>
        <v>737.14</v>
      </c>
      <c r="M47" s="1" t="n">
        <f aca="false">K47-L47</f>
        <v>-216.94055083788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583.05944916212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583.05944916212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20928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20928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20928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9283.02209624229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31461.6077524844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6848.32065523045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868.346867489585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200.905449305556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1547.8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204.92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168.754479166667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0.05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520.19944916212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520.19944916212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583.05944916212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583.05944916212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24621.604</v>
      </c>
      <c r="C81" s="92"/>
      <c r="D81" s="92"/>
      <c r="E81" s="112"/>
      <c r="F81" s="24" t="s">
        <v>106</v>
      </c>
      <c r="G81" s="26" t="n">
        <f aca="false">G158</f>
        <v>24621.604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22207.765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17234.5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2004</v>
      </c>
      <c r="C82" s="92"/>
      <c r="D82" s="92"/>
      <c r="E82" s="112"/>
      <c r="F82" s="30" t="s">
        <v>107</v>
      </c>
      <c r="G82" s="32" t="n">
        <f aca="false">IF(A111="YES",A40,0)</f>
        <v>2004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2004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2004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1414.65205504356</v>
      </c>
      <c r="C86" s="92"/>
      <c r="D86" s="92"/>
      <c r="E86" s="112"/>
      <c r="F86" s="30" t="s">
        <v>111</v>
      </c>
      <c r="G86" s="32" t="n">
        <f aca="false">(G82/((1+G84)^(G85+1)))</f>
        <v>1634.88374357201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1370.4406537485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1370.4406537485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23206.9519449564</v>
      </c>
      <c r="C88" s="92"/>
      <c r="D88" s="92"/>
      <c r="E88" s="112"/>
      <c r="F88" s="30" t="s">
        <v>113</v>
      </c>
      <c r="G88" s="32" t="n">
        <f aca="false">G81-G86</f>
        <v>22986.720256428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20837.3243462515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15864.0593462515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808.529494615191</v>
      </c>
      <c r="C89" s="92"/>
      <c r="D89" s="92"/>
      <c r="E89" s="112"/>
      <c r="F89" s="30" t="s">
        <v>114</v>
      </c>
      <c r="G89" s="32" t="n">
        <f aca="false">(G88/G87)</f>
        <v>747.302915428615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736.920628703078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561.0390467107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27490.0028169165</v>
      </c>
      <c r="C90" s="92"/>
      <c r="D90" s="92"/>
      <c r="E90" s="112"/>
      <c r="F90" s="30" t="s">
        <v>115</v>
      </c>
      <c r="G90" s="32" t="n">
        <f aca="false">((G89*(G85))+G77)</f>
        <v>25408.2991245729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25055.3013759046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19075.3275881638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27490.0028169165</v>
      </c>
      <c r="C92" s="92"/>
      <c r="D92" s="92"/>
      <c r="E92" s="112"/>
      <c r="F92" s="55" t="s">
        <v>117</v>
      </c>
      <c r="G92" s="64" t="n">
        <f aca="false">(G90+G91)</f>
        <v>25408.2991245729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25055.3013759046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19075.3275881638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100.945764705882</v>
      </c>
      <c r="C94" s="92"/>
      <c r="D94" s="92"/>
      <c r="E94" s="112"/>
      <c r="F94" s="87" t="s">
        <v>118</v>
      </c>
      <c r="G94" s="93" t="n">
        <f aca="false">IF(B26="YES",((E40/B85)*(1+A108)*(C45/100)),"0")</f>
        <v>84.1214705882353</v>
      </c>
      <c r="H94" s="32"/>
      <c r="J94" s="87" t="s">
        <v>118</v>
      </c>
      <c r="K94" s="88" t="n">
        <f aca="false">((E40/K85)*(1+J108))*1.2</f>
        <v>98.0616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77.6505882352941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93.1807058823529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808.529494615191</v>
      </c>
      <c r="C95" s="92"/>
      <c r="D95" s="92"/>
      <c r="E95" s="112"/>
      <c r="F95" s="94" t="s">
        <v>119</v>
      </c>
      <c r="G95" s="95" t="n">
        <f aca="false">G92/(G85)</f>
        <v>747.302915428615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736.920628703078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561.0390467107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909.475259321073</v>
      </c>
      <c r="C96" s="92"/>
      <c r="D96" s="92"/>
      <c r="E96" s="112"/>
      <c r="F96" s="96" t="s">
        <v>120</v>
      </c>
      <c r="G96" s="97" t="n">
        <f aca="false">G94+G95</f>
        <v>831.42438601685</v>
      </c>
      <c r="H96" s="32"/>
      <c r="J96" s="96" t="s">
        <v>120</v>
      </c>
      <c r="K96" s="97" t="n">
        <f aca="false">(K94+K95)</f>
        <v>1558.90243744584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814.571216938372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654.219752593053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125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389</v>
      </c>
      <c r="F105" s="103"/>
      <c r="G105" s="103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394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390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398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144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16745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151</v>
      </c>
      <c r="T121" s="119" t="n">
        <f aca="false">B3</f>
        <v>16745</v>
      </c>
      <c r="U121" s="120" t="n">
        <f aca="false">T121</f>
        <v>16745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151</v>
      </c>
      <c r="AC121" s="119" t="n">
        <f aca="false">B3</f>
        <v>16745</v>
      </c>
      <c r="AD121" s="120" t="n">
        <f aca="false">AC121</f>
        <v>16745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152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152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152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f aca="false">B5</f>
        <v>0</v>
      </c>
      <c r="C123" s="120" t="n">
        <v>-3544.67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-3544.67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154</v>
      </c>
      <c r="T124" s="129" t="n">
        <f aca="false">(T121*T122)+T123</f>
        <v>0</v>
      </c>
      <c r="U124" s="130" t="n">
        <f aca="false">(U121*U122/100)+U123</f>
        <v>41.8625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4186.25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16745</v>
      </c>
      <c r="C125" s="132" t="n">
        <f aca="false">C121-C124</f>
        <v>20289.67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16745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155</v>
      </c>
      <c r="T125" s="131" t="n">
        <f aca="false">T121-T124</f>
        <v>16745</v>
      </c>
      <c r="U125" s="132" t="n">
        <f aca="false">U121-U124</f>
        <v>16703.1375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155</v>
      </c>
      <c r="AC125" s="131" t="n">
        <f aca="false">AC121-AC124</f>
        <v>16745</v>
      </c>
      <c r="AD125" s="132" t="n">
        <f aca="false">AD121-AD124</f>
        <v>12558.75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20289.67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16745</v>
      </c>
      <c r="Q135" s="152" t="n">
        <f aca="false">L125+N125+P125+Q128</f>
        <v>28629.17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16745</v>
      </c>
      <c r="Z135" s="152" t="n">
        <f aca="false">U125+W125+Y125+Z128</f>
        <v>16703.1375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16745</v>
      </c>
      <c r="AI135" s="152" t="n">
        <f aca="false">AD125+AF125+AH125+AI128</f>
        <v>12558.75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4196.934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3488</v>
      </c>
      <c r="Q137" s="32" t="n">
        <f aca="false">(Q135+Q136)*20%</f>
        <v>5864.834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3488</v>
      </c>
      <c r="Z137" s="32" t="n">
        <f aca="false">(Z135+Z136)*20%</f>
        <v>3479.6275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3488</v>
      </c>
      <c r="AI137" s="32" t="n">
        <f aca="false">(AI135+AI136)*20%</f>
        <v>2650.75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25521.604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21268</v>
      </c>
      <c r="Q141" s="156" t="n">
        <f aca="false">(Q135+Q136+Q139+Q140+Q137)-Q138</f>
        <v>35519.004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21268</v>
      </c>
      <c r="Z141" s="156" t="n">
        <f aca="false">(Z135+Z136+Z139+Z140+Z137)-Z138</f>
        <v>21207.765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21268</v>
      </c>
      <c r="AI141" s="156" t="n">
        <f aca="false">(AI135+AI136+AI139+AI140+AI137)-AI138</f>
        <v>16234.5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172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25521.604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21268</v>
      </c>
      <c r="Q147" s="163" t="n">
        <f aca="false">Q141-((Q144*1.2)+(Q145*1.2)+(Q146*1.2)+(Q142*1.2))</f>
        <v>35519.004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21268</v>
      </c>
      <c r="Z147" s="163" t="n">
        <f aca="false">Z141-((Z144*1.2)+(Z145*1.2)+(Z146*1.2)+(Z142*1.2))</f>
        <v>21207.765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21268</v>
      </c>
      <c r="AI147" s="163" t="n">
        <f aca="false">AI141-((AI144*1.2)+(AI145*1.2)+(AI146*1.2)+(AI142*1.2))</f>
        <v>16234.5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3544.67</v>
      </c>
      <c r="I148" s="1" t="n">
        <f aca="false">(H148-G81)/1.2</f>
        <v>-17564.1116666667</v>
      </c>
      <c r="J148" s="153" t="s">
        <v>174</v>
      </c>
      <c r="K148" s="153"/>
      <c r="L148" s="153"/>
      <c r="M148" s="153"/>
      <c r="N148" s="153"/>
      <c r="O148" s="153"/>
      <c r="P148" s="154"/>
      <c r="Q148" s="39" t="n">
        <f aca="false">Q147-P147</f>
        <v>14251.004</v>
      </c>
      <c r="S148" s="153" t="s">
        <v>174</v>
      </c>
      <c r="T148" s="153"/>
      <c r="U148" s="153"/>
      <c r="V148" s="153"/>
      <c r="W148" s="153"/>
      <c r="X148" s="153"/>
      <c r="Y148" s="154"/>
      <c r="Z148" s="39" t="n">
        <f aca="false">Z147-Y147</f>
        <v>-60.2350000000006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n">
        <f aca="false">AI147-AH147</f>
        <v>-5033.5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0.0</v>
      </c>
      <c r="F152" s="106"/>
      <c r="G152" s="106" t="n">
        <v>1000.0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500.0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24621.604</v>
      </c>
      <c r="H158" s="169"/>
      <c r="J158" s="168" t="s">
        <v>181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181</v>
      </c>
      <c r="T158" s="92"/>
      <c r="U158" s="92"/>
      <c r="V158" s="112"/>
      <c r="W158" s="92"/>
      <c r="X158" s="112"/>
      <c r="Y158" s="169" t="n">
        <f aca="false">Z147-Y154-Y157</f>
        <v>22207.765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n">
        <f aca="false">AI147-AH154-AH157</f>
        <v>17234.5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808.529494615191</v>
      </c>
      <c r="B167" s="176" t="n">
        <f aca="false">B94</f>
        <v>100.945764705882</v>
      </c>
      <c r="C167" s="173"/>
      <c r="D167" s="173"/>
      <c r="E167" s="176" t="n">
        <f aca="false">B96</f>
        <v>909.475259321073</v>
      </c>
      <c r="F167" s="22"/>
      <c r="G167" s="22" t="n">
        <f aca="false">ROUND(G95,2)</f>
        <v>747.3</v>
      </c>
      <c r="H167" s="32"/>
      <c r="J167" s="175" t="n">
        <f aca="false">K95</f>
        <v>1460.84083744584</v>
      </c>
      <c r="K167" s="176" t="n">
        <f aca="false">K94</f>
        <v>98.0616</v>
      </c>
      <c r="L167" s="173"/>
      <c r="M167" s="173"/>
      <c r="N167" s="176" t="n">
        <f aca="false">K96</f>
        <v>1558.90243744584</v>
      </c>
      <c r="O167" s="22"/>
      <c r="P167" s="22"/>
      <c r="Q167" s="32"/>
      <c r="S167" s="175" t="n">
        <f aca="false">T95</f>
        <v>736.920628703078</v>
      </c>
      <c r="T167" s="176" t="n">
        <f aca="false">T94</f>
        <v>77.6505882352941</v>
      </c>
      <c r="U167" s="173"/>
      <c r="V167" s="173"/>
      <c r="W167" s="176" t="n">
        <f aca="false">T96</f>
        <v>814.571216938372</v>
      </c>
      <c r="X167" s="22"/>
      <c r="Y167" s="22"/>
      <c r="Z167" s="32"/>
      <c r="AB167" s="175" t="n">
        <f aca="false">AC95</f>
        <v>561.0390467107</v>
      </c>
      <c r="AC167" s="176" t="n">
        <f aca="false">AC94</f>
        <v>93.1807058823529</v>
      </c>
      <c r="AD167" s="173"/>
      <c r="AE167" s="173"/>
      <c r="AF167" s="176" t="n">
        <f aca="false">AC96</f>
        <v>654.219752593053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2004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2004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2004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2004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20984.67</v>
      </c>
      <c r="B173" s="102" t="n">
        <f aca="false">H137</f>
        <v>4196.934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17398.1375</v>
      </c>
      <c r="T173" s="102" t="n">
        <f aca="false">Z137</f>
        <v>3479.6275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13253.75</v>
      </c>
      <c r="AC173" s="102" t="n">
        <f aca="false">AI137</f>
        <v>2650.75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25521.604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21207.765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16234.5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24621.604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22207.765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17234.5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4872.39881691649</v>
      </c>
      <c r="B182" s="102" t="str">
        <f aca="false">B114</f>
        <v>239.99</v>
      </c>
      <c r="C182" s="102"/>
      <c r="D182" s="22"/>
      <c r="E182" s="102" t="n">
        <f aca="false">E179+A182+B182+A185</f>
        <v>29743.9928169165</v>
      </c>
      <c r="F182" s="22"/>
      <c r="G182" s="22"/>
      <c r="H182" s="104"/>
      <c r="J182" s="110" t="n">
        <f aca="false">(J167*K59)+N185-N179-J185</f>
        <v>15153.5844731586</v>
      </c>
      <c r="K182" s="102" t="n">
        <f aca="false">K114</f>
        <v>239.99</v>
      </c>
      <c r="L182" s="102"/>
      <c r="M182" s="22"/>
      <c r="N182" s="102" t="n">
        <f aca="false">N179+J182+K182+J185</f>
        <v>51932.5784731586</v>
      </c>
      <c r="O182" s="22"/>
      <c r="P182" s="22"/>
      <c r="Q182" s="104"/>
      <c r="S182" s="110" t="n">
        <f aca="false">(S167*T59)+W185-W179-S185</f>
        <v>4851.53637590465</v>
      </c>
      <c r="T182" s="102" t="n">
        <f aca="false">T114</f>
        <v>199.99</v>
      </c>
      <c r="U182" s="102"/>
      <c r="V182" s="22"/>
      <c r="W182" s="102" t="n">
        <f aca="false">W179+S182+T182+S185</f>
        <v>27269.2913759046</v>
      </c>
      <c r="X182" s="22"/>
      <c r="Y182" s="22"/>
      <c r="Z182" s="104"/>
      <c r="AB182" s="110" t="n">
        <f aca="false">(AB167*AC59)+AF185-AF179-AB185</f>
        <v>3844.82758816379</v>
      </c>
      <c r="AC182" s="102" t="n">
        <f aca="false">AC114</f>
        <v>239.99</v>
      </c>
      <c r="AD182" s="102"/>
      <c r="AE182" s="22"/>
      <c r="AF182" s="102" t="n">
        <f aca="false">AF179+AB182+AC182+AB185</f>
        <v>21329.3175881638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IF(A40=0,(E167),(E170+A185))</f>
        <v>2014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2024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2014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2014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0.041856</v>
      </c>
      <c r="B188" s="102" t="n">
        <f aca="false">(G158*B67)/1.2</f>
        <v>200.905449305556</v>
      </c>
      <c r="C188" s="92"/>
      <c r="D188" s="92"/>
      <c r="E188" s="102" t="n">
        <f aca="false">(E40*A108)*0.1*C45/100</f>
        <v>66.003</v>
      </c>
      <c r="F188" s="22"/>
      <c r="G188" s="22"/>
      <c r="H188" s="32"/>
      <c r="J188" s="110" t="n">
        <f aca="false">IF(N105="YES",H15*0.000002,0)</f>
        <v>0.042536</v>
      </c>
      <c r="K188" s="102" t="n">
        <f aca="false">(P158*K67)/1.2</f>
        <v>2250.73722569444</v>
      </c>
      <c r="L188" s="92"/>
      <c r="M188" s="92"/>
      <c r="N188" s="102" t="n">
        <f aca="false">(E40*J108)*0.1</f>
        <v>66.003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181.209193576389</v>
      </c>
      <c r="U188" s="92"/>
      <c r="V188" s="92"/>
      <c r="W188" s="102" t="n">
        <f aca="false">(E40*S108)*0.1</f>
        <v>44.002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140.628732638889</v>
      </c>
      <c r="AD188" s="92"/>
      <c r="AE188" s="92"/>
      <c r="AF188" s="102" t="n">
        <f aca="false">(E40*AB108)*0.1</f>
        <v>44.002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366.900115972222</v>
      </c>
      <c r="C191" s="92"/>
      <c r="D191" s="92"/>
      <c r="E191" s="102" t="n">
        <f aca="false">H148</f>
        <v>3544.67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3456.73022569444</v>
      </c>
      <c r="L191" s="92"/>
      <c r="M191" s="92"/>
      <c r="N191" s="102" t="n">
        <f aca="false">Q148</f>
        <v>14251.004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1325.20119357639</v>
      </c>
      <c r="U191" s="92"/>
      <c r="V191" s="92"/>
      <c r="W191" s="102" t="n">
        <f aca="false">Z148</f>
        <v>-60.2350000000006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1324.62073263889</v>
      </c>
      <c r="AD191" s="92"/>
      <c r="AE191" s="92"/>
      <c r="AF191" s="102" t="n">
        <f aca="false">AI148</f>
        <v>-5033.5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909.475259321073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1558.90243744584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814.571216938372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654.219752593053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2790.596</v>
      </c>
      <c r="B201" s="185" t="n">
        <f aca="false">E179+A201+B182+A185</f>
        <v>27662.19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808.529494615191</v>
      </c>
      <c r="B212" s="176" t="n">
        <f aca="false">B167</f>
        <v>100.945764705882</v>
      </c>
      <c r="C212" s="173"/>
      <c r="D212" s="173"/>
      <c r="E212" s="176" t="n">
        <f aca="false">E167</f>
        <v>909.475259321073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20984.67</v>
      </c>
      <c r="B215" s="102" t="n">
        <f aca="false">B173</f>
        <v>4196.934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25521.604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24621.604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4872.39881691649</v>
      </c>
      <c r="B224" s="102" t="str">
        <f aca="false">B182</f>
        <v>239.99</v>
      </c>
      <c r="C224" s="102"/>
      <c r="D224" s="112"/>
      <c r="E224" s="102" t="n">
        <f aca="false">E182</f>
        <v>29743.9928169165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808.529494615191</v>
      </c>
      <c r="B230" s="102" t="n">
        <f aca="false">B167</f>
        <v>100.945764705882</v>
      </c>
      <c r="C230" s="185"/>
      <c r="D230" s="185"/>
      <c r="E230" s="102" t="n">
        <f aca="false">E167</f>
        <v>909.475259321073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2004</v>
      </c>
      <c r="B233" s="102" t="n">
        <f aca="false">E185</f>
        <v>2014</v>
      </c>
      <c r="C233" s="92"/>
      <c r="D233" s="92"/>
      <c r="E233" s="102" t="n">
        <f aca="false">J18*0.000006*100*1.2</f>
        <v>15.06816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5.02272</v>
      </c>
      <c r="B236" s="102" t="n">
        <f aca="false">E233+A236</f>
        <v>20.09088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3544.67</v>
      </c>
      <c r="B240" s="102" t="n">
        <f aca="false">B68</f>
        <v>200.905449305556</v>
      </c>
      <c r="C240" s="92"/>
      <c r="D240" s="92"/>
      <c r="E240" s="102" t="n">
        <f aca="false">E188</f>
        <v>66.003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3911.57011597222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0.07</v>
      </c>
      <c r="C253" s="196"/>
      <c r="D253" s="197" t="s">
        <v>216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8" t="n">
        <f aca="false">(E182-B182)-(B201-B182-A185)</f>
        <v>2091.80281691649</v>
      </c>
      <c r="C254" s="196"/>
      <c r="D254" s="197" t="s">
        <v>218</v>
      </c>
      <c r="E254" s="197"/>
      <c r="F254" s="199" t="n">
        <f aca="false">F261+F267+F269+B270+B271</f>
        <v>241.086539166667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760.021666666667</v>
      </c>
      <c r="C255" s="196"/>
      <c r="D255" s="197" t="s">
        <v>220</v>
      </c>
      <c r="E255" s="197"/>
      <c r="F255" s="199" t="n">
        <f aca="false">(B254-F254)+B255</f>
        <v>2610.73794441649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0.05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0.12</v>
      </c>
      <c r="C260" s="42"/>
      <c r="D260" s="165" t="s">
        <v>217</v>
      </c>
      <c r="E260" s="165"/>
      <c r="F260" s="145" t="n">
        <f aca="false">B254</f>
        <v>2091.80281691649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0.00979166666666667</v>
      </c>
      <c r="C261" s="31"/>
      <c r="D261" s="165" t="s">
        <v>223</v>
      </c>
      <c r="E261" s="165"/>
      <c r="F261" s="150" t="n">
        <f aca="false">B68*1.2</f>
        <v>241.086539166667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0.3</v>
      </c>
      <c r="C262" s="31"/>
      <c r="D262" s="165" t="s">
        <v>224</v>
      </c>
      <c r="E262" s="165"/>
      <c r="F262" s="145" t="n">
        <f aca="false">E240*10</f>
        <v>660.03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99.9916666666667</v>
      </c>
      <c r="C263" s="31"/>
      <c r="D263" s="38" t="s">
        <v>220</v>
      </c>
      <c r="E263" s="38"/>
      <c r="F263" s="145" t="n">
        <f aca="false">(B254-F254)+B255</f>
        <v>2610.73794441649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A202" activeCellId="0" sqref="A20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380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145</v>
      </c>
      <c r="C2" s="435"/>
      <c r="D2" s="435" t="s">
        <v>146</v>
      </c>
      <c r="E2" s="435"/>
      <c r="F2" s="435" t="s">
        <v>147</v>
      </c>
      <c r="G2" s="435"/>
      <c r="H2" s="436" t="s">
        <v>148</v>
      </c>
      <c r="I2" s="2"/>
      <c r="J2" s="2"/>
    </row>
    <row r="3" customFormat="false" ht="18.75" hidden="false" customHeight="false" outlineLevel="0" collapsed="false">
      <c r="A3" s="30" t="s">
        <v>151</v>
      </c>
      <c r="B3" s="437" t="n">
        <v>16745.0</v>
      </c>
      <c r="C3" s="437" t="n">
        <v>0</v>
      </c>
      <c r="D3" s="437" t="n">
        <v>0.0</v>
      </c>
      <c r="E3" s="437"/>
      <c r="F3" s="437" t="n">
        <v>0.0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152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153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154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155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163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164</v>
      </c>
      <c r="B10" s="153"/>
      <c r="C10" s="153"/>
      <c r="D10" s="153"/>
      <c r="E10" s="153" t="n">
        <v>50</v>
      </c>
      <c r="F10" s="153"/>
      <c r="G10" s="154"/>
      <c r="H10" s="438" t="n">
        <v>695.0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165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166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167</v>
      </c>
      <c r="B13" s="153"/>
      <c r="C13" s="153"/>
      <c r="D13" s="153"/>
      <c r="E13" s="153" t="n">
        <v>585</v>
      </c>
      <c r="F13" s="153"/>
      <c r="G13" s="154"/>
      <c r="H13" s="438" t="n">
        <v>275.0</v>
      </c>
      <c r="I13" s="2"/>
      <c r="J13" s="2"/>
    </row>
    <row r="14" customFormat="false" ht="19.5" hidden="false" customHeight="false" outlineLevel="0" collapsed="false">
      <c r="A14" s="153" t="s">
        <v>168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169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170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171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172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172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172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173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353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128</v>
      </c>
      <c r="B26" s="39" t="s">
        <v>390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126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183</v>
      </c>
      <c r="B30" s="103" t="s">
        <v>401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5010.0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354</v>
      </c>
      <c r="F32" s="92"/>
      <c r="G32" s="92"/>
      <c r="H32" s="32"/>
      <c r="I32" s="2" t="n">
        <v>0</v>
      </c>
      <c r="J32" s="28" t="s">
        <v>36</v>
      </c>
      <c r="K32" s="445" t="n">
        <v>1833.65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503.363379398935</v>
      </c>
      <c r="F33" s="231"/>
      <c r="G33" s="231"/>
      <c r="H33" s="46"/>
      <c r="I33" s="2"/>
      <c r="J33" s="33" t="s">
        <v>355</v>
      </c>
      <c r="K33" s="47" t="n">
        <f aca="false">H21-H11+(H16*20%)</f>
        <v>17780</v>
      </c>
      <c r="L33" s="1" t="n">
        <f aca="false">H21-H11+(H16*20%)</f>
        <v>17780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356</v>
      </c>
      <c r="B35" s="92" t="s">
        <v>357</v>
      </c>
      <c r="C35" s="92"/>
      <c r="D35" s="211"/>
      <c r="E35" s="92" t="s">
        <v>358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450.973379398935</v>
      </c>
      <c r="B36" s="231" t="n">
        <f aca="false">IF(B26="YES",K42,"0.00")</f>
        <v>52.39</v>
      </c>
      <c r="C36" s="231"/>
      <c r="D36" s="231"/>
      <c r="E36" s="231" t="n">
        <f aca="false">K31</f>
        <v>5010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359</v>
      </c>
      <c r="B39" s="92" t="s">
        <v>360</v>
      </c>
      <c r="C39" s="92"/>
      <c r="D39" s="211"/>
      <c r="E39" s="92" t="s">
        <v>361</v>
      </c>
      <c r="F39" s="185"/>
      <c r="G39" s="185"/>
      <c r="H39" s="46"/>
      <c r="J39" s="2" t="s">
        <v>85</v>
      </c>
      <c r="K39" s="2" t="n">
        <f aca="false">K33</f>
        <v>17780</v>
      </c>
      <c r="L39" s="2" t="n">
        <f aca="false">(L47*K46)+K44</f>
        <v>27214.2966661248</v>
      </c>
      <c r="N39" s="1" t="n">
        <f aca="false">K39-L39</f>
        <v>-9434.29666612479</v>
      </c>
      <c r="P39" s="211"/>
    </row>
    <row r="40" customFormat="false" ht="19.5" hidden="false" customHeight="false" outlineLevel="0" collapsed="false">
      <c r="A40" s="312" t="n">
        <f aca="false">E36*A45/100</f>
        <v>5850.0</v>
      </c>
      <c r="B40" s="106" t="n">
        <f aca="false">IF(B26="YES",K42,"0.00")</f>
        <v>52.39</v>
      </c>
      <c r="C40" s="106"/>
      <c r="D40" s="106"/>
      <c r="E40" s="181" t="n">
        <f aca="false">K32</f>
        <v>1833.65</v>
      </c>
      <c r="F40" s="185"/>
      <c r="G40" s="185"/>
      <c r="H40" s="46"/>
      <c r="J40" s="2" t="s">
        <v>107</v>
      </c>
      <c r="K40" s="2" t="n">
        <f aca="false">(A40)/1.2</f>
        <v>4175</v>
      </c>
      <c r="L40" s="2" t="n">
        <f aca="false">K39-L39</f>
        <v>-9434.29666612479</v>
      </c>
      <c r="N40" s="1" t="n">
        <f aca="false">N38-N39</f>
        <v>12345.9766661248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362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363</v>
      </c>
      <c r="K42" s="2" t="n">
        <f aca="false">(K32/K36/100)*C45</f>
        <v>52.39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364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365</v>
      </c>
      <c r="K44" s="2" t="n">
        <f aca="false">(K40/(1+K41)^(K36+1))</f>
        <v>3437.14293416163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366</v>
      </c>
      <c r="K45" s="2" t="n">
        <f aca="false">(K39-K44)</f>
        <v>14342.8570658384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367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368</v>
      </c>
      <c r="K47" s="2" t="n">
        <f aca="false">K45/K46</f>
        <v>450.973379398935</v>
      </c>
      <c r="L47" s="2" t="n">
        <f aca="false">L49-K42</f>
        <v>747.61</v>
      </c>
      <c r="M47" s="1" t="n">
        <f aca="false">K47-L47</f>
        <v>-296.636620601065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369</v>
      </c>
      <c r="K48" s="2" t="n">
        <f aca="false">IF(B26="YES",K47+K42,K47)</f>
        <v>503.363379398935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370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503.363379398935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20928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20928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20928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0.024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5956.12063983687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33884.5201941958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6799.45675270815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819.482964967296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187.84989375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1547.8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204.92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168.754479166667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450.973379398935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450.973379398935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503.363379398935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503.363379398935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23021.604</v>
      </c>
      <c r="C81" s="92"/>
      <c r="D81" s="92"/>
      <c r="E81" s="112"/>
      <c r="F81" s="24" t="s">
        <v>106</v>
      </c>
      <c r="G81" s="26" t="n">
        <f aca="false">G158</f>
        <v>23021.604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22207.765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17234.5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5010</v>
      </c>
      <c r="C82" s="92"/>
      <c r="D82" s="92"/>
      <c r="E82" s="112"/>
      <c r="F82" s="30" t="s">
        <v>107</v>
      </c>
      <c r="G82" s="32" t="n">
        <f aca="false">IF(A111="YES",A40,0)</f>
        <v>5010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5010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5010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0.089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0.00741666666666667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3868.28195804386</v>
      </c>
      <c r="C86" s="92"/>
      <c r="D86" s="92"/>
      <c r="E86" s="112"/>
      <c r="F86" s="30" t="s">
        <v>111</v>
      </c>
      <c r="G86" s="32" t="n">
        <f aca="false">(G82/((1+G84)^(G85+1)))</f>
        <v>4146.91295006601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3426.10163437126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3426.10163437126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29.9543371890103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19153.3220419561</v>
      </c>
      <c r="C88" s="92"/>
      <c r="D88" s="92"/>
      <c r="E88" s="112"/>
      <c r="F88" s="30" t="s">
        <v>113</v>
      </c>
      <c r="G88" s="32" t="n">
        <f aca="false">G81-G86</f>
        <v>18874.691049934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18781.6633656287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13808.3983656287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639.417321141164</v>
      </c>
      <c r="C89" s="92"/>
      <c r="D89" s="92"/>
      <c r="E89" s="112"/>
      <c r="F89" s="30" t="s">
        <v>114</v>
      </c>
      <c r="G89" s="32" t="n">
        <f aca="false">(G88/G87)</f>
        <v>609.323026533208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664.221324460908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488.33974246853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21740.1889187996</v>
      </c>
      <c r="C90" s="92"/>
      <c r="D90" s="92"/>
      <c r="E90" s="112"/>
      <c r="F90" s="30" t="s">
        <v>115</v>
      </c>
      <c r="G90" s="32" t="n">
        <f aca="false">((G89*(G85))+G77)</f>
        <v>20716.9829021291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22583.5250316709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16603.55124393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21740.1889187996</v>
      </c>
      <c r="C92" s="92"/>
      <c r="D92" s="92"/>
      <c r="E92" s="112"/>
      <c r="F92" s="55" t="s">
        <v>117</v>
      </c>
      <c r="G92" s="64" t="n">
        <f aca="false">(G90+G91)</f>
        <v>20716.9829021291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22583.5250316709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16603.55124393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IF(B26="YES",((E40/B85)*(1+A108)*(C45/100)),"0")</f>
        <v>64.7170588235294</v>
      </c>
      <c r="C94" s="92"/>
      <c r="D94" s="92"/>
      <c r="E94" s="112"/>
      <c r="F94" s="87" t="s">
        <v>118</v>
      </c>
      <c r="G94" s="93" t="n">
        <f aca="false">IF(B26="YES",((E40/B85)*(1+A108)*(C45/100)),"0")</f>
        <v>64.7170588235294</v>
      </c>
      <c r="H94" s="32"/>
      <c r="J94" s="87" t="s">
        <v>118</v>
      </c>
      <c r="K94" s="88" t="n">
        <f aca="false">((E40/K85)*(1+J108))*1.2</f>
        <v>81.7284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64.7170588235294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77.6604705882353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639.417321141164</v>
      </c>
      <c r="C95" s="92"/>
      <c r="D95" s="92"/>
      <c r="E95" s="112"/>
      <c r="F95" s="94" t="s">
        <v>119</v>
      </c>
      <c r="G95" s="95" t="n">
        <f aca="false">G92/(G85)</f>
        <v>609.323026533208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664.221324460908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488.33974246853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704.134379964694</v>
      </c>
      <c r="C96" s="92"/>
      <c r="D96" s="92"/>
      <c r="E96" s="112"/>
      <c r="F96" s="96" t="s">
        <v>120</v>
      </c>
      <c r="G96" s="97" t="n">
        <f aca="false">G94+G95</f>
        <v>674.040085356738</v>
      </c>
      <c r="H96" s="32"/>
      <c r="J96" s="96" t="s">
        <v>120</v>
      </c>
      <c r="K96" s="97" t="n">
        <f aca="false">(K94+K95)</f>
        <v>1542.56923744584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728.938383284438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566.000213056765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99" t="s">
        <v>123</v>
      </c>
      <c r="K100" s="99"/>
      <c r="L100" s="99"/>
      <c r="M100" s="99"/>
      <c r="N100" s="99"/>
      <c r="O100" s="99"/>
      <c r="P100" s="99"/>
      <c r="Q100" s="99"/>
      <c r="S100" s="99" t="s">
        <v>124</v>
      </c>
      <c r="T100" s="99"/>
      <c r="U100" s="99"/>
      <c r="V100" s="99"/>
      <c r="W100" s="99"/>
      <c r="X100" s="99"/>
      <c r="Y100" s="99"/>
      <c r="Z100" s="99"/>
      <c r="AB100" s="99" t="s">
        <v>125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126</v>
      </c>
      <c r="B102" s="27"/>
      <c r="C102" s="27"/>
      <c r="D102" s="27"/>
      <c r="E102" s="27"/>
      <c r="F102" s="27"/>
      <c r="G102" s="27"/>
      <c r="H102" s="27"/>
      <c r="J102" s="27" t="s">
        <v>126</v>
      </c>
      <c r="K102" s="27"/>
      <c r="L102" s="27"/>
      <c r="M102" s="27"/>
      <c r="N102" s="27"/>
      <c r="O102" s="27"/>
      <c r="P102" s="27"/>
      <c r="Q102" s="27"/>
      <c r="S102" s="27" t="s">
        <v>126</v>
      </c>
      <c r="T102" s="27"/>
      <c r="U102" s="27"/>
      <c r="V102" s="27"/>
      <c r="W102" s="27"/>
      <c r="X102" s="27"/>
      <c r="Y102" s="27"/>
      <c r="Z102" s="27"/>
      <c r="AB102" s="27" t="s">
        <v>126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127</v>
      </c>
      <c r="B104" s="92" t="s">
        <v>23</v>
      </c>
      <c r="C104" s="92"/>
      <c r="D104" s="92"/>
      <c r="E104" s="92" t="s">
        <v>128</v>
      </c>
      <c r="F104" s="92"/>
      <c r="G104" s="92"/>
      <c r="H104" s="32"/>
      <c r="J104" s="30" t="s">
        <v>127</v>
      </c>
      <c r="K104" s="92" t="s">
        <v>23</v>
      </c>
      <c r="L104" s="92"/>
      <c r="M104" s="92"/>
      <c r="N104" s="92" t="s">
        <v>128</v>
      </c>
      <c r="O104" s="92"/>
      <c r="P104" s="92"/>
      <c r="Q104" s="32"/>
      <c r="S104" s="30" t="s">
        <v>127</v>
      </c>
      <c r="T104" s="92" t="s">
        <v>23</v>
      </c>
      <c r="U104" s="92"/>
      <c r="V104" s="92"/>
      <c r="W104" s="92" t="s">
        <v>128</v>
      </c>
      <c r="X104" s="92"/>
      <c r="Y104" s="92"/>
      <c r="Z104" s="32"/>
      <c r="AB104" s="30" t="s">
        <v>127</v>
      </c>
      <c r="AC104" s="92" t="s">
        <v>23</v>
      </c>
      <c r="AD104" s="92"/>
      <c r="AE104" s="92"/>
      <c r="AF104" s="92" t="s">
        <v>128</v>
      </c>
      <c r="AG104" s="92"/>
      <c r="AH104" s="92"/>
      <c r="AI104" s="32"/>
    </row>
    <row r="105" customFormat="false" ht="19.5" hidden="false" customHeight="false" outlineLevel="0" collapsed="false">
      <c r="A105" s="35" t="s">
        <v>129</v>
      </c>
      <c r="B105" s="102" t="s">
        <v>130</v>
      </c>
      <c r="C105" s="102"/>
      <c r="D105" s="102"/>
      <c r="E105" s="103" t="s">
        <v>390</v>
      </c>
      <c r="F105" s="103"/>
      <c r="G105" s="103"/>
      <c r="H105" s="101"/>
      <c r="J105" s="35" t="s">
        <v>129</v>
      </c>
      <c r="K105" s="102" t="s">
        <v>130</v>
      </c>
      <c r="L105" s="102"/>
      <c r="M105" s="102"/>
      <c r="N105" s="103" t="s">
        <v>18</v>
      </c>
      <c r="O105" s="103"/>
      <c r="P105" s="103"/>
      <c r="Q105" s="101"/>
      <c r="S105" s="35" t="s">
        <v>129</v>
      </c>
      <c r="T105" s="102" t="s">
        <v>130</v>
      </c>
      <c r="U105" s="102"/>
      <c r="V105" s="102"/>
      <c r="W105" s="103" t="s">
        <v>18</v>
      </c>
      <c r="X105" s="103"/>
      <c r="Y105" s="103"/>
      <c r="Z105" s="101"/>
      <c r="AB105" s="35" t="s">
        <v>129</v>
      </c>
      <c r="AC105" s="102" t="s">
        <v>130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131</v>
      </c>
      <c r="B107" s="92" t="s">
        <v>132</v>
      </c>
      <c r="C107" s="92"/>
      <c r="D107" s="112"/>
      <c r="E107" s="92" t="s">
        <v>133</v>
      </c>
      <c r="F107" s="92"/>
      <c r="G107" s="112"/>
      <c r="H107" s="101"/>
      <c r="J107" s="30" t="s">
        <v>131</v>
      </c>
      <c r="K107" s="92" t="s">
        <v>132</v>
      </c>
      <c r="L107" s="92"/>
      <c r="M107" s="112"/>
      <c r="N107" s="92" t="s">
        <v>133</v>
      </c>
      <c r="O107" s="92"/>
      <c r="P107" s="112"/>
      <c r="Q107" s="101"/>
      <c r="S107" s="30" t="s">
        <v>131</v>
      </c>
      <c r="T107" s="92" t="s">
        <v>132</v>
      </c>
      <c r="U107" s="92"/>
      <c r="V107" s="112"/>
      <c r="W107" s="92" t="s">
        <v>133</v>
      </c>
      <c r="X107" s="92"/>
      <c r="Y107" s="112"/>
      <c r="Z107" s="101"/>
      <c r="AB107" s="30" t="s">
        <v>131</v>
      </c>
      <c r="AC107" s="92" t="s">
        <v>132</v>
      </c>
      <c r="AD107" s="92"/>
      <c r="AE107" s="112"/>
      <c r="AF107" s="92" t="s">
        <v>133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402</v>
      </c>
      <c r="C108" s="106"/>
      <c r="D108" s="106"/>
      <c r="E108" s="107" t="n">
        <f aca="false">B83</f>
        <v>0.089</v>
      </c>
      <c r="F108" s="107"/>
      <c r="G108" s="107"/>
      <c r="H108" s="46"/>
      <c r="J108" s="105" t="n">
        <v>0.3</v>
      </c>
      <c r="K108" s="106" t="s">
        <v>134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135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135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136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134</v>
      </c>
    </row>
    <row r="110" customFormat="false" ht="19.5" hidden="false" customHeight="false" outlineLevel="0" collapsed="false">
      <c r="A110" s="30" t="s">
        <v>137</v>
      </c>
      <c r="B110" s="92" t="s">
        <v>138</v>
      </c>
      <c r="C110" s="92"/>
      <c r="D110" s="92"/>
      <c r="E110" s="92" t="s">
        <v>139</v>
      </c>
      <c r="F110" s="92"/>
      <c r="G110" s="92"/>
      <c r="H110" s="32"/>
      <c r="J110" s="30" t="s">
        <v>137</v>
      </c>
      <c r="K110" s="92" t="s">
        <v>138</v>
      </c>
      <c r="L110" s="92"/>
      <c r="M110" s="92"/>
      <c r="N110" s="92" t="s">
        <v>139</v>
      </c>
      <c r="O110" s="92"/>
      <c r="P110" s="92"/>
      <c r="Q110" s="32"/>
      <c r="S110" s="30" t="s">
        <v>137</v>
      </c>
      <c r="T110" s="92" t="s">
        <v>138</v>
      </c>
      <c r="U110" s="92"/>
      <c r="V110" s="92"/>
      <c r="W110" s="92" t="s">
        <v>139</v>
      </c>
      <c r="X110" s="92"/>
      <c r="Y110" s="92"/>
      <c r="Z110" s="32"/>
      <c r="AB110" s="30" t="s">
        <v>137</v>
      </c>
      <c r="AC110" s="92" t="s">
        <v>138</v>
      </c>
      <c r="AD110" s="92"/>
      <c r="AE110" s="92"/>
      <c r="AF110" s="92" t="s">
        <v>139</v>
      </c>
      <c r="AG110" s="92"/>
      <c r="AH110" s="92"/>
      <c r="AI110" s="32"/>
    </row>
    <row r="111" customFormat="false" ht="19.5" hidden="false" customHeight="false" outlineLevel="0" collapsed="false">
      <c r="A111" s="39" t="s">
        <v>390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140</v>
      </c>
      <c r="B113" s="92" t="s">
        <v>141</v>
      </c>
      <c r="C113" s="92"/>
      <c r="D113" s="92"/>
      <c r="E113" s="92" t="s">
        <v>142</v>
      </c>
      <c r="F113" s="92"/>
      <c r="G113" s="112"/>
      <c r="H113" s="101"/>
      <c r="J113" s="109" t="s">
        <v>140</v>
      </c>
      <c r="K113" s="92" t="s">
        <v>141</v>
      </c>
      <c r="L113" s="92"/>
      <c r="M113" s="92"/>
      <c r="N113" s="92" t="s">
        <v>142</v>
      </c>
      <c r="O113" s="92"/>
      <c r="P113" s="112"/>
      <c r="Q113" s="101"/>
      <c r="S113" s="109" t="s">
        <v>140</v>
      </c>
      <c r="T113" s="92" t="s">
        <v>141</v>
      </c>
      <c r="U113" s="92"/>
      <c r="V113" s="92"/>
      <c r="W113" s="92" t="s">
        <v>142</v>
      </c>
      <c r="X113" s="92"/>
      <c r="Y113" s="112"/>
      <c r="Z113" s="101"/>
      <c r="AB113" s="109" t="s">
        <v>140</v>
      </c>
      <c r="AC113" s="92" t="s">
        <v>141</v>
      </c>
      <c r="AD113" s="92"/>
      <c r="AE113" s="92"/>
      <c r="AF113" s="92" t="s">
        <v>142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388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n">
        <v>0.3</v>
      </c>
      <c r="B117" s="27"/>
      <c r="C117" s="27"/>
      <c r="D117" s="27"/>
      <c r="E117" s="27"/>
      <c r="F117" s="27"/>
      <c r="G117" s="27"/>
      <c r="H117" s="27"/>
      <c r="J117" s="27" t="s">
        <v>144</v>
      </c>
      <c r="K117" s="27"/>
      <c r="L117" s="27"/>
      <c r="M117" s="27"/>
      <c r="N117" s="27"/>
      <c r="O117" s="27"/>
      <c r="P117" s="27"/>
      <c r="Q117" s="27"/>
      <c r="S117" s="27" t="s">
        <v>144</v>
      </c>
      <c r="T117" s="27"/>
      <c r="U117" s="27"/>
      <c r="V117" s="27"/>
      <c r="W117" s="27"/>
      <c r="X117" s="27"/>
      <c r="Y117" s="27"/>
      <c r="Z117" s="27"/>
      <c r="AB117" s="27" t="s">
        <v>144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145</v>
      </c>
      <c r="C119" s="113"/>
      <c r="D119" s="113" t="s">
        <v>146</v>
      </c>
      <c r="E119" s="113"/>
      <c r="F119" s="113" t="s">
        <v>147</v>
      </c>
      <c r="G119" s="113"/>
      <c r="H119" s="114" t="s">
        <v>148</v>
      </c>
      <c r="J119" s="77"/>
      <c r="K119" s="113" t="s">
        <v>145</v>
      </c>
      <c r="L119" s="113"/>
      <c r="M119" s="113" t="s">
        <v>146</v>
      </c>
      <c r="N119" s="113"/>
      <c r="O119" s="113" t="s">
        <v>147</v>
      </c>
      <c r="P119" s="113"/>
      <c r="Q119" s="114" t="s">
        <v>148</v>
      </c>
      <c r="S119" s="77"/>
      <c r="T119" s="113" t="s">
        <v>145</v>
      </c>
      <c r="U119" s="113"/>
      <c r="V119" s="113" t="s">
        <v>146</v>
      </c>
      <c r="W119" s="113"/>
      <c r="X119" s="113" t="s">
        <v>147</v>
      </c>
      <c r="Y119" s="113"/>
      <c r="Z119" s="114" t="s">
        <v>148</v>
      </c>
      <c r="AB119" s="77"/>
      <c r="AC119" s="113" t="s">
        <v>145</v>
      </c>
      <c r="AD119" s="113"/>
      <c r="AE119" s="113" t="s">
        <v>146</v>
      </c>
      <c r="AF119" s="113"/>
      <c r="AG119" s="113" t="s">
        <v>147</v>
      </c>
      <c r="AH119" s="113"/>
      <c r="AI119" s="114" t="s">
        <v>148</v>
      </c>
    </row>
    <row r="120" customFormat="false" ht="21.75" hidden="false" customHeight="false" outlineLevel="0" collapsed="false">
      <c r="A120" s="79"/>
      <c r="B120" s="115" t="s">
        <v>149</v>
      </c>
      <c r="C120" s="116" t="s">
        <v>150</v>
      </c>
      <c r="D120" s="115" t="s">
        <v>149</v>
      </c>
      <c r="E120" s="117" t="s">
        <v>150</v>
      </c>
      <c r="F120" s="115" t="s">
        <v>149</v>
      </c>
      <c r="G120" s="117" t="s">
        <v>150</v>
      </c>
      <c r="H120" s="118"/>
      <c r="J120" s="79"/>
      <c r="K120" s="115" t="s">
        <v>149</v>
      </c>
      <c r="L120" s="116" t="s">
        <v>150</v>
      </c>
      <c r="M120" s="115" t="s">
        <v>149</v>
      </c>
      <c r="N120" s="117" t="s">
        <v>150</v>
      </c>
      <c r="O120" s="115" t="s">
        <v>149</v>
      </c>
      <c r="P120" s="117" t="s">
        <v>150</v>
      </c>
      <c r="Q120" s="118"/>
      <c r="S120" s="79"/>
      <c r="T120" s="115" t="s">
        <v>149</v>
      </c>
      <c r="U120" s="116" t="s">
        <v>150</v>
      </c>
      <c r="V120" s="115" t="s">
        <v>149</v>
      </c>
      <c r="W120" s="117" t="s">
        <v>150</v>
      </c>
      <c r="X120" s="115" t="s">
        <v>149</v>
      </c>
      <c r="Y120" s="117" t="s">
        <v>150</v>
      </c>
      <c r="Z120" s="118"/>
      <c r="AB120" s="79"/>
      <c r="AC120" s="115" t="s">
        <v>149</v>
      </c>
      <c r="AD120" s="116" t="s">
        <v>150</v>
      </c>
      <c r="AE120" s="115" t="s">
        <v>149</v>
      </c>
      <c r="AF120" s="117" t="s">
        <v>150</v>
      </c>
      <c r="AG120" s="115" t="s">
        <v>149</v>
      </c>
      <c r="AH120" s="117" t="s">
        <v>150</v>
      </c>
      <c r="AI120" s="118"/>
    </row>
    <row r="121" customFormat="false" ht="19.5" hidden="false" customHeight="false" outlineLevel="0" collapsed="false">
      <c r="A121" s="24" t="s">
        <v>151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151</v>
      </c>
      <c r="K121" s="119" t="n">
        <f aca="false">B3</f>
        <v>16745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151</v>
      </c>
      <c r="T121" s="119" t="n">
        <f aca="false">B3</f>
        <v>16745</v>
      </c>
      <c r="U121" s="120" t="n">
        <f aca="false">T121</f>
        <v>16745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151</v>
      </c>
      <c r="AC121" s="119" t="n">
        <f aca="false">B3</f>
        <v>16745</v>
      </c>
      <c r="AD121" s="120" t="n">
        <f aca="false">AC121</f>
        <v>16745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152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152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152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152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153</v>
      </c>
      <c r="B123" s="129" t="n">
        <f aca="false">B5</f>
        <v>0</v>
      </c>
      <c r="C123" s="120" t="n">
        <v>-3544.67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153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153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153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154</v>
      </c>
      <c r="B124" s="129" t="n">
        <f aca="false">(B121*B122)+B123</f>
        <v>0</v>
      </c>
      <c r="C124" s="130" t="n">
        <f aca="false">(C121*C122/100)+C123</f>
        <v>-3544.67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154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154</v>
      </c>
      <c r="T124" s="129" t="n">
        <f aca="false">(T121*T122)+T123</f>
        <v>0</v>
      </c>
      <c r="U124" s="130" t="n">
        <f aca="false">(U121*U122/100)+U123</f>
        <v>41.8625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154</v>
      </c>
      <c r="AC124" s="129" t="n">
        <f aca="false">(AC121*AC122)+AC123</f>
        <v>0</v>
      </c>
      <c r="AD124" s="130" t="n">
        <f aca="false">(AD121*AD122)+AD123</f>
        <v>4186.25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155</v>
      </c>
      <c r="B125" s="131" t="n">
        <f aca="false">B121-B124</f>
        <v>16745</v>
      </c>
      <c r="C125" s="132" t="n">
        <f aca="false">C121-C124</f>
        <v>20289.67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155</v>
      </c>
      <c r="K125" s="131" t="n">
        <f aca="false">K121-K124</f>
        <v>16745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155</v>
      </c>
      <c r="T125" s="131" t="n">
        <f aca="false">T121-T124</f>
        <v>16745</v>
      </c>
      <c r="U125" s="132" t="n">
        <f aca="false">U121-U124</f>
        <v>16703.1375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155</v>
      </c>
      <c r="AC125" s="131" t="n">
        <f aca="false">AC121-AC124</f>
        <v>16745</v>
      </c>
      <c r="AD125" s="132" t="n">
        <f aca="false">AD121-AD124</f>
        <v>12558.75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149</v>
      </c>
      <c r="H127" s="136" t="s">
        <v>150</v>
      </c>
      <c r="J127" s="133"/>
      <c r="K127" s="134"/>
      <c r="L127" s="134"/>
      <c r="M127" s="134"/>
      <c r="N127" s="134"/>
      <c r="O127" s="134"/>
      <c r="P127" s="135" t="s">
        <v>149</v>
      </c>
      <c r="Q127" s="136" t="s">
        <v>150</v>
      </c>
      <c r="S127" s="133"/>
      <c r="T127" s="134"/>
      <c r="U127" s="134"/>
      <c r="V127" s="134"/>
      <c r="W127" s="134"/>
      <c r="X127" s="134"/>
      <c r="Y127" s="135" t="s">
        <v>149</v>
      </c>
      <c r="Z127" s="136" t="s">
        <v>150</v>
      </c>
      <c r="AB127" s="133"/>
      <c r="AC127" s="134"/>
      <c r="AD127" s="134"/>
      <c r="AE127" s="134"/>
      <c r="AF127" s="134"/>
      <c r="AG127" s="134"/>
      <c r="AH127" s="135" t="s">
        <v>149</v>
      </c>
      <c r="AI127" s="136" t="s">
        <v>150</v>
      </c>
    </row>
    <row r="128" customFormat="false" ht="18.75" hidden="false" customHeight="false" outlineLevel="0" collapsed="false">
      <c r="A128" s="139" t="s">
        <v>156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156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156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156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157</v>
      </c>
      <c r="B130" s="143" t="s">
        <v>158</v>
      </c>
      <c r="C130" s="143"/>
      <c r="D130" s="143" t="s">
        <v>159</v>
      </c>
      <c r="E130" s="143"/>
      <c r="F130" s="143" t="s">
        <v>153</v>
      </c>
      <c r="G130" s="143"/>
      <c r="H130" s="144" t="s">
        <v>150</v>
      </c>
      <c r="J130" s="146" t="s">
        <v>157</v>
      </c>
      <c r="K130" s="143" t="s">
        <v>158</v>
      </c>
      <c r="L130" s="143"/>
      <c r="M130" s="143" t="s">
        <v>159</v>
      </c>
      <c r="N130" s="143"/>
      <c r="O130" s="143" t="s">
        <v>153</v>
      </c>
      <c r="P130" s="143"/>
      <c r="Q130" s="144" t="s">
        <v>150</v>
      </c>
      <c r="S130" s="146" t="s">
        <v>157</v>
      </c>
      <c r="T130" s="143" t="s">
        <v>158</v>
      </c>
      <c r="U130" s="143"/>
      <c r="V130" s="143" t="s">
        <v>159</v>
      </c>
      <c r="W130" s="143"/>
      <c r="X130" s="143" t="s">
        <v>153</v>
      </c>
      <c r="Y130" s="143"/>
      <c r="Z130" s="144" t="s">
        <v>150</v>
      </c>
      <c r="AB130" s="146" t="s">
        <v>157</v>
      </c>
      <c r="AC130" s="143" t="s">
        <v>158</v>
      </c>
      <c r="AD130" s="143"/>
      <c r="AE130" s="143" t="s">
        <v>159</v>
      </c>
      <c r="AF130" s="143"/>
      <c r="AG130" s="143" t="s">
        <v>153</v>
      </c>
      <c r="AH130" s="143"/>
      <c r="AI130" s="144" t="s">
        <v>150</v>
      </c>
    </row>
    <row r="131" customFormat="false" ht="19.5" hidden="false" customHeight="false" outlineLevel="0" collapsed="false">
      <c r="A131" s="30" t="s">
        <v>160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160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160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160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161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161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161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161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162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162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162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162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163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20289.67</v>
      </c>
      <c r="J135" s="151" t="s">
        <v>163</v>
      </c>
      <c r="K135" s="151"/>
      <c r="L135" s="151"/>
      <c r="M135" s="151"/>
      <c r="N135" s="151"/>
      <c r="O135" s="151"/>
      <c r="P135" s="135" t="n">
        <f aca="false">H9</f>
        <v>16745</v>
      </c>
      <c r="Q135" s="152" t="n">
        <f aca="false">L125+N125+P125+Q128</f>
        <v>28629.17</v>
      </c>
      <c r="S135" s="151" t="s">
        <v>163</v>
      </c>
      <c r="T135" s="151"/>
      <c r="U135" s="151"/>
      <c r="V135" s="151"/>
      <c r="W135" s="151"/>
      <c r="X135" s="151"/>
      <c r="Y135" s="135" t="n">
        <f aca="false">H9</f>
        <v>16745</v>
      </c>
      <c r="Z135" s="152" t="n">
        <f aca="false">U125+W125+Y125+Z128</f>
        <v>16703.1375</v>
      </c>
      <c r="AB135" s="151" t="s">
        <v>163</v>
      </c>
      <c r="AC135" s="151"/>
      <c r="AD135" s="151"/>
      <c r="AE135" s="151"/>
      <c r="AF135" s="151"/>
      <c r="AG135" s="151"/>
      <c r="AH135" s="135" t="n">
        <f aca="false">H9</f>
        <v>16745</v>
      </c>
      <c r="AI135" s="152" t="n">
        <f aca="false">AD125+AF125+AH125+AI128</f>
        <v>12558.75</v>
      </c>
    </row>
    <row r="136" customFormat="false" ht="18.75" hidden="false" customHeight="false" outlineLevel="0" collapsed="false">
      <c r="A136" s="153" t="s">
        <v>164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164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164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164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165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4196.934</v>
      </c>
      <c r="J137" s="153" t="s">
        <v>165</v>
      </c>
      <c r="K137" s="153"/>
      <c r="L137" s="153"/>
      <c r="M137" s="153"/>
      <c r="N137" s="153"/>
      <c r="O137" s="153"/>
      <c r="P137" s="154" t="n">
        <f aca="false">H11</f>
        <v>3488</v>
      </c>
      <c r="Q137" s="32" t="n">
        <f aca="false">(Q135+Q136)*20%</f>
        <v>5864.834</v>
      </c>
      <c r="S137" s="153" t="s">
        <v>165</v>
      </c>
      <c r="T137" s="153"/>
      <c r="U137" s="153"/>
      <c r="V137" s="153"/>
      <c r="W137" s="153"/>
      <c r="X137" s="153"/>
      <c r="Y137" s="154" t="n">
        <f aca="false">H11</f>
        <v>3488</v>
      </c>
      <c r="Z137" s="32" t="n">
        <f aca="false">(Z135+Z136)*20%</f>
        <v>3479.6275</v>
      </c>
      <c r="AB137" s="153" t="s">
        <v>165</v>
      </c>
      <c r="AC137" s="153"/>
      <c r="AD137" s="153"/>
      <c r="AE137" s="153"/>
      <c r="AF137" s="153"/>
      <c r="AG137" s="153"/>
      <c r="AH137" s="154" t="n">
        <f aca="false">H11</f>
        <v>3488</v>
      </c>
      <c r="AI137" s="32" t="n">
        <f aca="false">(AI135+AI136)*20%</f>
        <v>2650.75</v>
      </c>
    </row>
    <row r="138" customFormat="false" ht="18.75" hidden="false" customHeight="false" outlineLevel="0" collapsed="false">
      <c r="A138" s="153" t="s">
        <v>166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166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166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166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167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167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167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167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168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168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168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168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169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25521.604</v>
      </c>
      <c r="J141" s="153" t="s">
        <v>169</v>
      </c>
      <c r="K141" s="153"/>
      <c r="L141" s="153"/>
      <c r="M141" s="153"/>
      <c r="N141" s="153"/>
      <c r="O141" s="153"/>
      <c r="P141" s="449" t="n">
        <f aca="false">H15</f>
        <v>21268</v>
      </c>
      <c r="Q141" s="156" t="n">
        <f aca="false">(Q135+Q136+Q139+Q140+Q137)-Q138</f>
        <v>35519.004</v>
      </c>
      <c r="S141" s="153" t="s">
        <v>169</v>
      </c>
      <c r="T141" s="153"/>
      <c r="U141" s="153"/>
      <c r="V141" s="153"/>
      <c r="W141" s="153"/>
      <c r="X141" s="153"/>
      <c r="Y141" s="449" t="n">
        <f aca="false">H15</f>
        <v>21268</v>
      </c>
      <c r="Z141" s="156" t="n">
        <f aca="false">(Z135+Z136+Z139+Z140+Z137)-Z138</f>
        <v>21207.765</v>
      </c>
      <c r="AB141" s="153" t="s">
        <v>169</v>
      </c>
      <c r="AC141" s="153"/>
      <c r="AD141" s="153"/>
      <c r="AE141" s="153"/>
      <c r="AF141" s="153"/>
      <c r="AG141" s="153"/>
      <c r="AH141" s="449" t="n">
        <f aca="false">H15</f>
        <v>21268</v>
      </c>
      <c r="AI141" s="156" t="n">
        <f aca="false">(AI135+AI136+AI139+AI140+AI137)-AI138</f>
        <v>16234.5</v>
      </c>
    </row>
    <row r="142" customFormat="false" ht="19.5" hidden="false" customHeight="false" outlineLevel="0" collapsed="false">
      <c r="A142" s="153" t="s">
        <v>170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170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170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170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171</v>
      </c>
      <c r="B143" s="110"/>
      <c r="C143" s="110"/>
      <c r="D143" s="110"/>
      <c r="E143" s="110"/>
      <c r="F143" s="110"/>
      <c r="G143" s="102"/>
      <c r="H143" s="32"/>
      <c r="J143" s="110" t="s">
        <v>171</v>
      </c>
      <c r="K143" s="110"/>
      <c r="L143" s="110"/>
      <c r="M143" s="110"/>
      <c r="N143" s="110"/>
      <c r="O143" s="110"/>
      <c r="P143" s="102"/>
      <c r="Q143" s="32"/>
      <c r="S143" s="110" t="s">
        <v>171</v>
      </c>
      <c r="T143" s="110"/>
      <c r="U143" s="110"/>
      <c r="V143" s="110"/>
      <c r="W143" s="110"/>
      <c r="X143" s="110"/>
      <c r="Y143" s="102"/>
      <c r="Z143" s="32"/>
      <c r="AB143" s="110" t="s">
        <v>171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172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172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172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172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172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172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172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172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172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172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172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172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173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25521.604</v>
      </c>
      <c r="J147" s="153" t="s">
        <v>173</v>
      </c>
      <c r="K147" s="153"/>
      <c r="L147" s="153"/>
      <c r="M147" s="153"/>
      <c r="N147" s="153"/>
      <c r="O147" s="153"/>
      <c r="P147" s="449" t="n">
        <f aca="false">P141-((P144*1.2)+(P145*1.2)+(P146*1.2)+(P142*1.2))</f>
        <v>21268</v>
      </c>
      <c r="Q147" s="163" t="n">
        <f aca="false">Q141-((Q144*1.2)+(Q145*1.2)+(Q146*1.2)+(Q142*1.2))</f>
        <v>35519.004</v>
      </c>
      <c r="S147" s="153" t="s">
        <v>173</v>
      </c>
      <c r="T147" s="153"/>
      <c r="U147" s="153"/>
      <c r="V147" s="153"/>
      <c r="W147" s="153"/>
      <c r="X147" s="153"/>
      <c r="Y147" s="449" t="n">
        <f aca="false">Y141-((Y144*1.2)+(Y145*1.2)+(Y146*1.2)+(Y142*1.2))</f>
        <v>21268</v>
      </c>
      <c r="Z147" s="163" t="n">
        <f aca="false">Z141-((Z144*1.2)+(Z145*1.2)+(Z146*1.2)+(Z142*1.2))</f>
        <v>21207.765</v>
      </c>
      <c r="AB147" s="153" t="s">
        <v>173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21268</v>
      </c>
      <c r="AI147" s="163" t="n">
        <f aca="false">AI141-((AI144*1.2)+(AI145*1.2)+(AI146*1.2)+(AI142*1.2))</f>
        <v>16234.5</v>
      </c>
    </row>
    <row r="148" customFormat="false" ht="19.5" hidden="false" customHeight="false" outlineLevel="0" collapsed="false">
      <c r="A148" s="153" t="s">
        <v>174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3544.67</v>
      </c>
      <c r="I148" s="1" t="n">
        <f aca="false">(H148-G81)/1.2</f>
        <v>-16230.7783333333</v>
      </c>
      <c r="J148" s="153" t="s">
        <v>174</v>
      </c>
      <c r="K148" s="153"/>
      <c r="L148" s="153"/>
      <c r="M148" s="153"/>
      <c r="N148" s="153"/>
      <c r="O148" s="153"/>
      <c r="P148" s="154"/>
      <c r="Q148" s="39" t="n">
        <f aca="false">Q147-P147</f>
        <v>14251.004</v>
      </c>
      <c r="S148" s="153" t="s">
        <v>174</v>
      </c>
      <c r="T148" s="153"/>
      <c r="U148" s="153"/>
      <c r="V148" s="153"/>
      <c r="W148" s="153"/>
      <c r="X148" s="153"/>
      <c r="Y148" s="154"/>
      <c r="Z148" s="39" t="n">
        <f aca="false">Z147-Y147</f>
        <v>-60.2350000000006</v>
      </c>
      <c r="AB148" s="153" t="s">
        <v>174</v>
      </c>
      <c r="AC148" s="153"/>
      <c r="AD148" s="153"/>
      <c r="AE148" s="153"/>
      <c r="AF148" s="153"/>
      <c r="AG148" s="153"/>
      <c r="AH148" s="154"/>
      <c r="AI148" s="39" t="n">
        <f aca="false">AI147-AH147</f>
        <v>-5033.5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175</v>
      </c>
      <c r="B150" s="27"/>
      <c r="C150" s="27"/>
      <c r="D150" s="27"/>
      <c r="E150" s="27"/>
      <c r="F150" s="27"/>
      <c r="G150" s="27"/>
      <c r="H150" s="27"/>
      <c r="J150" s="27" t="s">
        <v>175</v>
      </c>
      <c r="K150" s="27"/>
      <c r="L150" s="27"/>
      <c r="M150" s="27"/>
      <c r="N150" s="27"/>
      <c r="O150" s="27"/>
      <c r="P150" s="27"/>
      <c r="Q150" s="27"/>
      <c r="S150" s="27" t="s">
        <v>175</v>
      </c>
      <c r="T150" s="27"/>
      <c r="U150" s="27"/>
      <c r="V150" s="27"/>
      <c r="W150" s="27"/>
      <c r="X150" s="27"/>
      <c r="Y150" s="27"/>
      <c r="Z150" s="27"/>
      <c r="AB150" s="27" t="s">
        <v>175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176</v>
      </c>
      <c r="B152" s="92"/>
      <c r="C152" s="92"/>
      <c r="D152" s="22"/>
      <c r="E152" s="106" t="n">
        <v>0.0</v>
      </c>
      <c r="F152" s="106"/>
      <c r="G152" s="106" t="n">
        <v>1000.0</v>
      </c>
      <c r="H152" s="106"/>
      <c r="J152" s="30" t="s">
        <v>176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176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176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177</v>
      </c>
      <c r="B153" s="92"/>
      <c r="C153" s="92"/>
      <c r="D153" s="22"/>
      <c r="E153" s="165" t="n">
        <f aca="false">G153</f>
        <v>500</v>
      </c>
      <c r="F153" s="165"/>
      <c r="G153" s="106" t="n">
        <v>500.0</v>
      </c>
      <c r="H153" s="106"/>
      <c r="J153" s="30" t="s">
        <v>177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177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177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178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178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178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178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179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179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179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179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180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180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180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180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181</v>
      </c>
      <c r="B158" s="92"/>
      <c r="C158" s="92"/>
      <c r="D158" s="112"/>
      <c r="E158" s="92"/>
      <c r="F158" s="112"/>
      <c r="G158" s="169" t="n">
        <f aca="false">H147-G154-G157</f>
        <v>23021.604</v>
      </c>
      <c r="H158" s="169"/>
      <c r="J158" s="168" t="s">
        <v>181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181</v>
      </c>
      <c r="T158" s="92"/>
      <c r="U158" s="92"/>
      <c r="V158" s="112"/>
      <c r="W158" s="92"/>
      <c r="X158" s="112"/>
      <c r="Y158" s="169" t="n">
        <f aca="false">Z147-Y154-Y157</f>
        <v>22207.765</v>
      </c>
      <c r="Z158" s="169"/>
      <c r="AB158" s="168" t="s">
        <v>181</v>
      </c>
      <c r="AC158" s="92"/>
      <c r="AD158" s="92"/>
      <c r="AE158" s="112"/>
      <c r="AF158" s="92"/>
      <c r="AG158" s="112"/>
      <c r="AH158" s="169" t="n">
        <f aca="false">AI147-AH154-AH157</f>
        <v>17234.5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182</v>
      </c>
      <c r="B162" s="27"/>
      <c r="C162" s="27"/>
      <c r="D162" s="27"/>
      <c r="E162" s="27"/>
      <c r="F162" s="27"/>
      <c r="G162" s="27"/>
      <c r="H162" s="27"/>
      <c r="J162" s="27" t="s">
        <v>182</v>
      </c>
      <c r="K162" s="27"/>
      <c r="L162" s="27"/>
      <c r="M162" s="27"/>
      <c r="N162" s="27"/>
      <c r="O162" s="27"/>
      <c r="P162" s="27"/>
      <c r="Q162" s="27"/>
      <c r="S162" s="27" t="s">
        <v>182</v>
      </c>
      <c r="T162" s="27"/>
      <c r="U162" s="27"/>
      <c r="V162" s="27"/>
      <c r="W162" s="27"/>
      <c r="X162" s="27"/>
      <c r="Y162" s="27"/>
      <c r="Z162" s="27"/>
      <c r="AB162" s="27" t="s">
        <v>182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183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183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183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183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184</v>
      </c>
      <c r="B166" s="173" t="s">
        <v>185</v>
      </c>
      <c r="C166" s="173"/>
      <c r="D166" s="173"/>
      <c r="E166" s="173" t="s">
        <v>186</v>
      </c>
      <c r="F166" s="22"/>
      <c r="G166" s="22" t="s">
        <v>187</v>
      </c>
      <c r="H166" s="32"/>
      <c r="J166" s="172" t="s">
        <v>184</v>
      </c>
      <c r="K166" s="173" t="s">
        <v>185</v>
      </c>
      <c r="L166" s="173"/>
      <c r="M166" s="173"/>
      <c r="N166" s="173" t="s">
        <v>186</v>
      </c>
      <c r="O166" s="22"/>
      <c r="P166" s="22"/>
      <c r="Q166" s="32"/>
      <c r="S166" s="172" t="s">
        <v>184</v>
      </c>
      <c r="T166" s="173" t="s">
        <v>185</v>
      </c>
      <c r="U166" s="173"/>
      <c r="V166" s="173"/>
      <c r="W166" s="173" t="s">
        <v>186</v>
      </c>
      <c r="X166" s="22"/>
      <c r="Y166" s="22"/>
      <c r="Z166" s="32"/>
      <c r="AB166" s="172" t="s">
        <v>184</v>
      </c>
      <c r="AC166" s="173" t="s">
        <v>185</v>
      </c>
      <c r="AD166" s="173"/>
      <c r="AE166" s="173"/>
      <c r="AF166" s="173" t="s">
        <v>186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639.417321141164</v>
      </c>
      <c r="B167" s="176" t="n">
        <f aca="false">B94</f>
        <v>64.7170588235294</v>
      </c>
      <c r="C167" s="173"/>
      <c r="D167" s="173"/>
      <c r="E167" s="176" t="n">
        <f aca="false">B96</f>
        <v>704.134379964694</v>
      </c>
      <c r="F167" s="22"/>
      <c r="G167" s="22" t="n">
        <f aca="false">ROUND(G95,2)</f>
        <v>609.32</v>
      </c>
      <c r="H167" s="32"/>
      <c r="J167" s="175" t="n">
        <f aca="false">K95</f>
        <v>1460.84083744584</v>
      </c>
      <c r="K167" s="176" t="n">
        <f aca="false">K94</f>
        <v>81.7284</v>
      </c>
      <c r="L167" s="173"/>
      <c r="M167" s="173"/>
      <c r="N167" s="176" t="n">
        <f aca="false">K96</f>
        <v>1542.56923744584</v>
      </c>
      <c r="O167" s="22"/>
      <c r="P167" s="22"/>
      <c r="Q167" s="32"/>
      <c r="S167" s="175" t="n">
        <f aca="false">T95</f>
        <v>664.221324460908</v>
      </c>
      <c r="T167" s="176" t="n">
        <f aca="false">T94</f>
        <v>64.7170588235294</v>
      </c>
      <c r="U167" s="173"/>
      <c r="V167" s="173"/>
      <c r="W167" s="176" t="n">
        <f aca="false">T96</f>
        <v>728.938383284438</v>
      </c>
      <c r="X167" s="22"/>
      <c r="Y167" s="22"/>
      <c r="Z167" s="32"/>
      <c r="AB167" s="175" t="n">
        <f aca="false">AC95</f>
        <v>488.33974246853</v>
      </c>
      <c r="AC167" s="176" t="n">
        <f aca="false">AC94</f>
        <v>77.6604705882353</v>
      </c>
      <c r="AD167" s="173"/>
      <c r="AE167" s="173"/>
      <c r="AF167" s="176" t="n">
        <f aca="false">AC96</f>
        <v>566.000213056765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188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188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188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188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5010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5010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5010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5010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189</v>
      </c>
      <c r="B172" s="92" t="s">
        <v>190</v>
      </c>
      <c r="C172" s="92"/>
      <c r="D172" s="22"/>
      <c r="E172" s="92" t="s">
        <v>191</v>
      </c>
      <c r="F172" s="22"/>
      <c r="G172" s="22"/>
      <c r="H172" s="32"/>
      <c r="J172" s="30" t="s">
        <v>189</v>
      </c>
      <c r="K172" s="92" t="s">
        <v>190</v>
      </c>
      <c r="L172" s="92"/>
      <c r="M172" s="22"/>
      <c r="N172" s="92" t="s">
        <v>191</v>
      </c>
      <c r="O172" s="22"/>
      <c r="P172" s="22"/>
      <c r="Q172" s="32"/>
      <c r="S172" s="30" t="s">
        <v>189</v>
      </c>
      <c r="T172" s="92" t="s">
        <v>190</v>
      </c>
      <c r="U172" s="92"/>
      <c r="V172" s="22"/>
      <c r="W172" s="92" t="s">
        <v>191</v>
      </c>
      <c r="X172" s="22"/>
      <c r="Y172" s="22"/>
      <c r="Z172" s="32"/>
      <c r="AB172" s="30" t="s">
        <v>189</v>
      </c>
      <c r="AC172" s="92" t="s">
        <v>190</v>
      </c>
      <c r="AD172" s="92"/>
      <c r="AE172" s="22"/>
      <c r="AF172" s="92" t="s">
        <v>191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20984.67</v>
      </c>
      <c r="B173" s="102" t="n">
        <f aca="false">H137</f>
        <v>4196.934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17398.1375</v>
      </c>
      <c r="T173" s="102" t="n">
        <f aca="false">Z137</f>
        <v>3479.6275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13253.75</v>
      </c>
      <c r="AC173" s="102" t="n">
        <f aca="false">AI137</f>
        <v>2650.75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192</v>
      </c>
      <c r="B175" s="92" t="s">
        <v>138</v>
      </c>
      <c r="C175" s="92"/>
      <c r="D175" s="22"/>
      <c r="E175" s="92" t="s">
        <v>139</v>
      </c>
      <c r="F175" s="22"/>
      <c r="G175" s="22"/>
      <c r="H175" s="32"/>
      <c r="J175" s="30" t="s">
        <v>192</v>
      </c>
      <c r="K175" s="92" t="s">
        <v>138</v>
      </c>
      <c r="L175" s="92"/>
      <c r="M175" s="22"/>
      <c r="N175" s="92" t="s">
        <v>139</v>
      </c>
      <c r="O175" s="22"/>
      <c r="P175" s="22"/>
      <c r="Q175" s="32"/>
      <c r="S175" s="30" t="s">
        <v>192</v>
      </c>
      <c r="T175" s="92" t="s">
        <v>138</v>
      </c>
      <c r="U175" s="92"/>
      <c r="V175" s="22"/>
      <c r="W175" s="92" t="s">
        <v>139</v>
      </c>
      <c r="X175" s="22"/>
      <c r="Y175" s="22"/>
      <c r="Z175" s="32"/>
      <c r="AB175" s="30" t="s">
        <v>192</v>
      </c>
      <c r="AC175" s="92" t="s">
        <v>138</v>
      </c>
      <c r="AD175" s="92"/>
      <c r="AE175" s="22"/>
      <c r="AF175" s="92" t="s">
        <v>139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25521.604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21207.765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16234.5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140</v>
      </c>
      <c r="B178" s="92" t="s">
        <v>176</v>
      </c>
      <c r="C178" s="92"/>
      <c r="D178" s="22"/>
      <c r="E178" s="92" t="s">
        <v>181</v>
      </c>
      <c r="F178" s="22"/>
      <c r="G178" s="22"/>
      <c r="H178" s="32"/>
      <c r="J178" s="30" t="s">
        <v>140</v>
      </c>
      <c r="K178" s="92" t="s">
        <v>176</v>
      </c>
      <c r="L178" s="92"/>
      <c r="M178" s="22"/>
      <c r="N178" s="92" t="s">
        <v>181</v>
      </c>
      <c r="O178" s="22"/>
      <c r="P178" s="22"/>
      <c r="Q178" s="32"/>
      <c r="S178" s="30" t="s">
        <v>140</v>
      </c>
      <c r="T178" s="92" t="s">
        <v>176</v>
      </c>
      <c r="U178" s="92"/>
      <c r="V178" s="22"/>
      <c r="W178" s="92" t="s">
        <v>181</v>
      </c>
      <c r="X178" s="22"/>
      <c r="Y178" s="22"/>
      <c r="Z178" s="32"/>
      <c r="AB178" s="30" t="s">
        <v>140</v>
      </c>
      <c r="AC178" s="92" t="s">
        <v>176</v>
      </c>
      <c r="AD178" s="92"/>
      <c r="AE178" s="22"/>
      <c r="AF178" s="92" t="s">
        <v>181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23021.604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22207.765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17234.5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193</v>
      </c>
      <c r="B181" s="92" t="s">
        <v>53</v>
      </c>
      <c r="C181" s="92"/>
      <c r="D181" s="22"/>
      <c r="E181" s="92" t="s">
        <v>194</v>
      </c>
      <c r="F181" s="22"/>
      <c r="G181" s="22"/>
      <c r="H181" s="32"/>
      <c r="J181" s="30" t="s">
        <v>193</v>
      </c>
      <c r="K181" s="92" t="s">
        <v>53</v>
      </c>
      <c r="L181" s="92"/>
      <c r="M181" s="22"/>
      <c r="N181" s="92" t="s">
        <v>194</v>
      </c>
      <c r="O181" s="22"/>
      <c r="P181" s="22"/>
      <c r="Q181" s="32"/>
      <c r="S181" s="30" t="s">
        <v>193</v>
      </c>
      <c r="T181" s="92" t="s">
        <v>53</v>
      </c>
      <c r="U181" s="92"/>
      <c r="V181" s="22"/>
      <c r="W181" s="92" t="s">
        <v>194</v>
      </c>
      <c r="X181" s="22"/>
      <c r="Y181" s="22"/>
      <c r="Z181" s="32"/>
      <c r="AB181" s="30" t="s">
        <v>193</v>
      </c>
      <c r="AC181" s="92" t="s">
        <v>53</v>
      </c>
      <c r="AD181" s="92"/>
      <c r="AE181" s="22"/>
      <c r="AF181" s="92" t="s">
        <v>194</v>
      </c>
      <c r="AG181" s="22"/>
      <c r="AH181" s="22"/>
      <c r="AI181" s="32"/>
    </row>
    <row r="182" customFormat="false" ht="18.75" hidden="false" customHeight="false" outlineLevel="0" collapsed="false">
      <c r="A182" s="110" t="n">
        <f aca="false">(A167*B59)+E185-E179-A185</f>
        <v>3728.58491879959</v>
      </c>
      <c r="B182" s="102" t="str">
        <f aca="false">B114</f>
        <v>199.99</v>
      </c>
      <c r="C182" s="102"/>
      <c r="D182" s="22"/>
      <c r="E182" s="102" t="n">
        <f aca="false">E179+A182+(B182*1.2)+A185</f>
        <v>27000.1769187996</v>
      </c>
      <c r="F182" s="22"/>
      <c r="G182" s="22"/>
      <c r="H182" s="104"/>
      <c r="J182" s="110" t="n">
        <f aca="false">(J167*K59)+N185-N179-J185</f>
        <v>18159.5844731586</v>
      </c>
      <c r="K182" s="102" t="n">
        <f aca="false">K114</f>
        <v>239.99</v>
      </c>
      <c r="L182" s="102"/>
      <c r="M182" s="22"/>
      <c r="N182" s="102" t="n">
        <f aca="false">N179+J182+K182+J185</f>
        <v>54938.5784731586</v>
      </c>
      <c r="O182" s="22"/>
      <c r="P182" s="22"/>
      <c r="Q182" s="104"/>
      <c r="S182" s="110" t="n">
        <f aca="false">(S167*T59)+W185-W179-S185</f>
        <v>5385.76003167088</v>
      </c>
      <c r="T182" s="102" t="n">
        <f aca="false">T114</f>
        <v>199.99</v>
      </c>
      <c r="U182" s="102"/>
      <c r="V182" s="22"/>
      <c r="W182" s="102" t="n">
        <f aca="false">W179+S182+T182+S185</f>
        <v>27803.5150316709</v>
      </c>
      <c r="X182" s="22"/>
      <c r="Y182" s="22"/>
      <c r="Z182" s="104"/>
      <c r="AB182" s="110" t="n">
        <f aca="false">(AB167*AC59)+AF185-AF179-AB185</f>
        <v>4379.05124393002</v>
      </c>
      <c r="AC182" s="102" t="n">
        <f aca="false">AC114</f>
        <v>239.99</v>
      </c>
      <c r="AD182" s="102"/>
      <c r="AE182" s="22"/>
      <c r="AF182" s="102" t="n">
        <f aca="false">AF179+AB182+AC182+AB185</f>
        <v>21863.54124393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195</v>
      </c>
      <c r="B184" s="92" t="s">
        <v>196</v>
      </c>
      <c r="C184" s="92"/>
      <c r="D184" s="22"/>
      <c r="E184" s="92" t="s">
        <v>197</v>
      </c>
      <c r="F184" s="22"/>
      <c r="G184" s="22"/>
      <c r="H184" s="32"/>
      <c r="J184" s="30" t="s">
        <v>195</v>
      </c>
      <c r="K184" s="92" t="s">
        <v>196</v>
      </c>
      <c r="L184" s="92"/>
      <c r="M184" s="22"/>
      <c r="N184" s="92" t="s">
        <v>197</v>
      </c>
      <c r="O184" s="22"/>
      <c r="P184" s="22"/>
      <c r="Q184" s="32"/>
      <c r="S184" s="30" t="s">
        <v>195</v>
      </c>
      <c r="T184" s="92" t="s">
        <v>196</v>
      </c>
      <c r="U184" s="92"/>
      <c r="V184" s="22"/>
      <c r="W184" s="92" t="s">
        <v>197</v>
      </c>
      <c r="X184" s="22"/>
      <c r="Y184" s="22"/>
      <c r="Z184" s="32"/>
      <c r="AB184" s="30" t="s">
        <v>195</v>
      </c>
      <c r="AC184" s="92" t="s">
        <v>196</v>
      </c>
      <c r="AD184" s="92"/>
      <c r="AE184" s="22"/>
      <c r="AF184" s="92" t="s">
        <v>197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IF(A40=0,(E167),(E170+A185))</f>
        <v>5020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5030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5020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5020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198</v>
      </c>
      <c r="B187" s="92" t="s">
        <v>199</v>
      </c>
      <c r="C187" s="92"/>
      <c r="D187" s="92"/>
      <c r="E187" s="165" t="s">
        <v>200</v>
      </c>
      <c r="F187" s="22"/>
      <c r="G187" s="22"/>
      <c r="H187" s="32"/>
      <c r="J187" s="30" t="s">
        <v>198</v>
      </c>
      <c r="K187" s="92" t="s">
        <v>199</v>
      </c>
      <c r="L187" s="92"/>
      <c r="M187" s="92"/>
      <c r="N187" s="165" t="s">
        <v>200</v>
      </c>
      <c r="O187" s="22"/>
      <c r="P187" s="22"/>
      <c r="Q187" s="32"/>
      <c r="S187" s="30" t="s">
        <v>198</v>
      </c>
      <c r="T187" s="92" t="s">
        <v>199</v>
      </c>
      <c r="U187" s="92"/>
      <c r="V187" s="92"/>
      <c r="W187" s="165" t="s">
        <v>200</v>
      </c>
      <c r="X187" s="31"/>
      <c r="Y187" s="31"/>
      <c r="Z187" s="32"/>
      <c r="AB187" s="30" t="s">
        <v>198</v>
      </c>
      <c r="AC187" s="92" t="s">
        <v>199</v>
      </c>
      <c r="AD187" s="92"/>
      <c r="AE187" s="92"/>
      <c r="AF187" s="165" t="s">
        <v>200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4.1856</v>
      </c>
      <c r="B188" s="102" t="n">
        <f aca="false">(G158*B67)/1.2</f>
        <v>187.84989375</v>
      </c>
      <c r="C188" s="92"/>
      <c r="D188" s="92"/>
      <c r="E188" s="102" t="n">
        <f aca="false">(E40*A108)*0.1*(C45/100)</f>
        <v>36.673</v>
      </c>
      <c r="F188" s="22"/>
      <c r="G188" s="22"/>
      <c r="H188" s="32"/>
      <c r="J188" s="110" t="n">
        <f aca="false">IF(N105="YES",H15*0.000002,0)</f>
        <v>0.042536</v>
      </c>
      <c r="K188" s="102" t="n">
        <f aca="false">(P158*K67)/1.2</f>
        <v>2250.73722569444</v>
      </c>
      <c r="L188" s="92"/>
      <c r="M188" s="92"/>
      <c r="N188" s="102" t="n">
        <f aca="false">(E40*J108)*0.1</f>
        <v>55.0095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181.209193576389</v>
      </c>
      <c r="U188" s="92"/>
      <c r="V188" s="92"/>
      <c r="W188" s="102" t="n">
        <f aca="false">(E40*S108)*0.1</f>
        <v>36.673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140.628732638889</v>
      </c>
      <c r="AD188" s="92"/>
      <c r="AE188" s="92"/>
      <c r="AF188" s="102" t="n">
        <f aca="false">(E40*AB108)*0.1</f>
        <v>36.673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201</v>
      </c>
      <c r="B190" s="165" t="s">
        <v>202</v>
      </c>
      <c r="C190" s="92"/>
      <c r="D190" s="92"/>
      <c r="E190" s="165" t="s">
        <v>203</v>
      </c>
      <c r="F190" s="22"/>
      <c r="G190" s="22"/>
      <c r="H190" s="32"/>
      <c r="J190" s="59" t="s">
        <v>201</v>
      </c>
      <c r="K190" s="165" t="s">
        <v>202</v>
      </c>
      <c r="L190" s="92"/>
      <c r="M190" s="92"/>
      <c r="N190" s="165" t="s">
        <v>203</v>
      </c>
      <c r="O190" s="22"/>
      <c r="P190" s="22"/>
      <c r="Q190" s="32"/>
      <c r="S190" s="59" t="s">
        <v>201</v>
      </c>
      <c r="T190" s="165" t="s">
        <v>202</v>
      </c>
      <c r="U190" s="92"/>
      <c r="V190" s="92"/>
      <c r="W190" s="165" t="s">
        <v>203</v>
      </c>
      <c r="X190" s="31"/>
      <c r="Y190" s="31"/>
      <c r="Z190" s="32"/>
      <c r="AB190" s="59" t="s">
        <v>201</v>
      </c>
      <c r="AC190" s="165" t="s">
        <v>202</v>
      </c>
      <c r="AD190" s="92"/>
      <c r="AE190" s="92"/>
      <c r="AF190" s="165" t="s">
        <v>203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324.51289375</v>
      </c>
      <c r="C191" s="92"/>
      <c r="D191" s="92"/>
      <c r="E191" s="102" t="n">
        <f aca="false">H148</f>
        <v>3544.67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3445.73672569444</v>
      </c>
      <c r="L191" s="92"/>
      <c r="M191" s="92"/>
      <c r="N191" s="102" t="n">
        <f aca="false">Q148</f>
        <v>14251.004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1317.87219357639</v>
      </c>
      <c r="U191" s="92"/>
      <c r="V191" s="92"/>
      <c r="W191" s="102" t="n">
        <f aca="false">Z148</f>
        <v>-60.2350000000006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1317.29173263889</v>
      </c>
      <c r="AD191" s="92"/>
      <c r="AE191" s="92"/>
      <c r="AF191" s="102" t="n">
        <f aca="false">AI148</f>
        <v>-5033.5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204</v>
      </c>
      <c r="B193" s="92"/>
      <c r="C193" s="92"/>
      <c r="D193" s="66"/>
      <c r="E193" s="66"/>
      <c r="F193" s="66"/>
      <c r="G193" s="66"/>
      <c r="H193" s="67"/>
      <c r="J193" s="65" t="s">
        <v>204</v>
      </c>
      <c r="K193" s="92"/>
      <c r="L193" s="92"/>
      <c r="M193" s="66"/>
      <c r="N193" s="66"/>
      <c r="O193" s="66"/>
      <c r="P193" s="66"/>
      <c r="Q193" s="67"/>
      <c r="S193" s="65" t="s">
        <v>204</v>
      </c>
      <c r="T193" s="92"/>
      <c r="U193" s="92"/>
      <c r="V193" s="66"/>
      <c r="W193" s="66"/>
      <c r="X193" s="66"/>
      <c r="Y193" s="66"/>
      <c r="Z193" s="67"/>
      <c r="AB193" s="65" t="s">
        <v>204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704.134379964694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1542.56923744584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728.938383284438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566.000213056765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205</v>
      </c>
      <c r="B200" s="92" t="s">
        <v>206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2705.276</v>
      </c>
      <c r="B201" s="185" t="n">
        <f aca="false">E179+A201+(B182*1.2)+A185</f>
        <v>25976.868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182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127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207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184</v>
      </c>
      <c r="B211" s="191" t="s">
        <v>185</v>
      </c>
      <c r="C211" s="191"/>
      <c r="D211" s="191"/>
      <c r="E211" s="191" t="s">
        <v>186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639.417321141164</v>
      </c>
      <c r="B212" s="176" t="n">
        <f aca="false">B167</f>
        <v>64.7170588235294</v>
      </c>
      <c r="C212" s="173"/>
      <c r="D212" s="173"/>
      <c r="E212" s="176" t="n">
        <f aca="false">E167</f>
        <v>704.134379964694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189</v>
      </c>
      <c r="B214" s="92" t="s">
        <v>190</v>
      </c>
      <c r="C214" s="92"/>
      <c r="D214" s="112"/>
      <c r="E214" s="92" t="s">
        <v>191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20984.67</v>
      </c>
      <c r="B215" s="102" t="n">
        <f aca="false">B173</f>
        <v>4196.934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192</v>
      </c>
      <c r="B217" s="92" t="s">
        <v>138</v>
      </c>
      <c r="C217" s="92"/>
      <c r="D217" s="112"/>
      <c r="E217" s="92" t="s">
        <v>139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25521.604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140</v>
      </c>
      <c r="B220" s="92" t="s">
        <v>176</v>
      </c>
      <c r="C220" s="92"/>
      <c r="D220" s="112"/>
      <c r="E220" s="92" t="s">
        <v>181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23021.604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193</v>
      </c>
      <c r="B223" s="92" t="s">
        <v>53</v>
      </c>
      <c r="C223" s="92"/>
      <c r="D223" s="112"/>
      <c r="E223" s="92" t="s">
        <v>194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3728.58491879959</v>
      </c>
      <c r="B224" s="102" t="str">
        <f aca="false">B182</f>
        <v>199.99</v>
      </c>
      <c r="C224" s="102"/>
      <c r="D224" s="112"/>
      <c r="E224" s="102" t="n">
        <f aca="false">E182</f>
        <v>27000.1769187996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195</v>
      </c>
      <c r="B226" s="92" t="s">
        <v>196</v>
      </c>
      <c r="C226" s="92"/>
      <c r="D226" s="112"/>
      <c r="E226" s="92" t="s">
        <v>208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184</v>
      </c>
      <c r="B229" s="92" t="s">
        <v>185</v>
      </c>
      <c r="C229" s="92"/>
      <c r="D229" s="92"/>
      <c r="E229" s="92" t="s">
        <v>186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639.417321141164</v>
      </c>
      <c r="B230" s="102" t="n">
        <f aca="false">B167</f>
        <v>64.7170588235294</v>
      </c>
      <c r="C230" s="185"/>
      <c r="D230" s="185"/>
      <c r="E230" s="102" t="n">
        <f aca="false">E167</f>
        <v>704.134379964694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209</v>
      </c>
      <c r="B232" s="92" t="s">
        <v>210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5010</v>
      </c>
      <c r="B233" s="102" t="n">
        <f aca="false">E185</f>
        <v>5020</v>
      </c>
      <c r="C233" s="92"/>
      <c r="D233" s="92"/>
      <c r="E233" s="102" t="n">
        <f aca="false">J18*0.000006*100</f>
        <v>12.5568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211</v>
      </c>
      <c r="B235" s="165" t="s">
        <v>73</v>
      </c>
      <c r="C235" s="92"/>
      <c r="D235" s="92"/>
      <c r="E235" s="165" t="s">
        <v>132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4.1856</v>
      </c>
      <c r="B236" s="102" t="n">
        <f aca="false">E233+A236</f>
        <v>16.7424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212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213</v>
      </c>
      <c r="B239" s="92" t="s">
        <v>199</v>
      </c>
      <c r="C239" s="92"/>
      <c r="D239" s="92"/>
      <c r="E239" s="165" t="s">
        <v>200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3544.67</v>
      </c>
      <c r="B240" s="102" t="n">
        <f aca="false">B68</f>
        <v>187.84989375</v>
      </c>
      <c r="C240" s="92"/>
      <c r="D240" s="92"/>
      <c r="E240" s="102" t="n">
        <f aca="false">E188</f>
        <v>36.673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201</v>
      </c>
      <c r="B242" s="165" t="s">
        <v>202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3869.18289375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214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215</v>
      </c>
      <c r="B253" s="195" t="n">
        <f aca="false">K35</f>
        <v>0.065</v>
      </c>
      <c r="C253" s="196"/>
      <c r="D253" s="197" t="s">
        <v>216</v>
      </c>
      <c r="E253" s="197"/>
      <c r="F253" s="195" t="n">
        <f aca="false">B83</f>
        <v>0.089</v>
      </c>
      <c r="G253" s="22"/>
      <c r="H253" s="32"/>
    </row>
    <row r="254" customFormat="false" ht="18.75" hidden="false" customHeight="false" outlineLevel="0" collapsed="false">
      <c r="A254" s="190" t="s">
        <v>217</v>
      </c>
      <c r="B254" s="199" t="n">
        <f aca="false">(E182-B182)-(B201-B182-A185)</f>
        <v>1033.30891879959</v>
      </c>
      <c r="C254" s="196"/>
      <c r="D254" s="197" t="s">
        <v>218</v>
      </c>
      <c r="E254" s="197"/>
      <c r="F254" s="199" t="n">
        <f aca="false">F261+F267+F269+B270+B271</f>
        <v>225.4198725</v>
      </c>
      <c r="G254" s="22"/>
      <c r="H254" s="32"/>
    </row>
    <row r="255" customFormat="false" ht="18.75" hidden="false" customHeight="false" outlineLevel="0" collapsed="false">
      <c r="A255" s="190" t="s">
        <v>219</v>
      </c>
      <c r="B255" s="199" t="n">
        <f aca="false">F262+B263</f>
        <v>466.72</v>
      </c>
      <c r="C255" s="196"/>
      <c r="D255" s="197" t="s">
        <v>220</v>
      </c>
      <c r="E255" s="197"/>
      <c r="F255" s="199" t="n">
        <f aca="false">(B254-F254)+B255</f>
        <v>1274.60904629959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215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221</v>
      </c>
      <c r="B259" s="204" t="n">
        <f aca="false">B64</f>
        <v>0.024</v>
      </c>
      <c r="C259" s="31"/>
      <c r="D259" s="165" t="s">
        <v>222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216</v>
      </c>
      <c r="B260" s="208" t="n">
        <f aca="false">B83</f>
        <v>0.089</v>
      </c>
      <c r="C260" s="42"/>
      <c r="D260" s="165" t="s">
        <v>217</v>
      </c>
      <c r="E260" s="165"/>
      <c r="F260" s="145" t="n">
        <f aca="false">B254</f>
        <v>1033.30891879959</v>
      </c>
      <c r="G260" s="22"/>
      <c r="H260" s="32"/>
    </row>
    <row r="261" customFormat="false" ht="19.5" hidden="false" customHeight="false" outlineLevel="0" collapsed="false">
      <c r="A261" s="30" t="s">
        <v>223</v>
      </c>
      <c r="B261" s="208" t="n">
        <f aca="false">B67</f>
        <v>0.00979166666666667</v>
      </c>
      <c r="C261" s="31"/>
      <c r="D261" s="165" t="s">
        <v>223</v>
      </c>
      <c r="E261" s="165"/>
      <c r="F261" s="150" t="n">
        <f aca="false">B68*1.2</f>
        <v>225.4198725</v>
      </c>
      <c r="G261" s="22"/>
      <c r="H261" s="32"/>
    </row>
    <row r="262" customFormat="false" ht="19.5" hidden="false" customHeight="false" outlineLevel="0" collapsed="false">
      <c r="A262" s="30" t="s">
        <v>224</v>
      </c>
      <c r="B262" s="204" t="n">
        <f aca="false">A108</f>
        <v>0.2</v>
      </c>
      <c r="C262" s="31"/>
      <c r="D262" s="165" t="s">
        <v>224</v>
      </c>
      <c r="E262" s="165"/>
      <c r="F262" s="145" t="n">
        <f aca="false">E240*10</f>
        <v>366.73</v>
      </c>
      <c r="G262" s="22"/>
      <c r="H262" s="32"/>
    </row>
    <row r="263" customFormat="false" ht="18.75" hidden="false" customHeight="false" outlineLevel="0" collapsed="false">
      <c r="A263" s="30" t="s">
        <v>225</v>
      </c>
      <c r="B263" s="145" t="n">
        <f aca="false">A243</f>
        <v>99.99</v>
      </c>
      <c r="C263" s="31"/>
      <c r="D263" s="38" t="s">
        <v>220</v>
      </c>
      <c r="E263" s="38"/>
      <c r="F263" s="145" t="n">
        <f aca="false">(B254-F254)+B255</f>
        <v>1274.60904629959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226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227</v>
      </c>
      <c r="B266" s="150" t="n">
        <v>0</v>
      </c>
      <c r="C266" s="31"/>
      <c r="D266" s="209" t="s">
        <v>228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229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230</v>
      </c>
      <c r="B268" s="210" t="s">
        <v>4</v>
      </c>
      <c r="C268" s="31"/>
      <c r="D268" s="165" t="s">
        <v>231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232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233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234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 t="s">
        <v>18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262" t="n">
        <v>16745.0</v>
      </c>
      <c r="C3" s="495" t="n">
        <v>0.0</v>
      </c>
      <c r="D3" s="262" t="n">
        <v>0.0</v>
      </c>
      <c r="E3" s="496" t="n">
        <v>0</v>
      </c>
      <c r="F3" s="62"/>
      <c r="G3" s="62" t="n">
        <v>25000</v>
      </c>
      <c r="H3" s="62"/>
      <c r="I3" s="62" t="s">
        <v>19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-809.375933114363</v>
      </c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505" t="n">
        <f aca="false">(B7+C7+D7+E3)</f>
        <v>16745</v>
      </c>
      <c r="F9" s="62"/>
      <c r="G9" s="450" t="n">
        <f aca="false">E9-G11</f>
        <v>-135530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695.0</v>
      </c>
      <c r="F10" s="62"/>
      <c r="G10" s="450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(E9+E10)*0.2</f>
        <v>3488</v>
      </c>
      <c r="F11" s="62"/>
      <c r="G11" s="450" t="n">
        <f aca="false">G13/1.2</f>
        <v>152275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275.0</v>
      </c>
      <c r="F13" s="62"/>
      <c r="G13" s="450" t="n">
        <f aca="false">G15-E14-E13-E12</f>
        <v>182730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506" t="n">
        <f aca="false">(E9+E10+E13+E14+E11)-E12</f>
        <v>21268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452" t="n">
        <f aca="false">(B3+C3+E10)*1.2</f>
        <v>20928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353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128</v>
      </c>
      <c r="B26" s="221" t="s">
        <v>390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182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183</v>
      </c>
      <c r="B30" s="171" t="s">
        <v>401</v>
      </c>
      <c r="C30" s="171"/>
      <c r="D30" s="214"/>
      <c r="E30" s="215"/>
      <c r="F30" s="62"/>
      <c r="G30" s="217" t="s">
        <v>32</v>
      </c>
      <c r="H30" s="453" t="n">
        <v>22000.0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8340.0</v>
      </c>
      <c r="I31" s="237" t="n">
        <f aca="false">IF(C107="YES",H31,0)</f>
        <v>8340</v>
      </c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354</v>
      </c>
      <c r="E32" s="215"/>
      <c r="F32" s="62"/>
      <c r="G32" s="217" t="s">
        <v>36</v>
      </c>
      <c r="I32" s="445" t="n">
        <v>1131.9</v>
      </c>
      <c r="J32" s="62"/>
      <c r="K32" s="62" t="n">
        <v>2160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614.21985193172</v>
      </c>
      <c r="E33" s="215"/>
      <c r="F33" s="62"/>
      <c r="G33" s="218" t="s">
        <v>355</v>
      </c>
      <c r="H33" s="456" t="n">
        <f aca="false">E21-E11+((E16*20%)+(E19*20%)+(E20*20%))</f>
        <v>17780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371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356</v>
      </c>
      <c r="B35" s="214" t="s">
        <v>357</v>
      </c>
      <c r="C35" s="214"/>
      <c r="D35" s="214" t="s">
        <v>358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562.76985193172</v>
      </c>
      <c r="B36" s="102" t="n">
        <f aca="false">IF(B26="YES",H42,"")</f>
        <v>51.45</v>
      </c>
      <c r="C36" s="220"/>
      <c r="D36" s="183" t="n">
        <f aca="false">I31</f>
        <v>8340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359</v>
      </c>
      <c r="B39" s="214" t="s">
        <v>360</v>
      </c>
      <c r="C39" s="214"/>
      <c r="D39" s="214" t="s">
        <v>361</v>
      </c>
      <c r="E39" s="215"/>
      <c r="F39" s="62"/>
      <c r="G39" s="62" t="s">
        <v>85</v>
      </c>
      <c r="H39" s="237" t="n">
        <f aca="false">H33</f>
        <v>17780</v>
      </c>
      <c r="I39" s="237" t="n">
        <f aca="false">(I48*H46)+H44</f>
        <v>34035.4440684217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8340</v>
      </c>
      <c r="B40" s="106" t="n">
        <f aca="false">IF(B26="YES",H42,"0")</f>
        <v>51.45</v>
      </c>
      <c r="C40" s="106"/>
      <c r="D40" s="183" t="n">
        <f aca="false">I32</f>
        <v>1131.9</v>
      </c>
      <c r="E40" s="215"/>
      <c r="F40" s="62"/>
      <c r="G40" s="62" t="s">
        <v>107</v>
      </c>
      <c r="H40" s="237" t="n">
        <f aca="false">A40/1.2</f>
        <v>6950</v>
      </c>
      <c r="I40" s="237" t="n">
        <f aca="false">H39-I39</f>
        <v>-16255.4440684217</v>
      </c>
      <c r="J40" s="62" t="n">
        <v>8812.5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362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363</v>
      </c>
      <c r="H42" s="237" t="n">
        <f aca="false">(I32/H34)*(C45/100)</f>
        <v>51.45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364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372</v>
      </c>
      <c r="H44" s="237" t="n">
        <f aca="false">(H40/(1+H41)^(H34+1))</f>
        <v>6137.97280707696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373</v>
      </c>
      <c r="H45" s="237" t="n">
        <f aca="false">(H39-H44)</f>
        <v>11642.027192923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374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368</v>
      </c>
      <c r="H47" s="237" t="n">
        <f aca="false">H45/H46</f>
        <v>562.76985193172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369</v>
      </c>
      <c r="H48" s="237" t="n">
        <f aca="false">IF(B26="YES",H47+H42,H47)</f>
        <v>614.21985193172</v>
      </c>
      <c r="I48" s="237" t="n">
        <f aca="false">I49-H42</f>
        <v>1348.55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370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614.21985193172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20928</v>
      </c>
      <c r="C61" s="214"/>
      <c r="D61" s="214"/>
      <c r="E61" s="215"/>
      <c r="F61" s="62"/>
      <c r="G61" s="213" t="s">
        <v>14</v>
      </c>
      <c r="H61" s="290" t="n">
        <f aca="false">G18</f>
        <v>20928</v>
      </c>
      <c r="I61" s="214"/>
      <c r="J61" s="214"/>
      <c r="K61" s="215"/>
      <c r="L61" s="62"/>
      <c r="M61" s="213" t="s">
        <v>14</v>
      </c>
      <c r="N61" s="290" t="n">
        <f aca="false">G18</f>
        <v>20928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291" t="s">
        <v>277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B62+(B62*0.25*(H29/12-1))</f>
        <v>0.0845833333333333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278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1770.16</v>
      </c>
      <c r="C64" s="214" t="n">
        <v>10000.0</v>
      </c>
      <c r="D64" s="290" t="n">
        <f aca="false">B64-A143</f>
        <v>1770.16</v>
      </c>
      <c r="E64" s="215"/>
      <c r="F64" s="62"/>
      <c r="G64" s="284" t="s">
        <v>91</v>
      </c>
      <c r="H64" s="132" t="n">
        <f aca="false">H61*H63</f>
        <v>1770.16</v>
      </c>
      <c r="I64" s="214"/>
      <c r="J64" s="290" t="n">
        <f aca="false">H64-G145</f>
        <v>1770.16</v>
      </c>
      <c r="K64" s="215"/>
      <c r="L64" s="62"/>
      <c r="M64" s="284" t="s">
        <v>91</v>
      </c>
      <c r="N64" s="132" t="n">
        <f aca="false">N61*N63</f>
        <v>1770.16</v>
      </c>
      <c r="O64" s="214"/>
      <c r="P64" s="290" t="n">
        <f aca="false">N64-M145</f>
        <v>1770.16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296.48</v>
      </c>
      <c r="C67" s="214"/>
      <c r="D67" s="290"/>
      <c r="E67" s="215"/>
      <c r="F67" s="62"/>
      <c r="G67" s="284" t="s">
        <v>94</v>
      </c>
      <c r="H67" s="132" t="n">
        <f aca="false">(H61*H66)/1.2</f>
        <v>247.066666666667</v>
      </c>
      <c r="I67" s="214"/>
      <c r="J67" s="290"/>
      <c r="K67" s="215"/>
      <c r="L67" s="62"/>
      <c r="M67" s="284" t="s">
        <v>94</v>
      </c>
      <c r="N67" s="132" t="n">
        <f aca="false">(N61*N66)/1.2</f>
        <v>247.066666666667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467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427" t="s">
        <v>279</v>
      </c>
      <c r="B74" s="428" t="n">
        <v>0.0</v>
      </c>
      <c r="C74" s="214"/>
      <c r="D74" s="214"/>
      <c r="E74" s="215"/>
      <c r="F74" s="62"/>
      <c r="G74" s="291" t="s">
        <v>279</v>
      </c>
      <c r="H74" s="297" t="n">
        <v>165</v>
      </c>
      <c r="I74" s="214"/>
      <c r="J74" s="214"/>
      <c r="K74" s="215"/>
      <c r="L74" s="62"/>
      <c r="M74" s="427" t="s">
        <v>279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429" t="s">
        <v>280</v>
      </c>
      <c r="B75" s="430" t="n">
        <v>0.0</v>
      </c>
      <c r="C75" s="214"/>
      <c r="D75" s="214"/>
      <c r="E75" s="215"/>
      <c r="F75" s="62"/>
      <c r="G75" s="294" t="s">
        <v>280</v>
      </c>
      <c r="H75" s="298" t="n">
        <v>0</v>
      </c>
      <c r="I75" s="214"/>
      <c r="J75" s="214"/>
      <c r="K75" s="215"/>
      <c r="L75" s="62"/>
      <c r="M75" s="429" t="s">
        <v>280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431" t="s">
        <v>281</v>
      </c>
      <c r="B76" s="4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281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282</v>
      </c>
      <c r="B77" s="130" t="n">
        <f aca="false">B102/(1-0.1)</f>
        <v>0</v>
      </c>
      <c r="C77" s="214"/>
      <c r="D77" s="290" t="n">
        <f aca="false">B77</f>
        <v>0</v>
      </c>
      <c r="E77" s="215"/>
      <c r="F77" s="62"/>
      <c r="G77" s="291" t="s">
        <v>282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282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0</v>
      </c>
      <c r="C78" s="214"/>
      <c r="D78" s="290" t="n">
        <f aca="false">B78</f>
        <v>0</v>
      </c>
      <c r="E78" s="215"/>
      <c r="F78" s="62"/>
      <c r="G78" s="213" t="s">
        <v>283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283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2480.16</v>
      </c>
      <c r="C81" s="214"/>
      <c r="D81" s="214"/>
      <c r="E81" s="215"/>
      <c r="F81" s="62"/>
      <c r="G81" s="302" t="s">
        <v>103</v>
      </c>
      <c r="H81" s="303" t="n">
        <f aca="false">SUM(J64:J80)</f>
        <v>2580.41</v>
      </c>
      <c r="I81" s="214"/>
      <c r="J81" s="214"/>
      <c r="K81" s="215"/>
      <c r="L81" s="62"/>
      <c r="M81" s="302" t="s">
        <v>103</v>
      </c>
      <c r="N81" s="303" t="n">
        <f aca="false">SUM(P64:P80)</f>
        <v>2429.16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112.734545454545</v>
      </c>
      <c r="C82" s="214"/>
      <c r="D82" s="214"/>
      <c r="E82" s="215"/>
      <c r="F82" s="62"/>
      <c r="G82" s="213" t="s">
        <v>104</v>
      </c>
      <c r="H82" s="299" t="n">
        <f aca="false">H81/H29</f>
        <v>117.291363636364</v>
      </c>
      <c r="I82" s="214"/>
      <c r="J82" s="214"/>
      <c r="K82" s="215"/>
      <c r="L82" s="62"/>
      <c r="M82" s="213" t="s">
        <v>104</v>
      </c>
      <c r="N82" s="299" t="n">
        <f aca="false">N81/H29</f>
        <v>110.416363636364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562.76985193172</v>
      </c>
      <c r="C83" s="214"/>
      <c r="D83" s="214"/>
      <c r="E83" s="215"/>
      <c r="F83" s="62"/>
      <c r="G83" s="304" t="s">
        <v>105</v>
      </c>
      <c r="H83" s="305" t="n">
        <f aca="false">H47</f>
        <v>562.76985193172</v>
      </c>
      <c r="I83" s="214"/>
      <c r="J83" s="214"/>
      <c r="K83" s="215"/>
      <c r="L83" s="62"/>
      <c r="M83" s="304" t="s">
        <v>105</v>
      </c>
      <c r="N83" s="305" t="n">
        <f aca="false">H47</f>
        <v>562.76985193172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14861.0967424978</v>
      </c>
      <c r="C85" s="214"/>
      <c r="D85" s="214"/>
      <c r="E85" s="215"/>
      <c r="F85" s="62"/>
      <c r="G85" s="287" t="s">
        <v>115</v>
      </c>
      <c r="H85" s="130" t="n">
        <f aca="false">((H83*H29)+H81)*1.2</f>
        <v>17953.6160909974</v>
      </c>
      <c r="I85" s="214"/>
      <c r="J85" s="214"/>
      <c r="K85" s="215"/>
      <c r="L85" s="62"/>
      <c r="M85" s="287" t="s">
        <v>115</v>
      </c>
      <c r="N85" s="130" t="n">
        <f aca="false">((N83*H29)+N81)</f>
        <v>14810.0967424978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125.890694470534</v>
      </c>
      <c r="C86" s="214"/>
      <c r="D86" s="214"/>
      <c r="E86" s="215"/>
      <c r="F86" s="62"/>
      <c r="G86" s="213" t="s">
        <v>116</v>
      </c>
      <c r="H86" s="299" t="n">
        <f aca="false">((((H83*H29)+H81))/(1-H70))*H70</f>
        <v>126.739928032454</v>
      </c>
      <c r="I86" s="214"/>
      <c r="J86" s="214"/>
      <c r="K86" s="215"/>
      <c r="L86" s="62"/>
      <c r="M86" s="213" t="s">
        <v>116</v>
      </c>
      <c r="N86" s="299" t="n">
        <f aca="false">(N85/(1-N70))*N70</f>
        <v>125.458665426565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14986.9874369684</v>
      </c>
      <c r="C87" s="214"/>
      <c r="D87" s="214"/>
      <c r="E87" s="215"/>
      <c r="F87" s="62"/>
      <c r="G87" s="284" t="s">
        <v>117</v>
      </c>
      <c r="H87" s="132" t="n">
        <f aca="false">IF(H110="YES",((H85+H86)-K114),(H85+H86))</f>
        <v>18080.3560190299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14935.5554079244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IF(B99=Y98,(D40+(D40*B105))/(B58),(D40+(D40*B105))/(B57+B58))*(C45/100)</f>
        <v>61.74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60.368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50.3066666666667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681.226701680381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669.642815519624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553.168718812015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742.966701680381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730.010815519624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603.475385478682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341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212" t="s">
        <v>341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216" t="s">
        <v>126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130</v>
      </c>
      <c r="Z97" s="62"/>
      <c r="AC97" s="385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213" t="s">
        <v>127</v>
      </c>
      <c r="N98" s="214" t="s">
        <v>23</v>
      </c>
      <c r="O98" s="214"/>
      <c r="P98" s="214" t="s">
        <v>285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1000</v>
      </c>
      <c r="E99" s="106"/>
      <c r="F99" s="62"/>
      <c r="G99" s="219" t="s">
        <v>286</v>
      </c>
      <c r="H99" s="311" t="s">
        <v>265</v>
      </c>
      <c r="I99" s="311"/>
      <c r="J99" s="106" t="n">
        <v>0</v>
      </c>
      <c r="K99" s="106"/>
      <c r="L99" s="62"/>
      <c r="M99" s="219" t="s">
        <v>286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289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213" t="s">
        <v>287</v>
      </c>
      <c r="N101" s="214" t="s">
        <v>288</v>
      </c>
      <c r="O101" s="214"/>
      <c r="P101" s="214" t="s">
        <v>289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0.0</v>
      </c>
      <c r="C102" s="106"/>
      <c r="D102" s="106" t="n">
        <v>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267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268</v>
      </c>
      <c r="Z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219" t="s">
        <v>128</v>
      </c>
      <c r="N104" s="62" t="s">
        <v>131</v>
      </c>
      <c r="O104" s="214"/>
      <c r="P104" s="214" t="s">
        <v>142</v>
      </c>
      <c r="Q104" s="215"/>
      <c r="R104" s="62"/>
      <c r="S104" s="62"/>
      <c r="T104" s="62"/>
      <c r="U104" s="62"/>
      <c r="V104" s="62"/>
      <c r="W104" s="62"/>
      <c r="X104" s="62"/>
      <c r="Y104" s="62" t="s">
        <v>269</v>
      </c>
      <c r="Z104" s="62"/>
    </row>
    <row r="105" customFormat="false" ht="18.75" hidden="false" customHeight="true" outlineLevel="0" collapsed="false">
      <c r="A105" s="221" t="s">
        <v>390</v>
      </c>
      <c r="B105" s="313" t="n">
        <v>0.2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270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 t="s">
        <v>342</v>
      </c>
      <c r="C107" s="221" t="s">
        <v>390</v>
      </c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342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290</v>
      </c>
      <c r="B108" s="216"/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216" t="s">
        <v>290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291</v>
      </c>
      <c r="B110" s="221" t="s">
        <v>389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213" t="s">
        <v>291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18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0.0</v>
      </c>
      <c r="E112" s="106" t="n">
        <v>6000.0</v>
      </c>
      <c r="F112" s="62"/>
      <c r="G112" s="213" t="s">
        <v>176</v>
      </c>
      <c r="H112" s="214"/>
      <c r="I112" s="214"/>
      <c r="J112" s="312" t="n">
        <v>0</v>
      </c>
      <c r="K112" s="106" t="n">
        <v>0</v>
      </c>
      <c r="L112" s="62"/>
      <c r="M112" s="213" t="s">
        <v>176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2000.0</v>
      </c>
      <c r="F113" s="62"/>
      <c r="G113" s="213" t="s">
        <v>177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177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178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0</v>
      </c>
      <c r="K115" s="215"/>
      <c r="L115" s="62"/>
      <c r="M115" s="213" t="s">
        <v>179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287" t="s">
        <v>138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292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292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216" t="s">
        <v>293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0.0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213" t="s">
        <v>183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296</v>
      </c>
      <c r="H126" s="327" t="s">
        <v>297</v>
      </c>
      <c r="I126" s="327"/>
      <c r="J126" s="327" t="s">
        <v>298</v>
      </c>
      <c r="K126" s="215"/>
      <c r="L126" s="62"/>
      <c r="M126" s="326" t="s">
        <v>343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332" t="n">
        <f aca="false">H90</f>
        <v>669.642815519624</v>
      </c>
      <c r="H127" s="176" t="n">
        <f aca="false">IF(G105="YES",H89*H57,0)</f>
        <v>362.208</v>
      </c>
      <c r="I127" s="176"/>
      <c r="J127" s="333" t="n">
        <f aca="false">H91</f>
        <v>730.010815519624</v>
      </c>
      <c r="K127" s="215"/>
      <c r="L127" s="62"/>
      <c r="M127" s="332" t="n">
        <f aca="false">N90</f>
        <v>553.168718812015</v>
      </c>
      <c r="N127" s="176" t="n">
        <f aca="false">IF(M105="YES",N89*N57,0)</f>
        <v>301.84</v>
      </c>
      <c r="O127" s="176"/>
      <c r="P127" s="176" t="n">
        <f aca="false">N91</f>
        <v>603.475385478682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681.226701680381</v>
      </c>
      <c r="B128" s="320" t="n">
        <f aca="false">IF(A105="YES",B89,0)</f>
        <v>61.74</v>
      </c>
      <c r="C128" s="324"/>
      <c r="D128" s="320" t="n">
        <f aca="false">B91</f>
        <v>742.966701680381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681.226701680381</v>
      </c>
      <c r="C131" s="316"/>
      <c r="D131" s="37" t="n">
        <f aca="false">IF(A105="YES",B89*B57,0)</f>
        <v>61.74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213" t="s">
        <v>344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4017.85689311775</v>
      </c>
      <c r="H133" s="102" t="n">
        <f aca="false">IF(G105="YES",H89*H57,0)</f>
        <v>362.208</v>
      </c>
      <c r="I133" s="220"/>
      <c r="J133" s="183" t="n">
        <f aca="false">H91*H57</f>
        <v>4380.06489311775</v>
      </c>
      <c r="K133" s="215"/>
      <c r="L133" s="62"/>
      <c r="M133" s="184" t="n">
        <f aca="false">N90*N57</f>
        <v>3319.01231287209</v>
      </c>
      <c r="N133" s="102" t="n">
        <f aca="false">IF(M105="YES",N89*N57,0)</f>
        <v>301.84</v>
      </c>
      <c r="O133" s="220"/>
      <c r="P133" s="183" t="n">
        <f aca="false">N91*N57</f>
        <v>3620.85231287209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742.966701680381</v>
      </c>
      <c r="B134" s="37" t="n">
        <f aca="false">E114</f>
        <v>4000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0.127608</v>
      </c>
      <c r="H136" s="102" t="n">
        <f aca="false">IF(G105="YES",E15*0.000002,0)</f>
        <v>0.042536</v>
      </c>
      <c r="I136" s="102"/>
      <c r="J136" s="102" t="n">
        <f aca="false">G136+H136</f>
        <v>0.170144</v>
      </c>
      <c r="K136" s="104"/>
      <c r="L136" s="62"/>
      <c r="M136" s="110" t="n">
        <f aca="false">E15*0.000006</f>
        <v>0.127608</v>
      </c>
      <c r="N136" s="102" t="n">
        <f aca="false">IF(M105="YES",E15*0.000002,0)</f>
        <v>0.042536</v>
      </c>
      <c r="O136" s="102"/>
      <c r="P136" s="102" t="n">
        <f aca="false">M136+N136</f>
        <v>0.170144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681.226701680381</v>
      </c>
      <c r="B137" s="37" t="n">
        <f aca="false">IF(A105="YES",B89,0)</f>
        <v>61.74</v>
      </c>
      <c r="C137" s="316"/>
      <c r="D137" s="37" t="n">
        <f aca="false">B91</f>
        <v>742.966701680381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213" t="s">
        <v>141</v>
      </c>
      <c r="N138" s="214" t="s">
        <v>310</v>
      </c>
      <c r="O138" s="214"/>
      <c r="P138" s="214" t="s">
        <v>311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247.066666666667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247.066666666667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IF(A105="YES",G18*0.000002,0)*1.2*100</f>
        <v>5.02272</v>
      </c>
      <c r="C140" s="316"/>
      <c r="D140" s="342" t="n">
        <f aca="false">A140+B140</f>
        <v>20.09088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213" t="s">
        <v>313</v>
      </c>
      <c r="N141" s="214" t="s">
        <v>314</v>
      </c>
      <c r="O141" s="214"/>
      <c r="P141" s="214" t="s">
        <v>315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IF(G105="YES",((B36*H105)*0.1)*(G130),0)</f>
        <v>22.638</v>
      </c>
      <c r="H142" s="102" t="n">
        <f aca="false">G102-100</f>
        <v>99.99</v>
      </c>
      <c r="I142" s="102"/>
      <c r="J142" s="102" t="n">
        <f aca="false">(H139+J139+G142+H142)-H145</f>
        <v>369.694666666667</v>
      </c>
      <c r="K142" s="104"/>
      <c r="L142" s="62"/>
      <c r="M142" s="110" t="n">
        <f aca="false">IF(M105="YES",((B36*N105)*0.1)*(M130),0)</f>
        <v>22.638</v>
      </c>
      <c r="N142" s="102" t="n">
        <f aca="false">M102-100</f>
        <v>99.99</v>
      </c>
      <c r="O142" s="102"/>
      <c r="P142" s="102" t="n">
        <f aca="false">(N139+P139+M142+N142)-N145</f>
        <v>369.694666666667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213" t="s">
        <v>317</v>
      </c>
      <c r="N144" s="214" t="s">
        <v>318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345</v>
      </c>
      <c r="N147" s="165" t="s">
        <v>346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296.48</v>
      </c>
      <c r="B148" s="37" t="n">
        <f aca="false">B102</f>
        <v>0</v>
      </c>
      <c r="C148" s="37"/>
      <c r="D148" s="37" t="n">
        <f aca="false">IF(A105="YES",(B40*B105)*B125,0)*0.1</f>
        <v>22.638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419.108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323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730.010815519624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603.475385478682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742.966701680381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681.226701680381</v>
      </c>
      <c r="B177" s="354" t="n">
        <f aca="false">IF(A105="YES",B89,0)</f>
        <v>61.74</v>
      </c>
      <c r="C177" s="356"/>
      <c r="D177" s="354" t="n">
        <f aca="false">B91</f>
        <v>742.966701680381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681.226701680381</v>
      </c>
      <c r="C180" s="352"/>
      <c r="D180" s="102" t="n">
        <f aca="false">IF(A105="YES",B89*B57,0)</f>
        <v>61.74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742.966701680381</v>
      </c>
      <c r="B183" s="102" t="n">
        <f aca="false">E114</f>
        <v>4000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681.226701680381</v>
      </c>
      <c r="B186" s="102" t="n">
        <f aca="false">IF(A105="YES",B89,0)</f>
        <v>61.74</v>
      </c>
      <c r="C186" s="352"/>
      <c r="D186" s="102" t="n">
        <f aca="false">B91</f>
        <v>742.966701680381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IF(A105="YES",G18*0.000002,0)*1.2*100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296.48</v>
      </c>
      <c r="B197" s="102" t="n">
        <f aca="false">B102</f>
        <v>0</v>
      </c>
      <c r="C197" s="102"/>
      <c r="D197" s="102" t="n">
        <f aca="false">IF(A105="YES",(B40*B105)*B125,0)*0.1</f>
        <v>22.638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419.108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0.065</v>
      </c>
      <c r="C209" s="320" t="s">
        <v>217</v>
      </c>
      <c r="D209" s="369" t="n">
        <f aca="false">D64</f>
        <v>1770.16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296.48</v>
      </c>
      <c r="C211" s="319" t="s">
        <v>219</v>
      </c>
      <c r="D211" s="369" t="n">
        <f aca="false">B225+E221+B221+B223</f>
        <v>326.37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1800.05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D64</f>
        <v>1770.16</v>
      </c>
      <c r="C217" s="373" t="s">
        <v>223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B67</f>
        <v>296.48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B78-(B78*(E219*100))</f>
        <v>0</v>
      </c>
      <c r="C223" s="335" t="s">
        <v>220</v>
      </c>
      <c r="D223" s="316"/>
      <c r="E223" s="32" t="n">
        <f aca="false">(B217-B211+D211)</f>
        <v>1800.05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226.38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B71</f>
        <v>200</v>
      </c>
      <c r="C229" s="335" t="s">
        <v>228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B68</f>
        <v>0.0075</v>
      </c>
      <c r="C231" s="335" t="s">
        <v>231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B86</f>
        <v>125.890694470534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B79</f>
        <v>200</v>
      </c>
      <c r="C233" s="379" t="s">
        <v>330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B80</f>
        <v>200</v>
      </c>
      <c r="C235" s="383" t="s">
        <v>331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262" t="n">
        <v>16745.0</v>
      </c>
      <c r="C3" s="495" t="n">
        <v>0.0</v>
      </c>
      <c r="D3" s="262" t="n">
        <v>0.0</v>
      </c>
      <c r="E3" s="496" t="n">
        <v>0</v>
      </c>
      <c r="F3" s="62"/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-222.667836537637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505" t="n">
        <f aca="false">(B7+C7+D7+E3)</f>
        <v>47687.5</v>
      </c>
      <c r="F9" s="62"/>
      <c r="G9" s="450" t="n">
        <f aca="false">E9-G11</f>
        <v>-104329.166666667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695.0</v>
      </c>
      <c r="F10" s="62"/>
      <c r="G10" s="450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(E9+E10)*0.2</f>
        <v>9647.5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275.0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506" t="n">
        <f aca="false">(E9+E10+E13+E14+E11)-E12</f>
        <v>58535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452" t="n">
        <f aca="false">(B3+C3+E10)*1.2</f>
        <v>56885.004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58295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353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128</v>
      </c>
      <c r="B26" s="221" t="s">
        <v>390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182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183</v>
      </c>
      <c r="B30" s="171" t="s">
        <v>401</v>
      </c>
      <c r="C30" s="171"/>
      <c r="D30" s="214"/>
      <c r="E30" s="215"/>
      <c r="F30" s="62"/>
      <c r="G30" s="217" t="s">
        <v>32</v>
      </c>
      <c r="H30" s="453" t="n">
        <v>22000.0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8340.0</v>
      </c>
      <c r="I31" s="62"/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354</v>
      </c>
      <c r="E32" s="215"/>
      <c r="F32" s="62"/>
      <c r="G32" s="217" t="s">
        <v>36</v>
      </c>
      <c r="I32" s="445" t="n">
        <v>1131.9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1542.70865363279</v>
      </c>
      <c r="E33" s="215"/>
      <c r="F33" s="62"/>
      <c r="G33" s="218" t="s">
        <v>355</v>
      </c>
      <c r="H33" s="456" t="n">
        <f aca="false">E21-E11+((E16*20%)+(E19*20%)+(E20*20%))</f>
        <v>48687.5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371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356</v>
      </c>
      <c r="B35" s="214" t="s">
        <v>357</v>
      </c>
      <c r="C35" s="214"/>
      <c r="D35" s="214" t="s">
        <v>358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1503.32865363279</v>
      </c>
      <c r="B36" s="102" t="n">
        <f aca="false">IF(B26="YES",H42,"")</f>
        <v>39.38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359</v>
      </c>
      <c r="B39" s="214" t="s">
        <v>360</v>
      </c>
      <c r="C39" s="214"/>
      <c r="D39" s="214" t="s">
        <v>361</v>
      </c>
      <c r="E39" s="215"/>
      <c r="F39" s="62"/>
      <c r="G39" s="62" t="s">
        <v>85</v>
      </c>
      <c r="H39" s="237" t="n">
        <f aca="false">H33</f>
        <v>48687.5</v>
      </c>
      <c r="I39" s="237" t="n">
        <f aca="false">(I48*H46)+H44</f>
        <v>44065.6712621812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39.38</v>
      </c>
      <c r="C40" s="106"/>
      <c r="D40" s="183" t="n">
        <f aca="false">I32</f>
        <v>1417.68</v>
      </c>
      <c r="E40" s="215"/>
      <c r="F40" s="62"/>
      <c r="G40" s="62" t="s">
        <v>107</v>
      </c>
      <c r="H40" s="237" t="n">
        <f aca="false">(A40)/1.2</f>
        <v>0</v>
      </c>
      <c r="I40" s="237" t="n">
        <f aca="false">H39-I39</f>
        <v>4621.82873781884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362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363</v>
      </c>
      <c r="H42" s="237" t="n">
        <f aca="false">(I32/H34)*(C45/100)</f>
        <v>39.38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364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372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507" t="n">
        <v>100.0</v>
      </c>
      <c r="D45" s="507"/>
      <c r="E45" s="215"/>
      <c r="F45" s="62"/>
      <c r="G45" s="62" t="s">
        <v>373</v>
      </c>
      <c r="H45" s="237" t="n">
        <f aca="false">(H39-H44)</f>
        <v>48687.5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374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368</v>
      </c>
      <c r="H47" s="237" t="n">
        <f aca="false">H45/H46</f>
        <v>1503.32865363279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369</v>
      </c>
      <c r="H48" s="237" t="n">
        <f aca="false">IF(B26="YES",H47+H42,H47)</f>
        <v>1542.70865363279</v>
      </c>
      <c r="I48" s="237" t="n">
        <f aca="false">I49-H42</f>
        <v>1360.62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370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1542.70865363279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57885</v>
      </c>
      <c r="C61" s="214"/>
      <c r="D61" s="214"/>
      <c r="E61" s="215"/>
      <c r="F61" s="62"/>
      <c r="G61" s="213" t="s">
        <v>14</v>
      </c>
      <c r="H61" s="290" t="n">
        <f aca="false">G18</f>
        <v>57885</v>
      </c>
      <c r="I61" s="214"/>
      <c r="J61" s="214"/>
      <c r="K61" s="215"/>
      <c r="L61" s="62"/>
      <c r="M61" s="213" t="s">
        <v>14</v>
      </c>
      <c r="N61" s="290" t="n">
        <f aca="false">G18</f>
        <v>57885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291" t="s">
        <v>277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B62+(B62*0.25*(H29/12-1))</f>
        <v>0.105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278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6077.925</v>
      </c>
      <c r="C64" s="214" t="n">
        <v>10000.0</v>
      </c>
      <c r="D64" s="290" t="n">
        <f aca="false">B64-A143</f>
        <v>6077.925</v>
      </c>
      <c r="E64" s="462" t="n">
        <f aca="false">D64/(B58+B57)</f>
        <v>168.83125</v>
      </c>
      <c r="F64" s="62"/>
      <c r="G64" s="284" t="s">
        <v>91</v>
      </c>
      <c r="H64" s="132" t="n">
        <f aca="false">H61*H63</f>
        <v>6077.925</v>
      </c>
      <c r="I64" s="214"/>
      <c r="J64" s="290" t="n">
        <f aca="false">H64-G145</f>
        <v>6077.925</v>
      </c>
      <c r="K64" s="215"/>
      <c r="L64" s="62"/>
      <c r="M64" s="284" t="s">
        <v>91</v>
      </c>
      <c r="N64" s="132" t="n">
        <f aca="false">N61*N63</f>
        <v>6077.925</v>
      </c>
      <c r="O64" s="214"/>
      <c r="P64" s="290" t="n">
        <f aca="false">N64-M145</f>
        <v>6077.925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1157.7</v>
      </c>
      <c r="C67" s="214"/>
      <c r="D67" s="290"/>
      <c r="E67" s="215"/>
      <c r="F67" s="62"/>
      <c r="G67" s="284" t="s">
        <v>94</v>
      </c>
      <c r="H67" s="132" t="n">
        <f aca="false">(H61*H66)/1.2</f>
        <v>964.75</v>
      </c>
      <c r="I67" s="214"/>
      <c r="J67" s="290"/>
      <c r="K67" s="215"/>
      <c r="L67" s="62"/>
      <c r="M67" s="284" t="s">
        <v>94</v>
      </c>
      <c r="N67" s="132" t="n">
        <f aca="false">(N61*N66)/1.2</f>
        <v>964.75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290" t="n">
        <f aca="false">B73+B71</f>
        <v>380</v>
      </c>
      <c r="E73" s="215"/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0.0</v>
      </c>
      <c r="C74" s="214"/>
      <c r="D74" s="214"/>
      <c r="E74" s="215"/>
      <c r="F74" s="62"/>
      <c r="G74" s="291" t="s">
        <v>279</v>
      </c>
      <c r="H74" s="297" t="n">
        <v>165</v>
      </c>
      <c r="I74" s="214"/>
      <c r="J74" s="214"/>
      <c r="K74" s="215"/>
      <c r="L74" s="62"/>
      <c r="M74" s="427" t="s">
        <v>279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0.0</v>
      </c>
      <c r="C75" s="214"/>
      <c r="D75" s="214"/>
      <c r="E75" s="215"/>
      <c r="F75" s="62"/>
      <c r="G75" s="294" t="s">
        <v>280</v>
      </c>
      <c r="H75" s="298" t="n">
        <v>0</v>
      </c>
      <c r="I75" s="214"/>
      <c r="J75" s="214"/>
      <c r="K75" s="215"/>
      <c r="L75" s="62"/>
      <c r="M75" s="429" t="s">
        <v>280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((B74+B75)/12)*(H29-11)</f>
        <v>1083.33333333333</v>
      </c>
      <c r="C76" s="214"/>
      <c r="D76" s="290" t="n">
        <f aca="false">B76</f>
        <v>1083.33333333333</v>
      </c>
      <c r="E76" s="215"/>
      <c r="F76" s="62"/>
      <c r="G76" s="284" t="s">
        <v>281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281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282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282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282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462"/>
      <c r="F78" s="62"/>
      <c r="G78" s="213" t="s">
        <v>283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283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462" t="n">
        <f aca="false">(D73+D76+D79+D80)/(B58+B57)</f>
        <v>51.7592592592593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8607.925</v>
      </c>
      <c r="C81" s="214"/>
      <c r="D81" s="214"/>
      <c r="E81" s="462"/>
      <c r="F81" s="62"/>
      <c r="G81" s="302" t="s">
        <v>103</v>
      </c>
      <c r="H81" s="303" t="n">
        <f aca="false">SUM(J64:J80)</f>
        <v>7143.675</v>
      </c>
      <c r="I81" s="214"/>
      <c r="J81" s="214"/>
      <c r="K81" s="215"/>
      <c r="L81" s="62"/>
      <c r="M81" s="302" t="s">
        <v>103</v>
      </c>
      <c r="N81" s="303" t="n">
        <f aca="false">SUM(P64:P80)</f>
        <v>6799.925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239.109027777778</v>
      </c>
      <c r="C82" s="214"/>
      <c r="D82" s="214"/>
      <c r="E82" s="462"/>
      <c r="F82" s="62"/>
      <c r="G82" s="213" t="s">
        <v>104</v>
      </c>
      <c r="H82" s="299" t="n">
        <f aca="false">H81/H29</f>
        <v>198.435416666667</v>
      </c>
      <c r="I82" s="214"/>
      <c r="J82" s="214"/>
      <c r="K82" s="215"/>
      <c r="L82" s="62"/>
      <c r="M82" s="213" t="s">
        <v>104</v>
      </c>
      <c r="N82" s="299" t="n">
        <f aca="false">N81/H29</f>
        <v>188.886805555556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1503.32865363279</v>
      </c>
      <c r="C83" s="214"/>
      <c r="D83" s="214"/>
      <c r="E83" s="462" t="n">
        <f aca="false">B83+E80+E77+E64</f>
        <v>1736.2648419044</v>
      </c>
      <c r="F83" s="62"/>
      <c r="G83" s="304" t="s">
        <v>105</v>
      </c>
      <c r="H83" s="305" t="n">
        <f aca="false">H47</f>
        <v>1503.32865363279</v>
      </c>
      <c r="I83" s="214"/>
      <c r="J83" s="214"/>
      <c r="K83" s="215"/>
      <c r="L83" s="62"/>
      <c r="M83" s="304" t="s">
        <v>105</v>
      </c>
      <c r="N83" s="305" t="n">
        <f aca="false">H47</f>
        <v>1503.32865363279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75273.3078369366</v>
      </c>
      <c r="C85" s="214"/>
      <c r="D85" s="214"/>
      <c r="E85" s="462" t="n">
        <f aca="false">B85/(B58+B57)</f>
        <v>2090.92521769268</v>
      </c>
      <c r="F85" s="62"/>
      <c r="G85" s="287" t="s">
        <v>115</v>
      </c>
      <c r="H85" s="130" t="n">
        <f aca="false">((H83*H29)+H81)*1.2</f>
        <v>73516.2078369366</v>
      </c>
      <c r="I85" s="214"/>
      <c r="J85" s="214"/>
      <c r="K85" s="215"/>
      <c r="L85" s="62"/>
      <c r="M85" s="287" t="s">
        <v>115</v>
      </c>
      <c r="N85" s="130" t="n">
        <f aca="false">((N83*H29)+N81)</f>
        <v>60919.7565307805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((((B83*H29)+B81))/(1-B70))*B70</f>
        <v>531.376719300682</v>
      </c>
      <c r="C86" s="214"/>
      <c r="D86" s="214"/>
      <c r="E86" s="462" t="n">
        <f aca="false">B86/(B58+B57)</f>
        <v>14.7604644250189</v>
      </c>
      <c r="F86" s="62"/>
      <c r="G86" s="213" t="s">
        <v>116</v>
      </c>
      <c r="H86" s="299" t="n">
        <f aca="false">((((H83*H29)+H81))/(1-H70))*H70</f>
        <v>518.972826602013</v>
      </c>
      <c r="I86" s="214"/>
      <c r="J86" s="214"/>
      <c r="K86" s="215"/>
      <c r="L86" s="62"/>
      <c r="M86" s="213" t="s">
        <v>116</v>
      </c>
      <c r="N86" s="299" t="n">
        <f aca="false">(N85/(1-N70))*N70</f>
        <v>516.060866134083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75804.6845562373</v>
      </c>
      <c r="C87" s="214"/>
      <c r="D87" s="214"/>
      <c r="E87" s="462" t="n">
        <f aca="false">E86+E85</f>
        <v>2105.6856821177</v>
      </c>
      <c r="F87" s="62"/>
      <c r="G87" s="284" t="s">
        <v>117</v>
      </c>
      <c r="H87" s="132" t="n">
        <f aca="false">IF(H110="YES",((H85+H86)-K114),(H85+H86))</f>
        <v>74035.1806635386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61435.8173969146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IF(B99=Y98,(D40+(D40*B105))/(B58),(D40+(D40*B105))/(B57+B58))*1.2*(C45/100)</f>
        <v>56.7072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49.7916878048781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41.4930731707317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2105.6856821177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1805.73611374484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1498.43457065645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2162.3928821177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1855.52780154972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1539.92764382718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284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212" t="s">
        <v>341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216" t="s">
        <v>126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130</v>
      </c>
      <c r="Z97" s="62"/>
      <c r="AC97" s="385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213" t="s">
        <v>127</v>
      </c>
      <c r="N98" s="214" t="s">
        <v>23</v>
      </c>
      <c r="O98" s="214"/>
      <c r="P98" s="214" t="s">
        <v>285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1000.0</v>
      </c>
      <c r="E99" s="106"/>
      <c r="F99" s="62"/>
      <c r="G99" s="219" t="s">
        <v>286</v>
      </c>
      <c r="H99" s="311" t="s">
        <v>265</v>
      </c>
      <c r="I99" s="311"/>
      <c r="J99" s="106" t="n">
        <v>0</v>
      </c>
      <c r="K99" s="106"/>
      <c r="L99" s="62"/>
      <c r="M99" s="219" t="s">
        <v>286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289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213" t="s">
        <v>287</v>
      </c>
      <c r="N101" s="214" t="s">
        <v>288</v>
      </c>
      <c r="O101" s="214"/>
      <c r="P101" s="214" t="s">
        <v>289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267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268</v>
      </c>
      <c r="Z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219" t="s">
        <v>128</v>
      </c>
      <c r="N104" s="62" t="s">
        <v>131</v>
      </c>
      <c r="O104" s="214"/>
      <c r="P104" s="214" t="s">
        <v>142</v>
      </c>
      <c r="Q104" s="215"/>
      <c r="R104" s="62"/>
      <c r="S104" s="62"/>
      <c r="T104" s="62"/>
      <c r="U104" s="62"/>
      <c r="V104" s="62"/>
      <c r="W104" s="62"/>
      <c r="X104" s="62"/>
      <c r="Y104" s="62" t="s">
        <v>269</v>
      </c>
      <c r="Z104" s="62"/>
    </row>
    <row r="105" customFormat="false" ht="18.75" hidden="false" customHeight="true" outlineLevel="0" collapsed="false">
      <c r="A105" s="221" t="s">
        <v>390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270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342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290</v>
      </c>
      <c r="B108" s="216"/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216" t="s">
        <v>290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291</v>
      </c>
      <c r="B110" s="221" t="s">
        <v>389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213" t="s">
        <v>291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0.0</v>
      </c>
      <c r="E112" s="106" t="n">
        <v>6000.0</v>
      </c>
      <c r="F112" s="62"/>
      <c r="G112" s="213" t="s">
        <v>176</v>
      </c>
      <c r="H112" s="214"/>
      <c r="I112" s="214"/>
      <c r="J112" s="312" t="n">
        <v>0</v>
      </c>
      <c r="K112" s="106" t="n">
        <v>0</v>
      </c>
      <c r="L112" s="62"/>
      <c r="M112" s="213" t="s">
        <v>176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2000.0</v>
      </c>
      <c r="F113" s="62"/>
      <c r="G113" s="213" t="s">
        <v>177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177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178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0</v>
      </c>
      <c r="K115" s="215"/>
      <c r="L115" s="62"/>
      <c r="M115" s="213" t="s">
        <v>179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287" t="s">
        <v>138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E118+E117-E114</f>
        <v>-2760.01</v>
      </c>
      <c r="F119" s="62"/>
      <c r="G119" s="314" t="s">
        <v>292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292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216" t="s">
        <v>293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0.0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213" t="s">
        <v>183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296</v>
      </c>
      <c r="H126" s="327" t="s">
        <v>297</v>
      </c>
      <c r="I126" s="327"/>
      <c r="J126" s="327" t="s">
        <v>298</v>
      </c>
      <c r="K126" s="215"/>
      <c r="L126" s="62"/>
      <c r="M126" s="326" t="s">
        <v>343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332" t="n">
        <f aca="false">H90</f>
        <v>1805.73611374484</v>
      </c>
      <c r="H127" s="176" t="n">
        <f aca="false">IF(G105="YES",H89*H57,0)</f>
        <v>298.750126829268</v>
      </c>
      <c r="I127" s="176"/>
      <c r="J127" s="333" t="n">
        <f aca="false">H91</f>
        <v>1855.52780154972</v>
      </c>
      <c r="K127" s="215"/>
      <c r="L127" s="62"/>
      <c r="M127" s="332" t="n">
        <f aca="false">N90</f>
        <v>1498.43457065645</v>
      </c>
      <c r="N127" s="176" t="n">
        <f aca="false">IF(M105="YES",N89*N57,0)</f>
        <v>248.95843902439</v>
      </c>
      <c r="O127" s="176"/>
      <c r="P127" s="176" t="n">
        <f aca="false">N91</f>
        <v>1539.92764382718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2105.6856821177</v>
      </c>
      <c r="B128" s="320" t="n">
        <f aca="false">IF(A105="YES",B89,0)</f>
        <v>56.7072</v>
      </c>
      <c r="C128" s="324"/>
      <c r="D128" s="320" t="n">
        <f aca="false">B91</f>
        <v>2162.3928821177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2105.6856821177</v>
      </c>
      <c r="C131" s="316"/>
      <c r="D131" s="37" t="n">
        <f aca="false">IF(A105="YES",B89*B57,0)</f>
        <v>56.7072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213" t="s">
        <v>344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10834.4166824691</v>
      </c>
      <c r="H133" s="102" t="n">
        <f aca="false">IF(G105="YES",H89*H57,0)</f>
        <v>298.750126829268</v>
      </c>
      <c r="I133" s="220"/>
      <c r="J133" s="183" t="n">
        <f aca="false">H91*H57</f>
        <v>11133.1668092983</v>
      </c>
      <c r="K133" s="215"/>
      <c r="L133" s="62"/>
      <c r="M133" s="184" t="n">
        <f aca="false">N90*N57</f>
        <v>8990.60742393872</v>
      </c>
      <c r="N133" s="102" t="n">
        <f aca="false">IF(M105="YES",N89*N57,0)</f>
        <v>248.95843902439</v>
      </c>
      <c r="O133" s="220"/>
      <c r="P133" s="183" t="n">
        <f aca="false">N91*N57</f>
        <v>9239.56586296311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2162.3928821177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0.35121</v>
      </c>
      <c r="H136" s="102" t="n">
        <f aca="false">IF(G105="YES",E15*0.000002,0)</f>
        <v>0.11707</v>
      </c>
      <c r="I136" s="102"/>
      <c r="J136" s="102" t="n">
        <f aca="false">G136+H136</f>
        <v>0.46828</v>
      </c>
      <c r="K136" s="104"/>
      <c r="L136" s="62"/>
      <c r="M136" s="110" t="n">
        <f aca="false">E15*0.000006</f>
        <v>0.35121</v>
      </c>
      <c r="N136" s="102" t="n">
        <f aca="false">IF(M105="YES",E15*0.000002,0)</f>
        <v>0.11707</v>
      </c>
      <c r="O136" s="102"/>
      <c r="P136" s="102" t="n">
        <f aca="false">M136+N136</f>
        <v>0.46828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2105.6856821177</v>
      </c>
      <c r="B137" s="37" t="n">
        <f aca="false">IF(A105="YES",B89,0)</f>
        <v>56.7072</v>
      </c>
      <c r="C137" s="316"/>
      <c r="D137" s="37" t="n">
        <f aca="false">B91</f>
        <v>2162.3928821177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213" t="s">
        <v>141</v>
      </c>
      <c r="N138" s="214" t="s">
        <v>310</v>
      </c>
      <c r="O138" s="214"/>
      <c r="P138" s="214" t="s">
        <v>311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964.75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964.75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IF(A105="YES",G18*0.000002,0)*1.2*100</f>
        <v>13.8924</v>
      </c>
      <c r="C140" s="316"/>
      <c r="D140" s="342" t="n">
        <f aca="false">A140+B140</f>
        <v>55.5696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213" t="s">
        <v>313</v>
      </c>
      <c r="N141" s="214" t="s">
        <v>314</v>
      </c>
      <c r="O141" s="214"/>
      <c r="P141" s="214" t="s">
        <v>315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IF(G105="YES",((B36*H105)*0.1)*(G130),0)</f>
        <v>28.3536</v>
      </c>
      <c r="H142" s="102" t="n">
        <f aca="false">G102-100</f>
        <v>99.99</v>
      </c>
      <c r="I142" s="102"/>
      <c r="J142" s="102" t="n">
        <f aca="false">(H139+J139+G142+H142)-H145</f>
        <v>1093.0936</v>
      </c>
      <c r="K142" s="104"/>
      <c r="L142" s="62"/>
      <c r="M142" s="110" t="n">
        <f aca="false">IF(M105="YES",((B36*N105)*0.1)*(M130),0)</f>
        <v>28.3536</v>
      </c>
      <c r="N142" s="102" t="n">
        <f aca="false">M102-100</f>
        <v>99.99</v>
      </c>
      <c r="O142" s="102"/>
      <c r="P142" s="102" t="n">
        <f aca="false">(N139+P139+M142+N142)-N145</f>
        <v>1093.0936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213" t="s">
        <v>317</v>
      </c>
      <c r="N144" s="214" t="s">
        <v>318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345</v>
      </c>
      <c r="N147" s="165" t="s">
        <v>346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1157.7</v>
      </c>
      <c r="B148" s="37" t="n">
        <f aca="false">B102</f>
        <v>400</v>
      </c>
      <c r="C148" s="37"/>
      <c r="D148" s="37" t="n">
        <f aca="false">IF(A105="YES",(B40*B105)*B125,0)*0.1</f>
        <v>28.3536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1686.04526666667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323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1855.52780154972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1539.92764382718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2162.3928821177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2105.6856821177</v>
      </c>
      <c r="B177" s="354" t="n">
        <f aca="false">IF(A105="YES",B89,0)</f>
        <v>56.7072</v>
      </c>
      <c r="C177" s="356"/>
      <c r="D177" s="354" t="n">
        <f aca="false">B91</f>
        <v>2162.3928821177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2105.6856821177</v>
      </c>
      <c r="C180" s="352"/>
      <c r="D180" s="102" t="n">
        <f aca="false">IF(A105="YES",B89*B57,0)</f>
        <v>56.7072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2162.3928821177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2105.6856821177</v>
      </c>
      <c r="B186" s="102" t="n">
        <f aca="false">IF(A105="YES",B89,0)</f>
        <v>56.7072</v>
      </c>
      <c r="C186" s="352"/>
      <c r="D186" s="102" t="n">
        <f aca="false">B91</f>
        <v>2162.3928821177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IF(A105="YES",G18*0.000002,0)*1.2*100</f>
        <v>13.8924</v>
      </c>
      <c r="C189" s="352"/>
      <c r="D189" s="364" t="n">
        <f aca="false">A189+B189</f>
        <v>55.5696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1157.7</v>
      </c>
      <c r="B197" s="102" t="n">
        <f aca="false">B102</f>
        <v>400</v>
      </c>
      <c r="C197" s="102"/>
      <c r="D197" s="102" t="n">
        <f aca="false">IF(A105="YES",(B40*B105)*B125,0)*0.1</f>
        <v>28.3536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(E118/1.2)-100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1686.04526666667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0.07</v>
      </c>
      <c r="C209" s="320" t="s">
        <v>217</v>
      </c>
      <c r="D209" s="369" t="n">
        <f aca="false">D64</f>
        <v>6077.925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1157.7</v>
      </c>
      <c r="C211" s="319" t="s">
        <v>219</v>
      </c>
      <c r="D211" s="369" t="n">
        <f aca="false">B225+E221+B221+B223</f>
        <v>623.527666666667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5543.75266666667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D64</f>
        <v>6077.925</v>
      </c>
      <c r="C217" s="373" t="s">
        <v>223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B67</f>
        <v>1157.7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B197*E219*100</f>
        <v>40</v>
      </c>
      <c r="C221" s="335" t="s">
        <v>225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B78-(B78*(E219*100))</f>
        <v>200</v>
      </c>
      <c r="C223" s="335" t="s">
        <v>220</v>
      </c>
      <c r="D223" s="316"/>
      <c r="E223" s="32" t="n">
        <f aca="false">(B217-B211+D211)</f>
        <v>5543.75266666667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283.536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B71</f>
        <v>200</v>
      </c>
      <c r="C229" s="335" t="s">
        <v>228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B68</f>
        <v>0.0075</v>
      </c>
      <c r="C231" s="335" t="s">
        <v>231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B86</f>
        <v>531.376719300682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B79</f>
        <v>200</v>
      </c>
      <c r="C233" s="379" t="s">
        <v>330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B80</f>
        <v>200</v>
      </c>
      <c r="C235" s="383" t="s">
        <v>331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262" t="n">
        <v>46854.17</v>
      </c>
      <c r="C3" s="495" t="n">
        <v>0.0</v>
      </c>
      <c r="D3" s="262" t="n">
        <v>833.33</v>
      </c>
      <c r="E3" s="496" t="n">
        <v>0</v>
      </c>
      <c r="F3" s="62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0" t="n">
        <v>0.0</v>
      </c>
      <c r="C4" s="0" t="n">
        <v>0.0</v>
      </c>
      <c r="D4" s="0" t="n">
        <v>0.0</v>
      </c>
      <c r="E4" s="293"/>
      <c r="F4" s="62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13"/>
      <c r="B8" s="214"/>
      <c r="C8" s="214"/>
      <c r="D8" s="214"/>
      <c r="E8" s="215"/>
      <c r="F8" s="62"/>
      <c r="G8" s="451" t="n">
        <f aca="false">G9*100/B3</f>
        <v>-222.667836537637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 t="n">
        <v>23125</v>
      </c>
      <c r="C9" s="482"/>
      <c r="D9" s="482"/>
      <c r="E9" s="505" t="n">
        <f aca="false">(B7+C7+D7+E3)</f>
        <v>47687.5</v>
      </c>
      <c r="F9" s="62"/>
      <c r="G9" s="450" t="n">
        <f aca="false">E9-G11</f>
        <v>-104329.166666667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550.0</v>
      </c>
      <c r="F10" s="62"/>
      <c r="G10" s="450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 t="n">
        <v>0</v>
      </c>
      <c r="C11" s="484"/>
      <c r="D11" s="484"/>
      <c r="E11" s="299" t="n">
        <f aca="false">(E9+E10)*0.2</f>
        <v>9647.5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 t="n">
        <v>0</v>
      </c>
      <c r="C13" s="484"/>
      <c r="D13" s="484"/>
      <c r="E13" s="496" t="n">
        <v>585.0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55.0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506" t="n">
        <f aca="false">(E9+E10+E13+E14+E11)-E12</f>
        <v>58535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452" t="n">
        <f aca="false">(B3+C3+E10)*1.2</f>
        <v>56885.004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58535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353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128</v>
      </c>
      <c r="B26" s="221" t="s">
        <v>390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182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22.0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183</v>
      </c>
      <c r="B30" s="171" t="s">
        <v>401</v>
      </c>
      <c r="C30" s="171"/>
      <c r="D30" s="214"/>
      <c r="E30" s="215"/>
      <c r="F30" s="62"/>
      <c r="G30" s="217" t="s">
        <v>32</v>
      </c>
      <c r="H30" s="453" t="n">
        <v>22000.0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10575.0</v>
      </c>
      <c r="I31" s="62"/>
      <c r="J31" s="62"/>
      <c r="K31" s="62" t="n">
        <v>10000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354</v>
      </c>
      <c r="E32" s="215"/>
      <c r="F32" s="62"/>
      <c r="G32" s="217" t="s">
        <v>36</v>
      </c>
      <c r="I32" s="445" t="n">
        <v>2218.48</v>
      </c>
      <c r="J32" s="62"/>
      <c r="K32" s="62" t="n">
        <v>14400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1493.42530774817</v>
      </c>
      <c r="E33" s="215"/>
      <c r="F33" s="62"/>
      <c r="G33" s="218" t="s">
        <v>355</v>
      </c>
      <c r="H33" s="456" t="n">
        <f aca="false">E21-E11+((E16*20%)+(E19*20%)+(E20*20%))</f>
        <v>48887.5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371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356</v>
      </c>
      <c r="B35" s="214" t="s">
        <v>357</v>
      </c>
      <c r="C35" s="214"/>
      <c r="D35" s="214" t="s">
        <v>358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1441.03530774817</v>
      </c>
      <c r="B36" s="102" t="n">
        <f aca="false">IF(B26="YES",H42,"")</f>
        <v>52.39</v>
      </c>
      <c r="C36" s="220"/>
      <c r="D36" s="183" t="n">
        <f aca="false">H31</f>
        <v>5010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359</v>
      </c>
      <c r="B39" s="214" t="s">
        <v>360</v>
      </c>
      <c r="C39" s="214"/>
      <c r="D39" s="214" t="s">
        <v>361</v>
      </c>
      <c r="E39" s="215"/>
      <c r="F39" s="62"/>
      <c r="G39" s="62" t="s">
        <v>85</v>
      </c>
      <c r="H39" s="237" t="n">
        <f aca="false">H33</f>
        <v>48887.5</v>
      </c>
      <c r="I39" s="237" t="n">
        <f aca="false">(I48*H46)+H44</f>
        <v>45937.559892931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5010</v>
      </c>
      <c r="B40" s="106" t="n">
        <f aca="false">IF(B26="YES",H42,"0")</f>
        <v>52.39</v>
      </c>
      <c r="C40" s="106"/>
      <c r="D40" s="183" t="n">
        <f aca="false">I32</f>
        <v>3667.3</v>
      </c>
      <c r="E40" s="215"/>
      <c r="F40" s="62"/>
      <c r="G40" s="62" t="s">
        <v>107</v>
      </c>
      <c r="H40" s="237" t="n">
        <f aca="false">A40/1.2</f>
        <v>4175</v>
      </c>
      <c r="I40" s="237" t="n">
        <f aca="false">H39-I39</f>
        <v>2949.94010706903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362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363</v>
      </c>
      <c r="H42" s="237" t="n">
        <f aca="false">(I32/H34)*(C45/100)</f>
        <v>52.39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364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372</v>
      </c>
      <c r="H44" s="237" t="n">
        <f aca="false">(H40/(1+H41)^(H34+1))</f>
        <v>3386.25464700085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50.0</v>
      </c>
      <c r="D45" s="459"/>
      <c r="E45" s="215"/>
      <c r="F45" s="62"/>
      <c r="G45" s="62" t="s">
        <v>373</v>
      </c>
      <c r="H45" s="237" t="n">
        <f aca="false">(H39-H44)</f>
        <v>45501.2453529992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374</v>
      </c>
      <c r="H46" s="237" t="n">
        <f aca="false">((1-(1/((1+H41)^H34)))/H41)</f>
        <v>31.5753854942677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368</v>
      </c>
      <c r="H47" s="237" t="n">
        <f aca="false">H45/H46</f>
        <v>1441.03530774817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369</v>
      </c>
      <c r="H48" s="237" t="n">
        <f aca="false">IF(B26="YES",H47+H42,H47)</f>
        <v>1493.42530774817</v>
      </c>
      <c r="I48" s="237" t="n">
        <f aca="false">I49-H42</f>
        <v>1347.61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370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1493.42530774817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57885</v>
      </c>
      <c r="C61" s="214"/>
      <c r="D61" s="214"/>
      <c r="E61" s="215"/>
      <c r="F61" s="62"/>
      <c r="G61" s="213" t="s">
        <v>14</v>
      </c>
      <c r="H61" s="290" t="n">
        <f aca="false">G18</f>
        <v>57885</v>
      </c>
      <c r="I61" s="214"/>
      <c r="J61" s="214"/>
      <c r="K61" s="215"/>
      <c r="L61" s="62"/>
      <c r="M61" s="213" t="s">
        <v>14</v>
      </c>
      <c r="N61" s="290" t="n">
        <f aca="false">G18</f>
        <v>57885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291" t="s">
        <v>277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278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10000</v>
      </c>
      <c r="C64" s="461" t="n">
        <v>10000.0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5993.509375</v>
      </c>
      <c r="I64" s="214"/>
      <c r="J64" s="290" t="n">
        <f aca="false">H64-G145</f>
        <v>5993.509375</v>
      </c>
      <c r="K64" s="215"/>
      <c r="L64" s="62"/>
      <c r="M64" s="284" t="s">
        <v>91</v>
      </c>
      <c r="N64" s="132" t="n">
        <f aca="false">N61*N63</f>
        <v>5993.509375</v>
      </c>
      <c r="O64" s="214"/>
      <c r="P64" s="290" t="n">
        <f aca="false">N64-M145</f>
        <v>5993.509375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223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1133.58125</v>
      </c>
      <c r="C67" s="464" t="s">
        <v>223</v>
      </c>
      <c r="D67" s="465"/>
      <c r="E67" s="215"/>
      <c r="F67" s="62"/>
      <c r="G67" s="284" t="s">
        <v>94</v>
      </c>
      <c r="H67" s="132" t="n">
        <f aca="false">(H61*H66)/1.2</f>
        <v>944.651041666667</v>
      </c>
      <c r="I67" s="214"/>
      <c r="J67" s="290"/>
      <c r="K67" s="215"/>
      <c r="L67" s="62"/>
      <c r="M67" s="284" t="s">
        <v>94</v>
      </c>
      <c r="N67" s="132" t="n">
        <f aca="false">(N61*N66)/1.2</f>
        <v>944.651041666667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229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165.0</v>
      </c>
      <c r="C74" s="214"/>
      <c r="D74" s="214"/>
      <c r="E74" s="215"/>
      <c r="F74" s="62"/>
      <c r="G74" s="291" t="s">
        <v>279</v>
      </c>
      <c r="H74" s="297" t="n">
        <v>165</v>
      </c>
      <c r="I74" s="214"/>
      <c r="J74" s="214"/>
      <c r="K74" s="215"/>
      <c r="L74" s="62"/>
      <c r="M74" s="427" t="s">
        <v>279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355.0</v>
      </c>
      <c r="C75" s="214"/>
      <c r="D75" s="214"/>
      <c r="E75" s="215"/>
      <c r="F75" s="62"/>
      <c r="G75" s="294" t="s">
        <v>280</v>
      </c>
      <c r="H75" s="298" t="n">
        <v>0</v>
      </c>
      <c r="I75" s="214"/>
      <c r="J75" s="214"/>
      <c r="K75" s="215"/>
      <c r="L75" s="62"/>
      <c r="M75" s="429" t="s">
        <v>280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281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282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282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282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283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283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10775</v>
      </c>
      <c r="C81" s="469"/>
      <c r="D81" s="470"/>
      <c r="E81" s="462"/>
      <c r="F81" s="62"/>
      <c r="G81" s="302" t="s">
        <v>103</v>
      </c>
      <c r="H81" s="303" t="n">
        <f aca="false">SUM(J64:J80)</f>
        <v>7041.009375</v>
      </c>
      <c r="I81" s="214"/>
      <c r="J81" s="214"/>
      <c r="K81" s="215"/>
      <c r="L81" s="62"/>
      <c r="M81" s="302" t="s">
        <v>103</v>
      </c>
      <c r="N81" s="303" t="n">
        <f aca="false">SUM(P64:P80)</f>
        <v>6711.009375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307.857142857143</v>
      </c>
      <c r="C82" s="469"/>
      <c r="D82" s="214"/>
      <c r="E82" s="462"/>
      <c r="F82" s="62"/>
      <c r="G82" s="213" t="s">
        <v>104</v>
      </c>
      <c r="H82" s="299" t="n">
        <f aca="false">H81/H29</f>
        <v>201.171696428571</v>
      </c>
      <c r="I82" s="214"/>
      <c r="J82" s="214"/>
      <c r="K82" s="215"/>
      <c r="L82" s="62"/>
      <c r="M82" s="213" t="s">
        <v>104</v>
      </c>
      <c r="N82" s="299" t="n">
        <f aca="false">N81/H29</f>
        <v>191.743125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1441.03530774817</v>
      </c>
      <c r="C83" s="469"/>
      <c r="D83" s="214"/>
      <c r="E83" s="462" t="n">
        <f aca="false">B83+E80+E77+E64</f>
        <v>1748.89245060531</v>
      </c>
      <c r="F83" s="62"/>
      <c r="G83" s="304" t="s">
        <v>105</v>
      </c>
      <c r="H83" s="305" t="n">
        <f aca="false">H47</f>
        <v>1441.03530774817</v>
      </c>
      <c r="I83" s="214"/>
      <c r="J83" s="214"/>
      <c r="K83" s="215"/>
      <c r="L83" s="62"/>
      <c r="M83" s="304" t="s">
        <v>105</v>
      </c>
      <c r="N83" s="305" t="n">
        <f aca="false">H47</f>
        <v>1441.03530774817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61211.2357711859</v>
      </c>
      <c r="C85" s="469"/>
      <c r="D85" s="469"/>
      <c r="E85" s="462" t="n">
        <f aca="false">B85/(B58+B57)</f>
        <v>1748.89245060531</v>
      </c>
      <c r="F85" s="62"/>
      <c r="G85" s="287" t="s">
        <v>115</v>
      </c>
      <c r="H85" s="130" t="n">
        <f aca="false">((H83*H29)+H81)*1.2</f>
        <v>68972.6941754231</v>
      </c>
      <c r="I85" s="214"/>
      <c r="J85" s="214"/>
      <c r="K85" s="215"/>
      <c r="L85" s="62"/>
      <c r="M85" s="287" t="s">
        <v>115</v>
      </c>
      <c r="N85" s="130" t="n">
        <f aca="false">((N83*H29)+N81)</f>
        <v>57147.2451461859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518.530032753088</v>
      </c>
      <c r="C86" s="469" t="s">
        <v>232</v>
      </c>
      <c r="D86" s="214"/>
      <c r="E86" s="462" t="n">
        <f aca="false">B86/(B58+B57)</f>
        <v>14.8151437929454</v>
      </c>
      <c r="F86" s="62"/>
      <c r="G86" s="213" t="s">
        <v>116</v>
      </c>
      <c r="H86" s="299" t="n">
        <f aca="false">((((H83*H29)+H81))/(1-H70))*H70</f>
        <v>486.898809225456</v>
      </c>
      <c r="I86" s="214"/>
      <c r="J86" s="214"/>
      <c r="K86" s="215"/>
      <c r="L86" s="62"/>
      <c r="M86" s="213" t="s">
        <v>116</v>
      </c>
      <c r="N86" s="299" t="n">
        <f aca="false">(N85/(1-N70))*N70</f>
        <v>484.103327176242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61729.765803939</v>
      </c>
      <c r="C87" s="469"/>
      <c r="D87" s="471"/>
      <c r="E87" s="462" t="n">
        <f aca="false">E86+E85</f>
        <v>1763.70759439826</v>
      </c>
      <c r="F87" s="62"/>
      <c r="G87" s="284" t="s">
        <v>117</v>
      </c>
      <c r="H87" s="132" t="n">
        <f aca="false">IF(H110="YES",((H85+H86)-K114),(H85+H86))</f>
        <v>69459.5929846486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57631.3484733622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68.107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132.0228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110.019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1763.70759439826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1736.48982461621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1440.78371183405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1831.81459439826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1868.51262461621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1550.80271183405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212" t="s">
        <v>341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376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216" t="s">
        <v>126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130</v>
      </c>
      <c r="Z97" s="62"/>
      <c r="AC97" s="385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213" t="s">
        <v>127</v>
      </c>
      <c r="N98" s="214" t="s">
        <v>23</v>
      </c>
      <c r="O98" s="214"/>
      <c r="P98" s="214" t="s">
        <v>285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286</v>
      </c>
      <c r="B99" s="311" t="s">
        <v>130</v>
      </c>
      <c r="C99" s="311"/>
      <c r="D99" s="106" t="n">
        <v>1000.0</v>
      </c>
      <c r="E99" s="106"/>
      <c r="F99" s="62"/>
      <c r="G99" s="219" t="s">
        <v>286</v>
      </c>
      <c r="H99" s="311" t="s">
        <v>265</v>
      </c>
      <c r="I99" s="311"/>
      <c r="J99" s="106" t="n">
        <v>0</v>
      </c>
      <c r="K99" s="106"/>
      <c r="L99" s="62"/>
      <c r="M99" s="219" t="s">
        <v>286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377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213" t="s">
        <v>287</v>
      </c>
      <c r="N101" s="214" t="s">
        <v>288</v>
      </c>
      <c r="O101" s="214"/>
      <c r="P101" s="214" t="s">
        <v>289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267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268</v>
      </c>
      <c r="Z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219" t="s">
        <v>128</v>
      </c>
      <c r="N104" s="62" t="s">
        <v>131</v>
      </c>
      <c r="O104" s="214"/>
      <c r="P104" s="214" t="s">
        <v>142</v>
      </c>
      <c r="Q104" s="215"/>
      <c r="R104" s="62"/>
      <c r="S104" s="62"/>
      <c r="T104" s="62"/>
      <c r="U104" s="62"/>
      <c r="V104" s="62"/>
      <c r="W104" s="62"/>
      <c r="X104" s="62"/>
      <c r="Y104" s="62" t="s">
        <v>269</v>
      </c>
      <c r="Z104" s="62"/>
    </row>
    <row r="105" customFormat="false" ht="18.75" hidden="false" customHeight="true" outlineLevel="0" collapsed="false">
      <c r="A105" s="221" t="s">
        <v>390</v>
      </c>
      <c r="B105" s="313" t="n">
        <v>0.2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270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342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216" t="s">
        <v>290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291</v>
      </c>
      <c r="B110" s="221" t="s">
        <v>389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213" t="s">
        <v>291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0.0</v>
      </c>
      <c r="E112" s="106" t="n">
        <v>6000.0</v>
      </c>
      <c r="F112" s="62"/>
      <c r="G112" s="213" t="s">
        <v>176</v>
      </c>
      <c r="H112" s="214"/>
      <c r="I112" s="214"/>
      <c r="J112" s="312" t="n">
        <v>0</v>
      </c>
      <c r="K112" s="106" t="n">
        <v>0</v>
      </c>
      <c r="L112" s="62"/>
      <c r="M112" s="213" t="s">
        <v>176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2000.0</v>
      </c>
      <c r="F113" s="62"/>
      <c r="G113" s="213" t="s">
        <v>177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177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178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0</v>
      </c>
      <c r="K115" s="215"/>
      <c r="L115" s="62"/>
      <c r="M115" s="213" t="s">
        <v>179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 t="s">
        <v>19</v>
      </c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287" t="s">
        <v>138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292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292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216" t="s">
        <v>293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0.0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213" t="s">
        <v>183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296</v>
      </c>
      <c r="H126" s="327" t="s">
        <v>297</v>
      </c>
      <c r="I126" s="327"/>
      <c r="J126" s="327" t="s">
        <v>298</v>
      </c>
      <c r="K126" s="215"/>
      <c r="L126" s="62"/>
      <c r="M126" s="326" t="s">
        <v>343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332" t="n">
        <f aca="false">H90</f>
        <v>1736.48982461621</v>
      </c>
      <c r="H127" s="176" t="n">
        <f aca="false">IF(G105="YES",H89*H57,0)</f>
        <v>792.1368</v>
      </c>
      <c r="I127" s="176"/>
      <c r="J127" s="333" t="n">
        <f aca="false">H91</f>
        <v>1868.51262461621</v>
      </c>
      <c r="K127" s="215"/>
      <c r="L127" s="62"/>
      <c r="M127" s="332" t="n">
        <f aca="false">N90</f>
        <v>1440.78371183405</v>
      </c>
      <c r="N127" s="176" t="n">
        <f aca="false">IF(M105="YES",N89*N57,0)</f>
        <v>660.114</v>
      </c>
      <c r="O127" s="176"/>
      <c r="P127" s="176" t="n">
        <f aca="false">N91</f>
        <v>1550.80271183405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1763.70759439826</v>
      </c>
      <c r="B128" s="320" t="n">
        <f aca="false">IF(A105="YES",B89,0)</f>
        <v>68.107</v>
      </c>
      <c r="C128" s="324"/>
      <c r="D128" s="320" t="n">
        <f aca="false">B91</f>
        <v>1831.81459439826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1763.70759439826</v>
      </c>
      <c r="C131" s="316"/>
      <c r="D131" s="37" t="n">
        <f aca="false">IF(A105="YES",B89*B57,0)</f>
        <v>68.107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213" t="s">
        <v>344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10418.9389476973</v>
      </c>
      <c r="H133" s="102" t="n">
        <f aca="false">IF(G105="YES",H89*H57,0)</f>
        <v>792.1368</v>
      </c>
      <c r="I133" s="220"/>
      <c r="J133" s="183" t="n">
        <f aca="false">H91*H57</f>
        <v>11211.0757476973</v>
      </c>
      <c r="K133" s="215"/>
      <c r="L133" s="62"/>
      <c r="M133" s="184" t="n">
        <f aca="false">N90*N57</f>
        <v>8644.70227100432</v>
      </c>
      <c r="N133" s="102" t="n">
        <f aca="false">IF(M105="YES",N89*N57,0)</f>
        <v>660.114</v>
      </c>
      <c r="O133" s="220"/>
      <c r="P133" s="183" t="n">
        <f aca="false">N91*N57</f>
        <v>9304.81627100432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1831.81459439826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0.35121</v>
      </c>
      <c r="H136" s="102" t="n">
        <f aca="false">IF(G105="YES",E15*0.000002,0)</f>
        <v>0.11707</v>
      </c>
      <c r="I136" s="102"/>
      <c r="J136" s="102" t="n">
        <f aca="false">G136+H136</f>
        <v>0.46828</v>
      </c>
      <c r="K136" s="104"/>
      <c r="L136" s="62"/>
      <c r="M136" s="110" t="n">
        <f aca="false">E15*0.000006</f>
        <v>0.35121</v>
      </c>
      <c r="N136" s="102" t="n">
        <f aca="false">IF(M105="YES",E15*0.000002,0)</f>
        <v>0.11707</v>
      </c>
      <c r="O136" s="102"/>
      <c r="P136" s="102" t="n">
        <f aca="false">M136+N136</f>
        <v>0.46828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1763.70759439826</v>
      </c>
      <c r="B137" s="37" t="n">
        <f aca="false">IF(A105="YES",B89,0)</f>
        <v>68.107</v>
      </c>
      <c r="C137" s="316"/>
      <c r="D137" s="37" t="n">
        <f aca="false">B91</f>
        <v>1831.81459439826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213" t="s">
        <v>141</v>
      </c>
      <c r="N138" s="214" t="s">
        <v>310</v>
      </c>
      <c r="O138" s="214"/>
      <c r="P138" s="214" t="s">
        <v>311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944.651041666667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944.651041666667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IF(A105="YES",G18*0.000002,0)*1.2*100</f>
        <v>13.8924</v>
      </c>
      <c r="C140" s="316"/>
      <c r="D140" s="342" t="n">
        <f aca="false">A140+B140</f>
        <v>55.5696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213" t="s">
        <v>313</v>
      </c>
      <c r="N141" s="214" t="s">
        <v>314</v>
      </c>
      <c r="O141" s="214"/>
      <c r="P141" s="214" t="s">
        <v>315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IF(G105="YES",((B36*H105)*0.1)*(G130),0)</f>
        <v>36.673</v>
      </c>
      <c r="H142" s="102" t="n">
        <f aca="false">G102-100</f>
        <v>99.99</v>
      </c>
      <c r="I142" s="102"/>
      <c r="J142" s="102" t="n">
        <f aca="false">(H139+J139+G142+H142)-H145</f>
        <v>1081.31404166667</v>
      </c>
      <c r="K142" s="104"/>
      <c r="L142" s="62"/>
      <c r="M142" s="110" t="n">
        <f aca="false">IF(M105="YES",((B36*N105)*0.1)*(M130),0)</f>
        <v>36.673</v>
      </c>
      <c r="N142" s="102" t="n">
        <f aca="false">M102-100</f>
        <v>99.99</v>
      </c>
      <c r="O142" s="102"/>
      <c r="P142" s="102" t="n">
        <f aca="false">(N139+P139+M142+N142)-N145</f>
        <v>1081.31404166667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213" t="s">
        <v>317</v>
      </c>
      <c r="N144" s="214" t="s">
        <v>318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345</v>
      </c>
      <c r="N147" s="165" t="s">
        <v>346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1133.58125</v>
      </c>
      <c r="B148" s="102" t="n">
        <f aca="false">B102</f>
        <v>0</v>
      </c>
      <c r="C148" s="37"/>
      <c r="D148" s="37" t="n">
        <f aca="false">IF(A105="YES",(B40*B105)*B125,0)*0.1</f>
        <v>55.0095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1288.58075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323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1868.51262461621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1550.80271183405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1831.81459439826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127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286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378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294</v>
      </c>
      <c r="C176" s="354"/>
      <c r="D176" s="353" t="s">
        <v>295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1763.70759439826</v>
      </c>
      <c r="B177" s="354" t="n">
        <f aca="false">IF(A105="YES",B89,0)</f>
        <v>68.107</v>
      </c>
      <c r="C177" s="356"/>
      <c r="D177" s="354" t="n">
        <f aca="false">B91</f>
        <v>1831.81459439826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9"/>
      <c r="D179" s="358" t="s">
        <v>300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1763.70759439826</v>
      </c>
      <c r="C180" s="352"/>
      <c r="D180" s="102" t="n">
        <f aca="false">IF(A105="YES",B89*B57,0)</f>
        <v>68.107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304</v>
      </c>
      <c r="B182" s="165" t="s">
        <v>305</v>
      </c>
      <c r="C182" s="359"/>
      <c r="D182" s="240" t="s">
        <v>208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1831.81459439826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294</v>
      </c>
      <c r="C185" s="352"/>
      <c r="D185" s="352" t="s">
        <v>295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1763.70759439826</v>
      </c>
      <c r="B186" s="102" t="n">
        <f aca="false">IF(A105="YES",B89,0)</f>
        <v>68.107</v>
      </c>
      <c r="C186" s="352"/>
      <c r="D186" s="102" t="n">
        <f aca="false">B91</f>
        <v>1831.81459439826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IF(A105="YES",G18*0.000002,0)*1.2*100</f>
        <v>13.8924</v>
      </c>
      <c r="C189" s="352"/>
      <c r="D189" s="364" t="n">
        <f aca="false">A189+B189</f>
        <v>55.5696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102"/>
      <c r="D191" s="363" t="s">
        <v>282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1133.58125</v>
      </c>
      <c r="B197" s="102" t="n">
        <f aca="false">B102</f>
        <v>0</v>
      </c>
      <c r="C197" s="102"/>
      <c r="D197" s="102" t="n">
        <f aca="false">IF(A105="YES",(B40*B105)*B125,0)*0.1</f>
        <v>55.0095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1288.58075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214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215</v>
      </c>
      <c r="B209" s="368" t="n">
        <f aca="false">H35</f>
        <v>0.07</v>
      </c>
      <c r="C209" s="320" t="s">
        <v>217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218</v>
      </c>
      <c r="B211" s="320" t="n">
        <f aca="false">B219</f>
        <v>1133.58125</v>
      </c>
      <c r="C211" s="319" t="s">
        <v>219</v>
      </c>
      <c r="D211" s="369" t="n">
        <f aca="false">B225+E221+B221+B223</f>
        <v>650.085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220</v>
      </c>
      <c r="B213" s="320" t="n">
        <f aca="false">E223</f>
        <v>9516.50375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215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217</v>
      </c>
      <c r="B217" s="103" t="n">
        <f aca="false">D64</f>
        <v>10000</v>
      </c>
      <c r="C217" s="373" t="s">
        <v>223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223</v>
      </c>
      <c r="B219" s="103" t="n">
        <f aca="false">B67</f>
        <v>1133.58125</v>
      </c>
      <c r="C219" s="335" t="s">
        <v>326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326</v>
      </c>
      <c r="B221" s="240" t="n">
        <f aca="false">(B77-(B77*(E219*100)))*0.1</f>
        <v>0</v>
      </c>
      <c r="C221" s="335" t="s">
        <v>225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327</v>
      </c>
      <c r="B223" s="240" t="n">
        <f aca="false">B78-(B78*(E219*100))</f>
        <v>0</v>
      </c>
      <c r="C223" s="335" t="s">
        <v>220</v>
      </c>
      <c r="D223" s="316"/>
      <c r="E223" s="32" t="n">
        <f aca="false">(B217-B211+D211)</f>
        <v>9516.50375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328</v>
      </c>
      <c r="B225" s="340" t="n">
        <f aca="false">D197/0.1</f>
        <v>550.095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329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227</v>
      </c>
      <c r="B229" s="103" t="n">
        <f aca="false">B71</f>
        <v>200</v>
      </c>
      <c r="C229" s="335" t="s">
        <v>228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229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230</v>
      </c>
      <c r="B231" s="378" t="n">
        <f aca="false">B68</f>
        <v>0.0075</v>
      </c>
      <c r="C231" s="335" t="s">
        <v>231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232</v>
      </c>
      <c r="D232" s="342"/>
      <c r="E232" s="32" t="n">
        <f aca="false">B86</f>
        <v>518.530032753088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233</v>
      </c>
      <c r="B233" s="103" t="n">
        <f aca="false">B79</f>
        <v>200</v>
      </c>
      <c r="C233" s="379" t="s">
        <v>330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234</v>
      </c>
      <c r="B235" s="103" t="n">
        <f aca="false">B80</f>
        <v>200</v>
      </c>
      <c r="C235" s="383" t="s">
        <v>331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550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18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n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6000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141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12</v>
      </c>
      <c r="B44" s="103" t="n">
        <v>1</v>
      </c>
      <c r="C44" s="103"/>
      <c r="D44" s="103" t="n">
        <v>1</v>
      </c>
      <c r="E44" s="103"/>
      <c r="F44" s="62"/>
      <c r="G44" s="62" t="s">
        <v>257</v>
      </c>
      <c r="H44" s="237" t="n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n">
        <v>0.01</v>
      </c>
      <c r="C47" s="425"/>
      <c r="D47" s="103" t="n">
        <v>1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 t="s">
        <v>383</v>
      </c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21" t="s">
        <v>19</v>
      </c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274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82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12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277</v>
      </c>
      <c r="B68" s="292" t="n">
        <v>0.07</v>
      </c>
      <c r="C68" s="214"/>
      <c r="D68" s="214"/>
      <c r="E68" s="215"/>
      <c r="F68" s="62"/>
      <c r="G68" s="291" t="s">
        <v>277</v>
      </c>
      <c r="H68" s="292" t="n">
        <v>0.07</v>
      </c>
      <c r="I68" s="214"/>
      <c r="J68" s="214"/>
      <c r="K68" s="215"/>
      <c r="L68" s="62"/>
      <c r="M68" s="291" t="s">
        <v>277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278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278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278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/>
      <c r="D70" s="290" t="n">
        <f aca="false">B70-A151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279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279</v>
      </c>
      <c r="H80" s="297" t="n">
        <v>150</v>
      </c>
      <c r="I80" s="214"/>
      <c r="J80" s="214"/>
      <c r="K80" s="215"/>
      <c r="L80" s="62"/>
      <c r="M80" s="427" t="s">
        <v>279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280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280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280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281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281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281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282</v>
      </c>
      <c r="B83" s="297" t="n"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282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282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340</v>
      </c>
      <c r="B84" s="299" t="n">
        <v>0</v>
      </c>
      <c r="C84" s="214"/>
      <c r="D84" s="290" t="n">
        <f aca="false">B84</f>
        <v>0</v>
      </c>
      <c r="E84" s="215"/>
      <c r="F84" s="62"/>
      <c r="G84" s="213" t="s">
        <v>283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283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((H44*B35)+((H44*B35)*B111))/(B63+B64)</f>
        <v>31.304347826087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IF(B105=Y104,(B93-D111)/(B64),B93/(B63+B64))</f>
        <v>470.208446603645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501.512794429732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332</v>
      </c>
      <c r="B100" s="212"/>
      <c r="C100" s="212"/>
      <c r="D100" s="212"/>
      <c r="E100" s="212"/>
      <c r="F100" s="62"/>
      <c r="G100" s="212" t="s">
        <v>284</v>
      </c>
      <c r="H100" s="212"/>
      <c r="I100" s="212"/>
      <c r="J100" s="212"/>
      <c r="K100" s="212"/>
      <c r="L100" s="62"/>
      <c r="M100" s="212" t="s">
        <v>341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126</v>
      </c>
      <c r="B102" s="216"/>
      <c r="C102" s="216"/>
      <c r="D102" s="216"/>
      <c r="E102" s="216"/>
      <c r="F102" s="62"/>
      <c r="G102" s="216" t="s">
        <v>126</v>
      </c>
      <c r="H102" s="216"/>
      <c r="I102" s="216"/>
      <c r="J102" s="216"/>
      <c r="K102" s="216"/>
      <c r="L102" s="62"/>
      <c r="M102" s="216" t="s">
        <v>126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130</v>
      </c>
    </row>
    <row r="104" customFormat="false" ht="18.75" hidden="false" customHeight="true" outlineLevel="0" collapsed="false">
      <c r="A104" s="213" t="s">
        <v>127</v>
      </c>
      <c r="B104" s="214" t="s">
        <v>23</v>
      </c>
      <c r="C104" s="214"/>
      <c r="D104" s="214" t="s">
        <v>285</v>
      </c>
      <c r="E104" s="215"/>
      <c r="F104" s="62"/>
      <c r="G104" s="213" t="s">
        <v>127</v>
      </c>
      <c r="H104" s="214" t="s">
        <v>23</v>
      </c>
      <c r="I104" s="214"/>
      <c r="J104" s="214" t="s">
        <v>285</v>
      </c>
      <c r="K104" s="215"/>
      <c r="L104" s="62"/>
      <c r="M104" s="213" t="s">
        <v>127</v>
      </c>
      <c r="N104" s="214" t="s">
        <v>23</v>
      </c>
      <c r="O104" s="214"/>
      <c r="P104" s="214" t="s">
        <v>285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286</v>
      </c>
      <c r="B105" s="311" t="s">
        <v>267</v>
      </c>
      <c r="C105" s="311"/>
      <c r="D105" s="418" t="n">
        <v>0</v>
      </c>
      <c r="E105" s="418"/>
      <c r="F105" s="62"/>
      <c r="G105" s="219" t="s">
        <v>286</v>
      </c>
      <c r="H105" s="311" t="s">
        <v>268</v>
      </c>
      <c r="I105" s="311"/>
      <c r="J105" s="418" t="n">
        <v>5000</v>
      </c>
      <c r="K105" s="418"/>
      <c r="L105" s="62"/>
      <c r="M105" s="219" t="s">
        <v>286</v>
      </c>
      <c r="N105" s="311" t="s">
        <v>267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287</v>
      </c>
      <c r="B107" s="214" t="s">
        <v>288</v>
      </c>
      <c r="C107" s="214"/>
      <c r="D107" s="214" t="s">
        <v>289</v>
      </c>
      <c r="E107" s="215"/>
      <c r="F107" s="62"/>
      <c r="G107" s="213" t="s">
        <v>287</v>
      </c>
      <c r="H107" s="214" t="s">
        <v>288</v>
      </c>
      <c r="I107" s="214"/>
      <c r="J107" s="214" t="s">
        <v>289</v>
      </c>
      <c r="K107" s="215"/>
      <c r="L107" s="62"/>
      <c r="M107" s="213" t="s">
        <v>287</v>
      </c>
      <c r="N107" s="214" t="s">
        <v>288</v>
      </c>
      <c r="O107" s="214"/>
      <c r="P107" s="214" t="s">
        <v>289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267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268</v>
      </c>
    </row>
    <row r="110" customFormat="false" ht="18.75" hidden="false" customHeight="true" outlineLevel="0" collapsed="false">
      <c r="A110" s="219" t="s">
        <v>128</v>
      </c>
      <c r="B110" s="62" t="s">
        <v>131</v>
      </c>
      <c r="C110" s="214"/>
      <c r="D110" s="214" t="s">
        <v>142</v>
      </c>
      <c r="E110" s="215"/>
      <c r="F110" s="62"/>
      <c r="G110" s="219" t="s">
        <v>128</v>
      </c>
      <c r="H110" s="62" t="s">
        <v>131</v>
      </c>
      <c r="I110" s="214"/>
      <c r="J110" s="214" t="s">
        <v>142</v>
      </c>
      <c r="K110" s="215"/>
      <c r="L110" s="62"/>
      <c r="M110" s="219" t="s">
        <v>128</v>
      </c>
      <c r="N110" s="62" t="s">
        <v>131</v>
      </c>
      <c r="O110" s="214"/>
      <c r="P110" s="214" t="s">
        <v>142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269</v>
      </c>
    </row>
    <row r="111" customFormat="false" ht="18.75" hidden="false" customHeight="true" outlineLevel="0" collapsed="false">
      <c r="A111" s="221" t="s">
        <v>18</v>
      </c>
      <c r="B111" s="313" t="n">
        <v>0.2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270</v>
      </c>
    </row>
    <row r="112" customFormat="false" ht="18.75" hidden="false" customHeight="true" outlineLevel="0" collapsed="false">
      <c r="A112" s="213"/>
      <c r="B112" s="214"/>
      <c r="C112" s="214"/>
      <c r="D112" s="214"/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342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290</v>
      </c>
      <c r="B114" s="216"/>
      <c r="C114" s="216"/>
      <c r="D114" s="216"/>
      <c r="E114" s="216"/>
      <c r="F114" s="62"/>
      <c r="G114" s="216" t="s">
        <v>290</v>
      </c>
      <c r="H114" s="216"/>
      <c r="I114" s="216"/>
      <c r="J114" s="216"/>
      <c r="K114" s="216"/>
      <c r="L114" s="62"/>
      <c r="M114" s="216" t="s">
        <v>290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291</v>
      </c>
      <c r="B116" s="221" t="s">
        <v>19</v>
      </c>
      <c r="C116" s="214"/>
      <c r="D116" s="214"/>
      <c r="E116" s="215"/>
      <c r="F116" s="62"/>
      <c r="G116" s="213" t="s">
        <v>291</v>
      </c>
      <c r="H116" s="221" t="s">
        <v>18</v>
      </c>
      <c r="I116" s="214"/>
      <c r="J116" s="214"/>
      <c r="K116" s="215"/>
      <c r="L116" s="62"/>
      <c r="M116" s="213" t="s">
        <v>291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176</v>
      </c>
      <c r="B118" s="214"/>
      <c r="C118" s="214"/>
      <c r="D118" s="312" t="n">
        <v>0</v>
      </c>
      <c r="E118" s="106" t="n">
        <v>0</v>
      </c>
      <c r="F118" s="62"/>
      <c r="G118" s="213" t="s">
        <v>176</v>
      </c>
      <c r="H118" s="214"/>
      <c r="I118" s="214"/>
      <c r="J118" s="312" t="n">
        <v>10000</v>
      </c>
      <c r="K118" s="106" t="n">
        <v>5000</v>
      </c>
      <c r="L118" s="62"/>
      <c r="M118" s="213" t="s">
        <v>176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177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177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177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178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178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178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179</v>
      </c>
      <c r="B121" s="214"/>
      <c r="C121" s="214"/>
      <c r="D121" s="165" t="n">
        <f aca="false">D120-E120</f>
        <v>0</v>
      </c>
      <c r="E121" s="215"/>
      <c r="F121" s="62"/>
      <c r="G121" s="213" t="s">
        <v>179</v>
      </c>
      <c r="H121" s="214"/>
      <c r="I121" s="214"/>
      <c r="J121" s="165" t="n">
        <f aca="false">J120-K120</f>
        <v>5000</v>
      </c>
      <c r="K121" s="215"/>
      <c r="L121" s="62"/>
      <c r="M121" s="213" t="s">
        <v>179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138</v>
      </c>
      <c r="B123" s="288"/>
      <c r="C123" s="288"/>
      <c r="D123" s="288"/>
      <c r="E123" s="130" t="n">
        <f aca="false">D105</f>
        <v>0</v>
      </c>
      <c r="F123" s="62"/>
      <c r="G123" s="287" t="s">
        <v>138</v>
      </c>
      <c r="H123" s="288"/>
      <c r="I123" s="288"/>
      <c r="J123" s="288"/>
      <c r="K123" s="130" t="n">
        <f aca="false">J105</f>
        <v>5000</v>
      </c>
      <c r="L123" s="62"/>
      <c r="M123" s="287" t="s">
        <v>138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32" t="n">
        <f aca="false">(E124+E123)-E120</f>
        <v>199.99</v>
      </c>
      <c r="F125" s="62"/>
      <c r="G125" s="314" t="s">
        <v>292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292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293</v>
      </c>
      <c r="B128" s="216"/>
      <c r="C128" s="216"/>
      <c r="D128" s="216"/>
      <c r="E128" s="216"/>
      <c r="F128" s="62"/>
      <c r="G128" s="216" t="s">
        <v>293</v>
      </c>
      <c r="H128" s="216"/>
      <c r="I128" s="216"/>
      <c r="J128" s="216"/>
      <c r="K128" s="216"/>
      <c r="L128" s="62"/>
      <c r="M128" s="216" t="s">
        <v>293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213"/>
      <c r="B129" s="214"/>
      <c r="C129" s="214"/>
      <c r="D129" s="214"/>
      <c r="E129" s="215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213" t="s">
        <v>183</v>
      </c>
      <c r="B130" s="171" t="n">
        <v>1200</v>
      </c>
      <c r="C130" s="171"/>
      <c r="D130" s="214"/>
      <c r="E130" s="215"/>
      <c r="F130" s="62"/>
      <c r="G130" s="213" t="s">
        <v>183</v>
      </c>
      <c r="H130" s="171" t="n">
        <v>0</v>
      </c>
      <c r="I130" s="171"/>
      <c r="J130" s="214"/>
      <c r="K130" s="215"/>
      <c r="L130" s="62"/>
      <c r="M130" s="213" t="s">
        <v>183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213"/>
      <c r="B131" s="214"/>
      <c r="C131" s="214"/>
      <c r="D131" s="214"/>
      <c r="E131" s="215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213" t="s">
        <v>83</v>
      </c>
      <c r="B132" s="214" t="s">
        <v>84</v>
      </c>
      <c r="C132" s="214"/>
      <c r="D132" s="214" t="s">
        <v>86</v>
      </c>
      <c r="E132" s="215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227" t="n">
        <f aca="false">A158</f>
        <v>12</v>
      </c>
      <c r="B133" s="228" t="n">
        <f aca="false">B157</f>
        <v>5000</v>
      </c>
      <c r="C133" s="229"/>
      <c r="D133" s="228" t="n">
        <f aca="false">B64</f>
        <v>11</v>
      </c>
      <c r="E133" s="215"/>
      <c r="F133" s="62"/>
      <c r="G133" s="227" t="n">
        <f aca="false">G158</f>
        <v>12</v>
      </c>
      <c r="H133" s="228" t="n">
        <f aca="false">B157</f>
        <v>5000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5000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213"/>
      <c r="B134" s="214"/>
      <c r="C134" s="214"/>
      <c r="D134" s="214"/>
      <c r="E134" s="215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26" t="s">
        <v>343</v>
      </c>
      <c r="B135" s="327" t="s">
        <v>252</v>
      </c>
      <c r="C135" s="327"/>
      <c r="D135" s="327" t="s">
        <v>120</v>
      </c>
      <c r="E135" s="215"/>
      <c r="F135" s="62"/>
      <c r="G135" s="326" t="s">
        <v>296</v>
      </c>
      <c r="H135" s="327" t="s">
        <v>297</v>
      </c>
      <c r="I135" s="327"/>
      <c r="J135" s="327" t="s">
        <v>298</v>
      </c>
      <c r="K135" s="215"/>
      <c r="L135" s="62"/>
      <c r="M135" s="326" t="s">
        <v>343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32" t="n">
        <f aca="false">B96</f>
        <v>470.208446603645</v>
      </c>
      <c r="B136" s="176" t="n">
        <f aca="false">IF(A111="YES",B95*B63,0)</f>
        <v>375.652173913043</v>
      </c>
      <c r="C136" s="176"/>
      <c r="D136" s="176" t="n">
        <f aca="false">B97</f>
        <v>501.512794429732</v>
      </c>
      <c r="E136" s="215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213"/>
      <c r="B137" s="214"/>
      <c r="C137" s="214"/>
      <c r="D137" s="214"/>
      <c r="E137" s="215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213" t="s">
        <v>344</v>
      </c>
      <c r="B138" s="214" t="s">
        <v>241</v>
      </c>
      <c r="C138" s="214"/>
      <c r="D138" s="214" t="s">
        <v>245</v>
      </c>
      <c r="E138" s="215"/>
      <c r="F138" s="62"/>
      <c r="G138" s="213" t="s">
        <v>301</v>
      </c>
      <c r="H138" s="214" t="s">
        <v>302</v>
      </c>
      <c r="I138" s="214"/>
      <c r="J138" s="214" t="s">
        <v>303</v>
      </c>
      <c r="K138" s="215"/>
      <c r="L138" s="62"/>
      <c r="M138" s="213" t="s">
        <v>344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84" t="n">
        <f aca="false">B96*B63</f>
        <v>5642.50135924373</v>
      </c>
      <c r="B139" s="102" t="n">
        <f aca="false">IF(A111="YES",B95*B63,0)</f>
        <v>375.652173913043</v>
      </c>
      <c r="C139" s="220"/>
      <c r="D139" s="183" t="n">
        <f aca="false">B97*B63</f>
        <v>6018.15353315678</v>
      </c>
      <c r="E139" s="215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213"/>
      <c r="B140" s="214"/>
      <c r="C140" s="214"/>
      <c r="D140" s="214"/>
      <c r="E140" s="215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213" t="s">
        <v>254</v>
      </c>
      <c r="B141" s="214" t="s">
        <v>255</v>
      </c>
      <c r="C141" s="214"/>
      <c r="D141" s="214" t="s">
        <v>259</v>
      </c>
      <c r="E141" s="215"/>
      <c r="F141" s="62"/>
      <c r="G141" s="213" t="s">
        <v>306</v>
      </c>
      <c r="H141" s="214" t="s">
        <v>307</v>
      </c>
      <c r="I141" s="214"/>
      <c r="J141" s="214" t="s">
        <v>308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110" t="n">
        <f aca="false">E15*0.000006</f>
        <v>0.35115</v>
      </c>
      <c r="B142" s="102" t="n">
        <f aca="false">IF(A111="YES",E15*0.000002,0)</f>
        <v>0.11705</v>
      </c>
      <c r="C142" s="102"/>
      <c r="D142" s="102" t="n">
        <f aca="false">A142+B142</f>
        <v>0.4682</v>
      </c>
      <c r="E142" s="104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213"/>
      <c r="B143" s="214"/>
      <c r="C143" s="214"/>
      <c r="D143" s="214"/>
      <c r="E143" s="215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213" t="s">
        <v>141</v>
      </c>
      <c r="B144" s="214" t="s">
        <v>310</v>
      </c>
      <c r="C144" s="214"/>
      <c r="D144" s="214" t="s">
        <v>311</v>
      </c>
      <c r="E144" s="215"/>
      <c r="F144" s="62"/>
      <c r="G144" s="213" t="s">
        <v>309</v>
      </c>
      <c r="H144" s="214" t="s">
        <v>310</v>
      </c>
      <c r="I144" s="214"/>
      <c r="J144" s="214" t="s">
        <v>311</v>
      </c>
      <c r="K144" s="215"/>
      <c r="L144" s="62"/>
      <c r="M144" s="213" t="s">
        <v>141</v>
      </c>
      <c r="N144" s="214" t="s">
        <v>310</v>
      </c>
      <c r="O144" s="214"/>
      <c r="P144" s="214" t="s">
        <v>311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110" t="n">
        <f aca="false">A108</f>
        <v>199.99</v>
      </c>
      <c r="B145" s="102" t="n">
        <f aca="false">B73/1.2</f>
        <v>482.375</v>
      </c>
      <c r="C145" s="102"/>
      <c r="D145" s="102" t="n">
        <f aca="false">B108*0.9</f>
        <v>0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213"/>
      <c r="B146" s="214"/>
      <c r="C146" s="214"/>
      <c r="D146" s="214"/>
      <c r="E146" s="215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213" t="s">
        <v>313</v>
      </c>
      <c r="B147" s="214" t="s">
        <v>314</v>
      </c>
      <c r="C147" s="214"/>
      <c r="D147" s="214" t="s">
        <v>315</v>
      </c>
      <c r="E147" s="215"/>
      <c r="F147" s="62"/>
      <c r="G147" s="213" t="s">
        <v>313</v>
      </c>
      <c r="H147" s="214" t="s">
        <v>314</v>
      </c>
      <c r="I147" s="214"/>
      <c r="J147" s="214" t="s">
        <v>315</v>
      </c>
      <c r="K147" s="215"/>
      <c r="L147" s="62"/>
      <c r="M147" s="213" t="s">
        <v>313</v>
      </c>
      <c r="N147" s="214" t="s">
        <v>314</v>
      </c>
      <c r="O147" s="214"/>
      <c r="P147" s="214" t="s">
        <v>315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IF(A111="YES",((A41*B111)*0.1)*(A133),0)</f>
        <v>12</v>
      </c>
      <c r="B148" s="102" t="n">
        <f aca="false">A108-100</f>
        <v>99.99</v>
      </c>
      <c r="C148" s="102"/>
      <c r="D148" s="102" t="n">
        <f aca="false">(B145+D145+A148+B148)-B151</f>
        <v>594.365</v>
      </c>
      <c r="E148" s="104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213"/>
      <c r="B149" s="214"/>
      <c r="C149" s="214"/>
      <c r="D149" s="214"/>
      <c r="E149" s="215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213" t="s">
        <v>317</v>
      </c>
      <c r="B150" s="214" t="s">
        <v>318</v>
      </c>
      <c r="C150" s="214"/>
      <c r="D150" s="214"/>
      <c r="E150" s="215"/>
      <c r="F150" s="62"/>
      <c r="G150" s="213" t="s">
        <v>317</v>
      </c>
      <c r="H150" s="214" t="s">
        <v>318</v>
      </c>
      <c r="I150" s="214"/>
      <c r="J150" s="214"/>
      <c r="K150" s="215"/>
      <c r="L150" s="62"/>
      <c r="M150" s="213" t="s">
        <v>317</v>
      </c>
      <c r="N150" s="214" t="s">
        <v>318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v>0</v>
      </c>
      <c r="B151" s="102" t="n">
        <f aca="false">(B145+D145+A148+B148)*(A151/B70)</f>
        <v>0</v>
      </c>
      <c r="C151" s="214"/>
      <c r="D151" s="214"/>
      <c r="E151" s="215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213"/>
      <c r="B152" s="214"/>
      <c r="C152" s="214"/>
      <c r="D152" s="214"/>
      <c r="E152" s="215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213"/>
      <c r="B153" s="214"/>
      <c r="C153" s="214"/>
      <c r="D153" s="214"/>
      <c r="E153" s="215"/>
      <c r="F153" s="62"/>
      <c r="G153" s="213"/>
      <c r="H153" s="214"/>
      <c r="I153" s="214"/>
      <c r="J153" s="214"/>
      <c r="K153" s="215"/>
      <c r="L153" s="62"/>
      <c r="M153" s="59" t="s">
        <v>345</v>
      </c>
      <c r="N153" s="165" t="s">
        <v>346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280" t="s">
        <v>323</v>
      </c>
      <c r="B154" s="214"/>
      <c r="C154" s="214"/>
      <c r="D154" s="281"/>
      <c r="E154" s="282"/>
      <c r="F154" s="62"/>
      <c r="G154" s="280" t="s">
        <v>323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213"/>
      <c r="B155" s="248"/>
      <c r="C155" s="248"/>
      <c r="D155" s="214"/>
      <c r="E155" s="215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249" t="s">
        <v>83</v>
      </c>
      <c r="B156" s="250" t="s">
        <v>84</v>
      </c>
      <c r="C156" s="250"/>
      <c r="D156" s="214"/>
      <c r="E156" s="215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4"/>
      <c r="E157" s="215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323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253" t="n">
        <f aca="false">A58</f>
        <v>12</v>
      </c>
      <c r="B158" s="73" t="n">
        <f aca="false">B97</f>
        <v>501.512794429732</v>
      </c>
      <c r="C158" s="73"/>
      <c r="D158" s="214"/>
      <c r="E158" s="215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13"/>
      <c r="B159" s="214"/>
      <c r="C159" s="214"/>
      <c r="D159" s="214"/>
      <c r="E159" s="215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13"/>
      <c r="B160" s="214"/>
      <c r="C160" s="214"/>
      <c r="D160" s="214"/>
      <c r="E160" s="215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13"/>
      <c r="B161" s="214"/>
      <c r="C161" s="214"/>
      <c r="D161" s="214"/>
      <c r="E161" s="215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213"/>
      <c r="B162" s="214"/>
      <c r="C162" s="214"/>
      <c r="D162" s="214"/>
      <c r="E162" s="215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495" t="n">
        <v>16745.0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497" t="n">
        <v>0.0</v>
      </c>
      <c r="C4" s="508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695.0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275.0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(B3+C3+E10+D3+E3)*1.2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141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50.0</v>
      </c>
      <c r="B41" s="240" t="n">
        <f aca="false">IF(B38="YES",D38+A41,D38)</f>
        <v>500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1.0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274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275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20928</v>
      </c>
      <c r="C61" s="214"/>
      <c r="D61" s="214"/>
      <c r="E61" s="215"/>
      <c r="F61" s="62"/>
      <c r="G61" s="213" t="s">
        <v>14</v>
      </c>
      <c r="H61" s="290" t="n">
        <f aca="false">G18</f>
        <v>20928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1464.96</v>
      </c>
      <c r="C64" s="214" t="n">
        <v>10000.0</v>
      </c>
      <c r="D64" s="290" t="n">
        <f aca="false">B64</f>
        <v>1464.96</v>
      </c>
      <c r="E64" s="215"/>
      <c r="F64" s="62"/>
      <c r="G64" s="284" t="s">
        <v>91</v>
      </c>
      <c r="H64" s="132" t="n">
        <f aca="false">H61*H63</f>
        <v>1464.96</v>
      </c>
      <c r="I64" s="214"/>
      <c r="J64" s="290" t="n">
        <f aca="false">H64</f>
        <v>1464.96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209.28</v>
      </c>
      <c r="C67" s="214"/>
      <c r="D67" s="290"/>
      <c r="E67" s="215"/>
      <c r="F67" s="62"/>
      <c r="G67" s="284" t="s">
        <v>94</v>
      </c>
      <c r="H67" s="132" t="n">
        <f aca="false">H61*H66</f>
        <v>104.64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0.0</v>
      </c>
      <c r="C74" s="214"/>
      <c r="D74" s="214"/>
      <c r="E74" s="215"/>
      <c r="F74" s="62"/>
      <c r="G74" s="291" t="s">
        <v>279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0.0</v>
      </c>
      <c r="C75" s="214" t="n">
        <f aca="false">IF(G18&gt;40000,325,0)</f>
        <v>0</v>
      </c>
      <c r="D75" s="214"/>
      <c r="E75" s="215"/>
      <c r="F75" s="62"/>
      <c r="G75" s="294" t="s">
        <v>280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282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283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2791.62666666667</v>
      </c>
      <c r="C81" s="214"/>
      <c r="D81" s="214"/>
      <c r="E81" s="215"/>
      <c r="F81" s="62"/>
      <c r="G81" s="302" t="s">
        <v>103</v>
      </c>
      <c r="H81" s="303" t="n">
        <f aca="false">SUM(J64:J80)</f>
        <v>3091.46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232.635555555556</v>
      </c>
      <c r="C82" s="214"/>
      <c r="D82" s="214"/>
      <c r="E82" s="215"/>
      <c r="F82" s="62"/>
      <c r="G82" s="213" t="s">
        <v>104</v>
      </c>
      <c r="H82" s="299" t="n">
        <f aca="false">H81/H29</f>
        <v>257.621666666667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10564.352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10924.152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74.5769100443727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77.1168455022186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10638.9289100444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10901.2788455022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886.577409170364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908.439903791851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886.577409170364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908.439903791851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284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286</v>
      </c>
      <c r="B99" s="311" t="s">
        <v>351</v>
      </c>
      <c r="C99" s="311"/>
      <c r="D99" s="106" t="n">
        <v>1000</v>
      </c>
      <c r="E99" s="106"/>
      <c r="F99" s="62"/>
      <c r="G99" s="219" t="s">
        <v>286</v>
      </c>
      <c r="H99" s="311" t="s">
        <v>130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289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130</v>
      </c>
      <c r="AA101" s="62"/>
    </row>
    <row r="102" customFormat="false" ht="18.75" hidden="false" customHeight="true" outlineLevel="0" collapsed="false">
      <c r="A102" s="312" t="n">
        <f aca="false">199.99*1.2</f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390</v>
      </c>
      <c r="B105" s="311" t="n">
        <v>20.0</v>
      </c>
      <c r="C105" s="311"/>
      <c r="D105" s="106" t="s">
        <v>399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267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268</v>
      </c>
      <c r="AA107" s="62"/>
    </row>
    <row r="108" customFormat="false" ht="18.75" hidden="false" customHeight="true" outlineLevel="0" collapsed="false">
      <c r="A108" s="216" t="s">
        <v>290</v>
      </c>
      <c r="B108" s="216"/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269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270</v>
      </c>
    </row>
    <row r="110" customFormat="false" ht="18.75" hidden="false" customHeight="true" outlineLevel="0" collapsed="false">
      <c r="A110" s="213" t="s">
        <v>291</v>
      </c>
      <c r="B110" s="221" t="s">
        <v>389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0.0</v>
      </c>
      <c r="E112" s="106" t="n">
        <v>6000.0</v>
      </c>
      <c r="F112" s="62"/>
      <c r="G112" s="213" t="s">
        <v>176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2000.0</v>
      </c>
      <c r="F113" s="62"/>
      <c r="G113" s="213" t="s">
        <v>177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((E118)+E117)-E114</f>
        <v>-2760.012</v>
      </c>
      <c r="F119" s="62"/>
      <c r="G119" s="314" t="s">
        <v>292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0.0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886.577409170364</v>
      </c>
      <c r="B128" s="320" t="n">
        <f aca="false">IF(A105="YES",B89,0)</f>
        <v>0</v>
      </c>
      <c r="C128" s="325"/>
      <c r="D128" s="320" t="n">
        <f aca="false">B91</f>
        <v>886.577409170364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296</v>
      </c>
      <c r="H129" s="327" t="s">
        <v>297</v>
      </c>
      <c r="I129" s="327"/>
      <c r="J129" s="327" t="s">
        <v>298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332" t="n">
        <f aca="false">H90</f>
        <v>908.439903791851</v>
      </c>
      <c r="H130" s="176" t="n">
        <f aca="false">IF(G105="YES",H89*H57,0)</f>
        <v>0</v>
      </c>
      <c r="I130" s="176"/>
      <c r="J130" s="333" t="n">
        <f aca="false">H91</f>
        <v>908.439903791851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886.577409170364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908.439903791851</v>
      </c>
      <c r="H133" s="102" t="n">
        <f aca="false">IF(G105="YES",H89*H57,0)</f>
        <v>0</v>
      </c>
      <c r="I133" s="220"/>
      <c r="J133" s="183" t="n">
        <f aca="false">H91*H57</f>
        <v>908.439903791851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886.577409170364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0.127608</v>
      </c>
      <c r="H136" s="102" t="n">
        <f aca="false">IF(G105="YES",E15*0.000002,0)</f>
        <v>0.042536</v>
      </c>
      <c r="I136" s="102"/>
      <c r="J136" s="102" t="n">
        <f aca="false">G136+H136</f>
        <v>0.170144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886.577409170364</v>
      </c>
      <c r="B137" s="37" t="n">
        <f aca="false">IF(A105="YES",B89,0)</f>
        <v>0</v>
      </c>
      <c r="C137" s="316"/>
      <c r="D137" s="37" t="n">
        <f aca="false">B91</f>
        <v>886.577409170364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104.64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G18*0.000002*1.2*100</f>
        <v>5.02272</v>
      </c>
      <c r="C140" s="316"/>
      <c r="D140" s="342" t="n">
        <f aca="false">A140+B140</f>
        <v>20.09088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1324.628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209.28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709.27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908.439903791851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886.577409170364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127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294</v>
      </c>
      <c r="C170" s="354"/>
      <c r="D170" s="353" t="s">
        <v>295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886.577409170364</v>
      </c>
      <c r="B171" s="354" t="n">
        <f aca="false">IF(A105="YES",B89,0)</f>
        <v>0</v>
      </c>
      <c r="C171" s="357"/>
      <c r="D171" s="354" t="n">
        <f aca="false">B91</f>
        <v>886.577409170364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9"/>
      <c r="D173" s="358" t="s">
        <v>300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886.577409170364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304</v>
      </c>
      <c r="B176" s="165" t="s">
        <v>305</v>
      </c>
      <c r="C176" s="359"/>
      <c r="D176" s="240" t="s">
        <v>208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886.577409170364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294</v>
      </c>
      <c r="C179" s="352"/>
      <c r="D179" s="352" t="s">
        <v>295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886.577409170364</v>
      </c>
      <c r="B180" s="102" t="n">
        <f aca="false">IF(A105="YES",B89,0)</f>
        <v>0</v>
      </c>
      <c r="C180" s="352"/>
      <c r="D180" s="102" t="n">
        <f aca="false">B91</f>
        <v>886.577409170364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15.06816</v>
      </c>
      <c r="B183" s="364" t="n">
        <f aca="false">G18*0.000002*1.2*100</f>
        <v>5.02272</v>
      </c>
      <c r="C183" s="352"/>
      <c r="D183" s="364" t="n">
        <f aca="false">A183+B183</f>
        <v>20.09088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102"/>
      <c r="D185" s="363" t="s">
        <v>282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209.28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709.27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214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215</v>
      </c>
      <c r="B203" s="368" t="n">
        <f aca="false">B209</f>
        <v>0.065</v>
      </c>
      <c r="C203" s="320" t="s">
        <v>217</v>
      </c>
      <c r="D203" s="369" t="n">
        <f aca="false">D64</f>
        <v>1464.96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218</v>
      </c>
      <c r="B205" s="320" t="n">
        <f aca="false">B213</f>
        <v>209.28</v>
      </c>
      <c r="C205" s="319" t="s">
        <v>219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220</v>
      </c>
      <c r="B207" s="320" t="n">
        <f aca="false">E217</f>
        <v>1595.67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215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217</v>
      </c>
      <c r="B211" s="103" t="n">
        <f aca="false">D64</f>
        <v>1464.96</v>
      </c>
      <c r="C211" s="373" t="s">
        <v>223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223</v>
      </c>
      <c r="B213" s="103" t="n">
        <f aca="false">B67</f>
        <v>209.28</v>
      </c>
      <c r="C213" s="335" t="s">
        <v>326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326</v>
      </c>
      <c r="B215" s="240" t="n">
        <f aca="false">B191*E213*100</f>
        <v>40</v>
      </c>
      <c r="C215" s="335" t="s">
        <v>225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327</v>
      </c>
      <c r="B217" s="240" t="n">
        <f aca="false">B78-(B78*(E213*100))</f>
        <v>200</v>
      </c>
      <c r="C217" s="335" t="s">
        <v>220</v>
      </c>
      <c r="D217" s="316"/>
      <c r="E217" s="32" t="n">
        <f aca="false">(B211-B205+D205)</f>
        <v>1595.67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328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329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227</v>
      </c>
      <c r="B223" s="103" t="n">
        <f aca="false">B71</f>
        <v>200</v>
      </c>
      <c r="C223" s="335" t="s">
        <v>228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229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230</v>
      </c>
      <c r="B225" s="378" t="n">
        <f aca="false">B68</f>
        <v>0.0075</v>
      </c>
      <c r="C225" s="335" t="s">
        <v>231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232</v>
      </c>
      <c r="D226" s="342"/>
      <c r="E226" s="32" t="n">
        <f aca="false">B86</f>
        <v>74.5769100443727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233</v>
      </c>
      <c r="B227" s="103" t="n">
        <f aca="false">B79</f>
        <v>200</v>
      </c>
      <c r="C227" s="379" t="s">
        <v>330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234</v>
      </c>
      <c r="B229" s="103" t="n">
        <f aca="false">B80</f>
        <v>200</v>
      </c>
      <c r="C229" s="383" t="s">
        <v>331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380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145</v>
      </c>
      <c r="C2" s="494" t="s">
        <v>146</v>
      </c>
      <c r="D2" s="494" t="s">
        <v>147</v>
      </c>
      <c r="E2" s="479" t="s">
        <v>148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151</v>
      </c>
      <c r="B3" s="495" t="n">
        <v>46854.17</v>
      </c>
      <c r="C3" s="495" t="n">
        <v>0.0</v>
      </c>
      <c r="D3" s="495" t="n">
        <v>0.0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152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153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154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155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163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164</v>
      </c>
      <c r="B10" s="484"/>
      <c r="C10" s="484"/>
      <c r="D10" s="484"/>
      <c r="E10" s="496" t="n">
        <v>550.0</v>
      </c>
      <c r="F10" s="62"/>
      <c r="G10" s="62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165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166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167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168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169</v>
      </c>
      <c r="B15" s="484"/>
      <c r="C15" s="484"/>
      <c r="D15" s="484"/>
      <c r="E15" s="499" t="n">
        <f aca="false">(E9+E10+E13+E14+E11)-E12</f>
        <v>58535</v>
      </c>
      <c r="F15" s="62"/>
      <c r="G15" s="273" t="n">
        <f aca="false">E15</f>
        <v>58535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170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171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172</v>
      </c>
      <c r="C18" s="487"/>
      <c r="D18" s="487"/>
      <c r="E18" s="500" t="n">
        <v>0</v>
      </c>
      <c r="F18" s="62"/>
      <c r="G18" s="273" t="n">
        <f aca="false">(B3+C3+E10+D3+E3)*1.2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172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172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173</v>
      </c>
      <c r="B21" s="488"/>
      <c r="C21" s="488"/>
      <c r="D21" s="488"/>
      <c r="E21" s="501" t="n">
        <f aca="false">E15-((E18*1.2)+(E19*1.2)+(E20*1.2)+(E16*1.2))</f>
        <v>58535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45370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130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389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141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n">
        <f aca="false">IF(B38="YES",D38+A41,D38)</f>
        <v>500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0.0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274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275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57885</v>
      </c>
      <c r="C61" s="214"/>
      <c r="D61" s="214"/>
      <c r="E61" s="215"/>
      <c r="F61" s="62"/>
      <c r="G61" s="213" t="s">
        <v>14</v>
      </c>
      <c r="H61" s="290" t="n">
        <f aca="false">G18</f>
        <v>57885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277</v>
      </c>
      <c r="B62" s="292" t="n">
        <v>0.07</v>
      </c>
      <c r="C62" s="214"/>
      <c r="D62" s="214"/>
      <c r="E62" s="215"/>
      <c r="F62" s="62"/>
      <c r="G62" s="291" t="s">
        <v>277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278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278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4051.95</v>
      </c>
      <c r="C64" s="214" t="n">
        <v>10000</v>
      </c>
      <c r="D64" s="290" t="n">
        <f aca="false">B64</f>
        <v>4051.95</v>
      </c>
      <c r="E64" s="215"/>
      <c r="F64" s="62"/>
      <c r="G64" s="284" t="s">
        <v>91</v>
      </c>
      <c r="H64" s="132" t="n">
        <f aca="false">H61*H63</f>
        <v>4051.95</v>
      </c>
      <c r="I64" s="214"/>
      <c r="J64" s="290" t="n">
        <f aca="false">H64</f>
        <v>4051.95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578.85</v>
      </c>
      <c r="C67" s="214"/>
      <c r="D67" s="290"/>
      <c r="E67" s="215"/>
      <c r="F67" s="62"/>
      <c r="G67" s="284" t="s">
        <v>94</v>
      </c>
      <c r="H67" s="132" t="n">
        <f aca="false">H61*H66</f>
        <v>289.425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279</v>
      </c>
      <c r="B74" s="297" t="n">
        <v>0.0</v>
      </c>
      <c r="C74" s="214"/>
      <c r="D74" s="214"/>
      <c r="E74" s="215"/>
      <c r="F74" s="62"/>
      <c r="G74" s="291" t="s">
        <v>279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280</v>
      </c>
      <c r="B75" s="298" t="n">
        <v>0.0</v>
      </c>
      <c r="C75" s="214"/>
      <c r="D75" s="214"/>
      <c r="E75" s="215"/>
      <c r="F75" s="62"/>
      <c r="G75" s="294" t="s">
        <v>280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281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281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282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282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283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283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5378.61666666667</v>
      </c>
      <c r="C81" s="214"/>
      <c r="D81" s="214"/>
      <c r="E81" s="215"/>
      <c r="F81" s="62"/>
      <c r="G81" s="302" t="s">
        <v>103</v>
      </c>
      <c r="H81" s="303" t="n">
        <f aca="false">SUM(J64:J80)</f>
        <v>5705.53333333333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448.218055555556</v>
      </c>
      <c r="C82" s="214"/>
      <c r="D82" s="214"/>
      <c r="E82" s="215"/>
      <c r="F82" s="62"/>
      <c r="G82" s="213" t="s">
        <v>104</v>
      </c>
      <c r="H82" s="299" t="n">
        <f aca="false">H81/H29</f>
        <v>475.461111111111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11390.6166666667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14061.04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96.4917103670835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99.2610730133118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11487.1083770338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14060.3110730133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0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957.259031419479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1171.69258941778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957.259031419479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1171.69258941778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332</v>
      </c>
      <c r="B94" s="212"/>
      <c r="C94" s="212"/>
      <c r="D94" s="212"/>
      <c r="E94" s="212"/>
      <c r="F94" s="62"/>
      <c r="G94" s="212" t="s">
        <v>284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126</v>
      </c>
      <c r="B96" s="216"/>
      <c r="C96" s="216"/>
      <c r="D96" s="216"/>
      <c r="E96" s="216"/>
      <c r="F96" s="62"/>
      <c r="G96" s="216" t="s">
        <v>126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127</v>
      </c>
      <c r="B98" s="214" t="s">
        <v>23</v>
      </c>
      <c r="C98" s="214"/>
      <c r="D98" s="214" t="s">
        <v>285</v>
      </c>
      <c r="E98" s="215"/>
      <c r="F98" s="62"/>
      <c r="G98" s="213" t="s">
        <v>127</v>
      </c>
      <c r="H98" s="214" t="s">
        <v>23</v>
      </c>
      <c r="I98" s="214"/>
      <c r="J98" s="214" t="s">
        <v>285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286</v>
      </c>
      <c r="B99" s="311" t="s">
        <v>351</v>
      </c>
      <c r="C99" s="311"/>
      <c r="D99" s="106" t="n">
        <v>1000</v>
      </c>
      <c r="E99" s="106"/>
      <c r="F99" s="62"/>
      <c r="G99" s="219" t="s">
        <v>286</v>
      </c>
      <c r="H99" s="311" t="s">
        <v>130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287</v>
      </c>
      <c r="B101" s="214" t="s">
        <v>288</v>
      </c>
      <c r="C101" s="214"/>
      <c r="D101" s="214" t="s">
        <v>289</v>
      </c>
      <c r="E101" s="215"/>
      <c r="F101" s="62"/>
      <c r="G101" s="213" t="s">
        <v>287</v>
      </c>
      <c r="H101" s="214" t="s">
        <v>288</v>
      </c>
      <c r="I101" s="214"/>
      <c r="J101" s="214" t="s">
        <v>289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130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128</v>
      </c>
      <c r="B104" s="62" t="s">
        <v>131</v>
      </c>
      <c r="C104" s="214"/>
      <c r="D104" s="214" t="s">
        <v>142</v>
      </c>
      <c r="E104" s="215"/>
      <c r="F104" s="62"/>
      <c r="G104" s="219" t="s">
        <v>128</v>
      </c>
      <c r="H104" s="62" t="s">
        <v>131</v>
      </c>
      <c r="I104" s="214"/>
      <c r="J104" s="214" t="s">
        <v>142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389</v>
      </c>
      <c r="B105" s="311" t="n">
        <v>0.0</v>
      </c>
      <c r="C105" s="311"/>
      <c r="D105" s="106" t="s">
        <v>399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267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268</v>
      </c>
      <c r="AA107" s="62"/>
    </row>
    <row r="108" customFormat="false" ht="18.75" hidden="false" customHeight="true" outlineLevel="0" collapsed="false">
      <c r="A108" s="216" t="s">
        <v>290</v>
      </c>
      <c r="B108" s="216"/>
      <c r="C108" s="216"/>
      <c r="D108" s="216"/>
      <c r="E108" s="216"/>
      <c r="F108" s="62"/>
      <c r="G108" s="216" t="s">
        <v>290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269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270</v>
      </c>
    </row>
    <row r="110" customFormat="false" ht="18.75" hidden="false" customHeight="true" outlineLevel="0" collapsed="false">
      <c r="A110" s="213" t="s">
        <v>291</v>
      </c>
      <c r="B110" s="221" t="s">
        <v>389</v>
      </c>
      <c r="C110" s="214"/>
      <c r="D110" s="214"/>
      <c r="E110" s="215"/>
      <c r="F110" s="62"/>
      <c r="G110" s="213" t="s">
        <v>291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176</v>
      </c>
      <c r="B112" s="214"/>
      <c r="C112" s="214"/>
      <c r="D112" s="312" t="n">
        <v>0.0</v>
      </c>
      <c r="E112" s="106" t="n">
        <v>6000.0</v>
      </c>
      <c r="F112" s="62"/>
      <c r="G112" s="213" t="s">
        <v>176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177</v>
      </c>
      <c r="B113" s="214"/>
      <c r="C113" s="214"/>
      <c r="D113" s="165" t="n">
        <f aca="false">E113</f>
        <v>2000</v>
      </c>
      <c r="E113" s="106" t="n">
        <v>2000.0</v>
      </c>
      <c r="F113" s="62"/>
      <c r="G113" s="213" t="s">
        <v>177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178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178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179</v>
      </c>
      <c r="B115" s="214"/>
      <c r="C115" s="214"/>
      <c r="D115" s="165" t="n">
        <f aca="false">D114-E114</f>
        <v>-6000</v>
      </c>
      <c r="E115" s="215"/>
      <c r="F115" s="62"/>
      <c r="G115" s="213" t="s">
        <v>179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138</v>
      </c>
      <c r="B117" s="288"/>
      <c r="C117" s="288"/>
      <c r="D117" s="288"/>
      <c r="E117" s="130" t="n">
        <f aca="false">D99</f>
        <v>1000</v>
      </c>
      <c r="F117" s="62"/>
      <c r="G117" s="287" t="s">
        <v>138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292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293</v>
      </c>
      <c r="B122" s="216"/>
      <c r="C122" s="216"/>
      <c r="D122" s="216"/>
      <c r="E122" s="216"/>
      <c r="F122" s="62"/>
      <c r="G122" s="216" t="s">
        <v>293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127</v>
      </c>
      <c r="B124" s="319" t="n">
        <v>0.0</v>
      </c>
      <c r="C124" s="320"/>
      <c r="D124" s="319" t="s">
        <v>84</v>
      </c>
      <c r="E124" s="321"/>
      <c r="F124" s="62"/>
      <c r="G124" s="213" t="s">
        <v>183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286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294</v>
      </c>
      <c r="C127" s="320"/>
      <c r="D127" s="319" t="s">
        <v>295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957.259031419479</v>
      </c>
      <c r="B128" s="320" t="n">
        <f aca="false">IF(A105="YES",B89,0)</f>
        <v>0</v>
      </c>
      <c r="C128" s="325"/>
      <c r="D128" s="320" t="n">
        <f aca="false">B91</f>
        <v>957.259031419479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296</v>
      </c>
      <c r="H129" s="327" t="s">
        <v>297</v>
      </c>
      <c r="I129" s="327"/>
      <c r="J129" s="327" t="s">
        <v>298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2"/>
      <c r="G130" s="332" t="n">
        <f aca="false">H90</f>
        <v>1171.69258941778</v>
      </c>
      <c r="H130" s="176" t="n">
        <f aca="false">IF(G105="YES",H89*H57,0)</f>
        <v>0</v>
      </c>
      <c r="I130" s="176"/>
      <c r="J130" s="333" t="n">
        <f aca="false">H91</f>
        <v>1171.69258941778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8615.33128277531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301</v>
      </c>
      <c r="H132" s="214" t="s">
        <v>302</v>
      </c>
      <c r="I132" s="214"/>
      <c r="J132" s="214" t="s">
        <v>303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304</v>
      </c>
      <c r="B133" s="38" t="s">
        <v>305</v>
      </c>
      <c r="C133" s="335"/>
      <c r="D133" s="246" t="s">
        <v>208</v>
      </c>
      <c r="E133" s="317"/>
      <c r="F133" s="62"/>
      <c r="G133" s="184" t="n">
        <f aca="false">H90*H57</f>
        <v>1171.69258941778</v>
      </c>
      <c r="H133" s="102" t="n">
        <f aca="false">IF(G105="YES",H89*H57,0)</f>
        <v>0</v>
      </c>
      <c r="I133" s="220"/>
      <c r="J133" s="183" t="n">
        <f aca="false">H91*H57</f>
        <v>1171.69258941778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8615.33128277531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306</v>
      </c>
      <c r="H135" s="214" t="s">
        <v>307</v>
      </c>
      <c r="I135" s="214"/>
      <c r="J135" s="214" t="s">
        <v>308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294</v>
      </c>
      <c r="C136" s="316"/>
      <c r="D136" s="316" t="s">
        <v>295</v>
      </c>
      <c r="E136" s="317"/>
      <c r="F136" s="62"/>
      <c r="G136" s="110" t="n">
        <f aca="false">E15*0.000006</f>
        <v>0.35121</v>
      </c>
      <c r="H136" s="102" t="n">
        <f aca="false">IF(G105="YES",E15*0.000002,0)</f>
        <v>0.11707</v>
      </c>
      <c r="I136" s="102"/>
      <c r="J136" s="102" t="n">
        <f aca="false">G136+H136</f>
        <v>0.46828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957.259031419479</v>
      </c>
      <c r="B137" s="37" t="n">
        <f aca="false">IF(A105="YES",B89,0)</f>
        <v>0</v>
      </c>
      <c r="C137" s="316"/>
      <c r="D137" s="37" t="n">
        <f aca="false">B91</f>
        <v>957.259031419479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309</v>
      </c>
      <c r="H138" s="214" t="s">
        <v>310</v>
      </c>
      <c r="I138" s="214"/>
      <c r="J138" s="214" t="s">
        <v>311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289.425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G18*0.000002*1.2*100</f>
        <v>13.8924</v>
      </c>
      <c r="C140" s="316"/>
      <c r="D140" s="342" t="n">
        <f aca="false">A140+B140</f>
        <v>55.5696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313</v>
      </c>
      <c r="H141" s="214" t="s">
        <v>314</v>
      </c>
      <c r="I141" s="214"/>
      <c r="J141" s="214" t="s">
        <v>315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7"/>
      <c r="D142" s="340" t="s">
        <v>282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1509.413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317</v>
      </c>
      <c r="H144" s="214" t="s">
        <v>318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578.85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323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1078.84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1171.69258941778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957.259031419479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127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286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294</v>
      </c>
      <c r="C170" s="354"/>
      <c r="D170" s="353" t="s">
        <v>295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957.259031419479</v>
      </c>
      <c r="B171" s="354" t="n">
        <f aca="false">IF(A105="YES",B89,0)</f>
        <v>0</v>
      </c>
      <c r="C171" s="357"/>
      <c r="D171" s="354" t="n">
        <f aca="false">B91</f>
        <v>957.259031419479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9"/>
      <c r="D173" s="358" t="s">
        <v>300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8615.33128277531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304</v>
      </c>
      <c r="B176" s="165" t="s">
        <v>305</v>
      </c>
      <c r="C176" s="359"/>
      <c r="D176" s="240" t="s">
        <v>208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8615.33128277531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294</v>
      </c>
      <c r="C179" s="352"/>
      <c r="D179" s="352" t="s">
        <v>295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957.259031419479</v>
      </c>
      <c r="B180" s="102" t="n">
        <f aca="false">IF(A105="YES",B89,0)</f>
        <v>0</v>
      </c>
      <c r="C180" s="352"/>
      <c r="D180" s="102" t="n">
        <f aca="false">B91</f>
        <v>957.259031419479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G18*0.000002*1.2*100</f>
        <v>13.8924</v>
      </c>
      <c r="C183" s="352"/>
      <c r="D183" s="364" t="n">
        <f aca="false">A183+B183</f>
        <v>55.5696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102"/>
      <c r="D185" s="363" t="s">
        <v>282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578.85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1078.84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214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215</v>
      </c>
      <c r="B203" s="368" t="n">
        <f aca="false">B209</f>
        <v>0.065</v>
      </c>
      <c r="C203" s="320" t="s">
        <v>217</v>
      </c>
      <c r="D203" s="369" t="n">
        <f aca="false">D64</f>
        <v>4051.95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218</v>
      </c>
      <c r="B205" s="320" t="n">
        <f aca="false">B213</f>
        <v>578.85</v>
      </c>
      <c r="C205" s="319" t="s">
        <v>219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220</v>
      </c>
      <c r="B207" s="320" t="n">
        <f aca="false">E217</f>
        <v>3813.09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215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217</v>
      </c>
      <c r="B211" s="103" t="n">
        <f aca="false">D64</f>
        <v>4051.95</v>
      </c>
      <c r="C211" s="373" t="s">
        <v>223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223</v>
      </c>
      <c r="B213" s="103" t="n">
        <f aca="false">B67</f>
        <v>578.85</v>
      </c>
      <c r="C213" s="335" t="s">
        <v>326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326</v>
      </c>
      <c r="B215" s="240" t="n">
        <f aca="false">B191*E213*100</f>
        <v>40</v>
      </c>
      <c r="C215" s="335" t="s">
        <v>225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327</v>
      </c>
      <c r="B217" s="240" t="n">
        <f aca="false">B78-(B78*(E213*100))</f>
        <v>200</v>
      </c>
      <c r="C217" s="335" t="s">
        <v>220</v>
      </c>
      <c r="D217" s="316"/>
      <c r="E217" s="32" t="n">
        <f aca="false">(B211-B205+D205)</f>
        <v>3813.09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328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329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227</v>
      </c>
      <c r="B223" s="103" t="n">
        <f aca="false">B71</f>
        <v>200</v>
      </c>
      <c r="C223" s="335" t="s">
        <v>228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229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230</v>
      </c>
      <c r="B225" s="378" t="n">
        <f aca="false">B68</f>
        <v>0.0075</v>
      </c>
      <c r="C225" s="335" t="s">
        <v>231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232</v>
      </c>
      <c r="D226" s="342"/>
      <c r="E226" s="32" t="n">
        <f aca="false">B86</f>
        <v>96.4917103670835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233</v>
      </c>
      <c r="B227" s="103" t="n">
        <f aca="false">B79</f>
        <v>200</v>
      </c>
      <c r="C227" s="379" t="s">
        <v>330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234</v>
      </c>
      <c r="B229" s="103" t="n">
        <f aca="false">B80</f>
        <v>200</v>
      </c>
      <c r="C229" s="383" t="s">
        <v>331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2024-03-18T12:41:06Z</dcterms:modified>
  <cp:revision>913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