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4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FL (Formula 3) - FL" sheetId="57" state="visible" r:id="rId58"/>
    <sheet name="FL (Formula 3) - PCH" sheetId="58" state="visible" r:id="rId59"/>
    <sheet name="FL (Formula 3) - BCH" sheetId="59" state="visible" r:id="rId60"/>
    <sheet name="HPNR (Formula 3) - HPNR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<sst xmlns="http://schemas.openxmlformats.org/spreadsheetml/2006/main" count="32314" uniqueCount="404">
  <si>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</si>
  <si>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</si>
  <si>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</si>
  <si>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</si>
  <si>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</si>
  <si>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</si>
  <si>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</si>
  <si>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</si>
  <si>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</si>
  <si>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</si>
  <si>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</si>
  <si>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</si>
  <si>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</si>
  <si>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</si>
  <si>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</si>
  <si>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</si>
  <si>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</si>
  <si>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</si>
  <si>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</si>
  <si>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</si>
  <si>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</si>
  <si>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</si>
  <si>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</si>
  <si>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</si>
  <si>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</si>
  <si>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</si>
  <si>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</si>
  <si>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</si>
  <si>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</si>
  <si>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</si>
  <si>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</si>
  <si>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</si>
  <si>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</si>
  <si>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</si>
  <si>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</si>
  <si>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</si>
  <si>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</si>
  <si>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</si>
  <si>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</si>
  <si>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</si>
  <si>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</si>
  <si>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</si>
  <si>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</si>
  <si>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</si>
  <si>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</si>
  <si>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</si>
  <si>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</si>
  <si>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</si>
  <si>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</si>
  <si>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</si>
  <si>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</si>
  <si>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</si>
  <si>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</si>
  <si>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</si>
  <si>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</si>
  <si>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</si>
  <si>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</si>
  <si>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</si>
  <si>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</si>
  <si>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</si>
  <si>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</si>
  <si>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</si>
  <si>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</si>
  <si>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</si>
  <si>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</si>
  <si>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</si>
  <si>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</si>
  <si>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</si>
  <si>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</si>
  <si>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</si>
  <si>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</si>
  <si>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</si>
  <si>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</si>
  <si>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</si>
  <si>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</si>
  <si>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</si>
  <si>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</si>
  <si>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</si>
  <si>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</si>
  <si>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108.00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</si>
  <si>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</si>
  <si>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</si>
  <si>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</si>
  <si>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</si>
  <si>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</si>
  <si>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</si>
  <si>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</si>
  <si>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</si>
  <si>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</si>
  <si>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</si>
  <si>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</si>
  <si>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</si>
  <si>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</si>
  <si>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</si>
  <si>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</si>
  <si>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</si>
  <si>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</si>
  <si>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</si>
  <si>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</si>
  <si>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</si>
  <si>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</si>
  <si>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</si>
  <si>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</si>
  <si>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</si>
  <si>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</si>
  <si>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</si>
  <si>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</si>
  <si>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</si>
  <si>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</si>
  <si>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</si>
  <si>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</si>
  <si>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</si>
  <si>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</si>
  <si>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</si>
  <si>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</si>
  <si>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</si>
  <si>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</si>
  <si>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</si>
  <si>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</si>
  <si>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</si>
  <si>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</si>
  <si>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</si>
  <si>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</si>
  <si>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</si>
  <si>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</si>
  <si>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</si>
  <si>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</si>
  <si>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</si>
  <si>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</si>
  <si>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</si>
  <si>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</si>
  <si>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</si>
  <si>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</si>
  <si>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</si>
  <si>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</si>
  <si>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</si>
  <si>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</si>
  <si>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</si>
  <si>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</si>
  <si>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</si>
  <si>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</si>
  <si>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</si>
  <si>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</si>
  <si>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</si>
  <si>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</si>
  <si>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</si>
  <si>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</si>
  <si>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</si>
  <si>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</si>
  <si>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</si>
  <si>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</si>
  <si>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</si>
  <si>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</si>
  <si>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</si>
  <si>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</si>
  <si>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</si>
  <si>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</si>
  <si>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</si>
  <si>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</si>
  <si>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</si>
  <si>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</si>
  <si>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</si>
  <si>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</si>
  <si>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</si>
  <si>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</si>
  <si>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</si>
  <si>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</si>
  <si>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</si>
  <si>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</si>
  <si>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</si>
  <si>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</si>
  <si>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</si>
  <si>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</si>
  <si>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</si>
  <si>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</si>
  <si>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</si>
  <si>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</si>
  <si>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</si>
  <si>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</si>
  <si>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</si>
  <si>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</si>
  <si>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</si>
  <si>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</si>
  <si>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</si>
  <si>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</si>
  <si>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</si>
  <si>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</si>
  <si>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</si>
  <si>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</si>
  <si>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</si>
  <si>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</si>
  <si>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</si>
  <si>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</si>
  <si>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</si>
  <si>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</si>
  <si>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</si>
  <si>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</si>
  <si>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</si>
  <si>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</si>
  <si>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</si>
  <si>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</si>
  <si>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</si>
  <si>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</si>
  <si>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</si>
  <si>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</si>
  <si>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</si>
  <si>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</si>
  <si>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</si>
  <si>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</si>
  <si>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</si>
  <si>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</si>
  <si>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</si>
  <si>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</si>
  <si>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</si>
  <si>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</si>
  <si>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</si>
  <si>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</si>
  <si>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</si>
  <si>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</si>
  <si>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</si>
  <si>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</si>
  <si>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</si>
  <si>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</si>
  <si>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</si>
  <si>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</si>
  <si>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</si>
  <si>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</si>
  <si>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</si>
  <si>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</si>
  <si>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</si>
  <si>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</si>
  <si>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</si>
  <si>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</si>
  <si>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107.00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</si>
  <si>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</si>
  <si>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</si>
  <si>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</si>
  <si>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</si>
  <si>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</si>
  <si>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</si>
  <si>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</si>
  <si>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</si>
  <si>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</si>
  <si>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19458.33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</si>
  <si>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</si>
  <si>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</si>
  <si>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</si>
  <si>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</si>
  <si>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</si>
  <si>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</si>
  <si>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</si>
  <si>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</si>
  <si>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</si>
  <si>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</si>
  <si>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</si>
  <si>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</si>
  <si>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</si>
  <si>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</si>
  <si>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</si>
  <si>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</si>
  <si>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</si>
  <si>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</si>
  <si>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</si>
  <si>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</si>
  <si>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</si>
  <si>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</si>
  <si>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Limited Credit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</si>
  <si>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</si>
  <si>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</si>
  <si>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</si>
  <si>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</si>
  <si>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</si>
  <si>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</si>
  <si>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</si>
  <si>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</si>
  <si>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</si>
  <si>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</si>
  <si>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</si>
  <si>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</si>
  <si>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</si>
  <si>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</si>
  <si>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</si>
  <si>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</si>
  <si>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</si>
  <si>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</si>
  <si>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</si>
  <si>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</si>
  <si>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</si>
  <si>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</si>
  <si>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</si>
  <si>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</si>
  <si>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</si>
  <si>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</si>
  <si>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</si>
  <si>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</si>
  <si>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</si>
  <si>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</si>
  <si>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</si>
  <si>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</si>
  <si>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</si>
  <si>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</si>
  <si>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</si>
  <si>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</si>
  <si>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</si>
  <si>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</si>
  <si>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</si>
  <si>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</si>
  <si>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</si>
  <si>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</si>
  <si>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</si>
  <si>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</si>
  <si>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</si>
  <si>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</si>
  <si>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</si>
  <si>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</si>
  <si>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</si>
  <si>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</si>
  <si>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</si>
  <si>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</si>
  <si>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</si>
  <si>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</si>
  <si>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</si>
  <si>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</si>
  <si>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</si>
  <si>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</si>
  <si>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</si>
  <si>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</si>
  <si>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</si>
  <si>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</si>
  <si>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</si>
  <si>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</si>
  <si>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</si>
  <si>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</si>
  <si>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</si>
  <si>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</si>
  <si>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</si>
  <si>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</si>
  <si>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</si>
  <si>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</si>
  <si>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</si>
  <si>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</si>
  <si>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</si>
  <si>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</si>
  <si>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</si>
  <si>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</si>
  <si>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</si>
  <si>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</si>
  <si>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</si>
  <si>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50</t>
  </si>
  <si>
    <t xml:space="preserve">0</t>
  </si>
  <si>
    <t xml:space="preserve">1</t>
  </si>
  <si>
    <t xml:space="preserve">Customer Quote – Finance Lease</t>
  </si>
  <si>
    <t xml:space="preserve">8.92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</si>
  <si>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</si>
  <si>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</si>
  <si>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</si>
  <si>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</si>
  <si>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</si>
  <si>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</si>
  <si>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</si>
  <si>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</si>
  <si>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</si>
  <si>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</si>
  <si>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</si>
  <si>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</si>
  <si>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</si>
  <si>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</si>
  <si>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</si>
  <si>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</si>
  <si>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</si>
  <si>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</si>
  <si>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</si>
  <si>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</si>
  <si>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</si>
  <si>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</si>
  <si>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</si>
  <si>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</si>
  <si>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</si>
  <si>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</si>
  <si>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21583.33</t>
  </si>
  <si>
    <t xml:space="preserve">OTR Calculation</t>
  </si>
  <si>
    <t xml:space="preserve">296.00</t>
  </si>
  <si>
    <t xml:space="preserve">470.00</t>
  </si>
  <si>
    <t xml:space="preserve">17780.00</t>
  </si>
  <si>
    <t xml:space="preserve">60</t>
  </si>
  <si>
    <t xml:space="preserve">2</t>
  </si>
  <si>
    <t xml:space="preserve">RFL included?</t>
  </si>
  <si>
    <t>12</t>
  </si>
  <si>
    <t>5000</t>
  </si>
  <si>
    <t>1000</t>
  </si>
  <si>
    <t>500</t>
  </si>
  <si>
    <t>50</t>
  </si>
  <si>
    <t>0.00</t>
  </si>
  <si>
    <t>239.99</t>
  </si>
  <si>
    <t>YES</t>
  </si>
  <si>
    <t>Limited Credit</t>
  </si>
  <si>
    <t>60</t>
  </si>
  <si>
    <t>6000</t>
  </si>
  <si>
    <t>10</t>
  </si>
  <si>
    <t>2</t>
  </si>
  <si>
    <t>1</t>
  </si>
  <si>
    <t>NO</t>
  </si>
  <si>
    <t>21583.33</t>
  </si>
  <si>
    <t>199.99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</si>
</sst>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3" colorId="64" zoomScale="85" zoomScaleNormal="85" zoomScalePageLayoutView="100" workbookViewId="0">
      <selection pane="topLeft" activeCell="H149" activeCellId="0" sqref="H149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19000</v>
      </c>
      <c r="C2" s="4" t="s">
        <v>2</v>
      </c>
      <c r="D2" s="5" t="n">
        <f aca="false">C9</f>
        <v>3800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19000</v>
      </c>
      <c r="C9" s="14" t="n">
        <f aca="false">B9*0.2</f>
        <v>3800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19000</v>
      </c>
      <c r="C15" s="14" t="n">
        <f aca="false">SUM(C9:C13)</f>
        <v>3800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19000</v>
      </c>
      <c r="B37" s="32"/>
      <c r="C37" s="41" t="s">
        <v>45</v>
      </c>
      <c r="D37" s="41"/>
      <c r="E37" s="32"/>
      <c r="F37" s="43" t="n">
        <f aca="false">A37-C37</f>
        <v>18000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3800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233.333333333333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266.666666666667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269.333333333333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269.333333333333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269.333333333333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12376.4536557787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126.25002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269.333333333333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269.333333333333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269.333333333333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18000</v>
      </c>
      <c r="C90" s="32"/>
      <c r="D90" s="32"/>
      <c r="E90" s="23"/>
      <c r="F90" s="25" t="s">
        <v>105</v>
      </c>
      <c r="G90" s="27" t="n">
        <f aca="false">F37</f>
        <v>18000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6354.94179987962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11645.0582001204</v>
      </c>
      <c r="C97" s="32"/>
      <c r="D97" s="32"/>
      <c r="E97" s="23"/>
      <c r="F97" s="31" t="s">
        <v>112</v>
      </c>
      <c r="G97" s="33" t="n">
        <f aca="false">G90-G95</f>
        <v>11251.930698559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1126.22305961624</v>
      </c>
      <c r="C98" s="32"/>
      <c r="D98" s="32"/>
      <c r="E98" s="23"/>
      <c r="F98" s="31" t="s">
        <v>113</v>
      </c>
      <c r="G98" s="33" t="n">
        <f aca="false">(G97/G96)</f>
        <v>1056.4464263313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12388.4536557787</v>
      </c>
      <c r="C99" s="32"/>
      <c r="D99" s="32"/>
      <c r="E99" s="23"/>
      <c r="F99" s="31" t="s">
        <v>114</v>
      </c>
      <c r="G99" s="33" t="n">
        <f aca="false">((G98*(G94))+G86)</f>
        <v>11620.9106896443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12388.4536557787</v>
      </c>
      <c r="C101" s="32"/>
      <c r="D101" s="32"/>
      <c r="E101" s="23"/>
      <c r="F101" s="56" t="s">
        <v>116</v>
      </c>
      <c r="G101" s="65" t="n">
        <f aca="false">(G99+G100)</f>
        <v>11620.9106896443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1126.22305961624</v>
      </c>
      <c r="C104" s="32"/>
      <c r="D104" s="32"/>
      <c r="E104" s="23"/>
      <c r="F104" s="95" t="s">
        <v>118</v>
      </c>
      <c r="G104" s="96" t="n">
        <f aca="false">G101/(G94)</f>
        <v>1056.4464263313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1126.22305961624</v>
      </c>
      <c r="C105" s="32"/>
      <c r="D105" s="32"/>
      <c r="E105" s="23" t="s">
        <v>19</v>
      </c>
      <c r="F105" s="97" t="s">
        <v>119</v>
      </c>
      <c r="G105" s="98" t="n">
        <f aca="false">G103+G104</f>
        <v>1056.4464263313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22800</v>
      </c>
      <c r="C130" s="121" t="n">
        <v>21041.67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22800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22800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22800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22800</v>
      </c>
      <c r="C134" s="133" t="n">
        <f aca="false">C130-C133</f>
        <v>21041.67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19000</v>
      </c>
      <c r="H144" s="153" t="n">
        <f aca="false">C134+E134+G134+H137</f>
        <v>21041.67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3800</v>
      </c>
      <c r="H146" s="33" t="n">
        <f aca="false">(H144+H145)*20%</f>
        <v>4208.334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22800</v>
      </c>
      <c r="H150" s="157" t="n">
        <f aca="false">(H144+H145+H148+H149+H146)-H147</f>
        <v>25250.004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22800</v>
      </c>
      <c r="H156" s="164" t="n">
        <f aca="false">H150-((H153*1.2)+(H154*1.2)+(H155*1.2)+(H151*1.2))</f>
        <v>25250.004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2041.67</v>
      </c>
      <c r="I157" s="1" t="n">
        <f aca="false">(H157-G90)/1.2</f>
        <v>-13298.6083333333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25250.004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1126.22305961624</v>
      </c>
      <c r="B176" s="177" t="n">
        <f aca="false">B103</f>
        <v>0</v>
      </c>
      <c r="C176" s="174"/>
      <c r="D176" s="174"/>
      <c r="E176" s="177" t="n">
        <f aca="false">B105</f>
        <v>1126.22305961624</v>
      </c>
      <c r="F176" s="23"/>
      <c r="G176" s="23" t="n">
        <f aca="false">ROUND(G104, 2)</f>
        <v>1056.45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21041.67</v>
      </c>
      <c r="B182" s="103" t="n">
        <f aca="false">H146</f>
        <v>4208.334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25250.004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25250.004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-6861.55034422132</v>
      </c>
      <c r="B191" s="103" t="str">
        <f aca="false">B123</f>
        <v>239.99</v>
      </c>
      <c r="C191" s="103"/>
      <c r="D191" s="23"/>
      <c r="E191" s="103" t="n">
        <f aca="false">E188+A191+B191+A194</f>
        <v>18638.4436557787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9.72624</v>
      </c>
      <c r="B197" s="103" t="n">
        <f aca="false">(G167*B76)/1.2</f>
        <v>105.20835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205.200016666667</v>
      </c>
      <c r="C200" s="93"/>
      <c r="D200" s="93"/>
      <c r="E200" s="103" t="n">
        <f aca="false">H157</f>
        <v>2041.67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1126.22305961624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-7629.054</v>
      </c>
      <c r="B210" s="186" t="n">
        <f aca="false">E188+A210+B191+A194</f>
        <v>17870.94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1126.22305961624</v>
      </c>
      <c r="B221" s="177" t="n">
        <f aca="false">B176</f>
        <v>0</v>
      </c>
      <c r="C221" s="174"/>
      <c r="D221" s="174"/>
      <c r="E221" s="177" t="n">
        <f aca="false">E176</f>
        <v>1126.22305961624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21041.67</v>
      </c>
      <c r="B224" s="103" t="n">
        <f aca="false">B182</f>
        <v>4208.334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25250.004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25250.004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-6861.55034422132</v>
      </c>
      <c r="B233" s="103" t="str">
        <f aca="false">B191</f>
        <v>239.99</v>
      </c>
      <c r="C233" s="103"/>
      <c r="D233" s="113"/>
      <c r="E233" s="103" t="n">
        <f aca="false">E191</f>
        <v>18638.4436557787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1126.22305961624</v>
      </c>
      <c r="B239" s="103" t="n">
        <f aca="false">B176</f>
        <v>0</v>
      </c>
      <c r="C239" s="186"/>
      <c r="D239" s="186"/>
      <c r="E239" s="103" t="n">
        <f aca="false">E176</f>
        <v>1126.22305961624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29.17872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9.72624</v>
      </c>
      <c r="B245" s="103" t="n">
        <f aca="false">E242+A245</f>
        <v>38.90496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2041.67</v>
      </c>
      <c r="B249" s="103" t="n">
        <f aca="false">B197</f>
        <v>105.20835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2246.87001666666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777.503655778677</v>
      </c>
      <c r="C263" s="197"/>
      <c r="D263" s="198" t="s">
        <v>216</v>
      </c>
      <c r="E263" s="198"/>
      <c r="F263" s="200" t="n">
        <f aca="false">F270+F276+F278+B279+B280</f>
        <v>126.25002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751.245302445344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0.1255</v>
      </c>
      <c r="C269" s="43"/>
      <c r="D269" s="166" t="s">
        <v>215</v>
      </c>
      <c r="E269" s="166"/>
      <c r="F269" s="146" t="n">
        <f aca="false">(B98*B68)-(C98*B68)</f>
        <v>12388.4536557787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126.25002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751.245302445344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8.4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8.4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8.4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8.4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8.4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19458.33</v>
      </c>
      <c r="B37" s="32"/>
      <c r="C37" s="41" t="s">
        <v>45</v>
      </c>
      <c r="D37" s="41"/>
      <c r="E37" s="32"/>
      <c r="F37" s="43" t="n">
        <f aca="false">A37-C37</f>
        <v>18458.33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3891.666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240.972166666667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259.027833333333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261.6945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261.6945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233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261.6945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12864.0424566654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128.74998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261.6945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261.6945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261.6945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18458.33</v>
      </c>
      <c r="C90" s="32"/>
      <c r="D90" s="32"/>
      <c r="E90" s="23"/>
      <c r="F90" s="25" t="s">
        <v>105</v>
      </c>
      <c r="G90" s="27" t="n">
        <f aca="false">F37</f>
        <v>18458.33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6354.94179987962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12103.3882001204</v>
      </c>
      <c r="C97" s="32"/>
      <c r="D97" s="32"/>
      <c r="E97" s="23"/>
      <c r="F97" s="31" t="s">
        <v>112</v>
      </c>
      <c r="G97" s="33" t="n">
        <f aca="false">G90-G95</f>
        <v>11710.260698559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1170.54931424231</v>
      </c>
      <c r="C98" s="32"/>
      <c r="D98" s="32"/>
      <c r="E98" s="23"/>
      <c r="F98" s="31" t="s">
        <v>113</v>
      </c>
      <c r="G98" s="33" t="n">
        <f aca="false">(G97/G96)</f>
        <v>1099.47913809893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12876.0424566654</v>
      </c>
      <c r="C99" s="32"/>
      <c r="D99" s="32"/>
      <c r="E99" s="23"/>
      <c r="F99" s="31" t="s">
        <v>114</v>
      </c>
      <c r="G99" s="33" t="n">
        <f aca="false">((G98*(G94))+G86)</f>
        <v>12094.2705190883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12876.0424566654</v>
      </c>
      <c r="C101" s="32"/>
      <c r="D101" s="32"/>
      <c r="E101" s="23"/>
      <c r="F101" s="56" t="s">
        <v>116</v>
      </c>
      <c r="G101" s="65" t="n">
        <f aca="false">(G99+G100)</f>
        <v>12094.2705190883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1170.54931424231</v>
      </c>
      <c r="C104" s="32"/>
      <c r="D104" s="32"/>
      <c r="E104" s="23"/>
      <c r="F104" s="95" t="s">
        <v>118</v>
      </c>
      <c r="G104" s="96" t="n">
        <f aca="false">G101/(G94)</f>
        <v>1099.47913809893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1170.54931424231</v>
      </c>
      <c r="C105" s="32"/>
      <c r="D105" s="32"/>
      <c r="E105" s="23" t="s">
        <v>18</v>
      </c>
      <c r="F105" s="97" t="s">
        <v>119</v>
      </c>
      <c r="G105" s="98" t="n">
        <f aca="false">G103+G104</f>
        <v>1099.47913809893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234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234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23349.996</v>
      </c>
      <c r="C130" s="121" t="n">
        <v>21458.33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23349.996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23349.996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23349.996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23349.996</v>
      </c>
      <c r="C134" s="133" t="n">
        <f aca="false">C130-C133</f>
        <v>21458.33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19458.33</v>
      </c>
      <c r="H144" s="153" t="n">
        <f aca="false">C134+E134+G134+H137</f>
        <v>21458.33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3891.666</v>
      </c>
      <c r="H146" s="33" t="n">
        <f aca="false">(H144+H145)*20%</f>
        <v>4291.666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23349.996</v>
      </c>
      <c r="H150" s="157" t="n">
        <f aca="false">(H144+H145+H148+H149+H146)-H147</f>
        <v>25749.996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23349.996</v>
      </c>
      <c r="H156" s="164" t="n">
        <f aca="false">H150-((H153*1.2)+(H154*1.2)+(H155*1.2)+(H151*1.2))</f>
        <v>25749.996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2000</v>
      </c>
      <c r="I157" s="1" t="n">
        <f aca="false">(H157-G90)/1.2</f>
        <v>-13715.275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25749.996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1170.54931424231</v>
      </c>
      <c r="B176" s="177" t="n">
        <f aca="false">B103</f>
        <v>0</v>
      </c>
      <c r="C176" s="174"/>
      <c r="D176" s="174"/>
      <c r="E176" s="177" t="n">
        <f aca="false">B105</f>
        <v>1170.54931424231</v>
      </c>
      <c r="F176" s="23"/>
      <c r="G176" s="23" t="n">
        <f aca="false">ROUND(G104, 2)</f>
        <v>1099.48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21458.33</v>
      </c>
      <c r="B182" s="103" t="n">
        <f aca="false">H146</f>
        <v>4291.666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25749.996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25749.996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-6873.95354333458</v>
      </c>
      <c r="B191" s="103" t="str">
        <f aca="false">B123</f>
        <v>199.99</v>
      </c>
      <c r="C191" s="103"/>
      <c r="D191" s="23"/>
      <c r="E191" s="103" t="n">
        <f aca="false">E188+A191+(B191*1.2)+A194</f>
        <v>19126.0304566654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8.1052</v>
      </c>
      <c r="B197" s="103" t="n">
        <f aca="false">(G167*B76)/1.2</f>
        <v>107.29165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207.28165</v>
      </c>
      <c r="C200" s="93"/>
      <c r="D200" s="93"/>
      <c r="E200" s="103" t="n">
        <f aca="false">H157</f>
        <v>2000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1170.54931424231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-7655.716</v>
      </c>
      <c r="B210" s="186" t="n">
        <f aca="false">E188+A210+(B191*1.2)+A194</f>
        <v>18344.268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1170.54931424231</v>
      </c>
      <c r="B221" s="177" t="n">
        <f aca="false">B176</f>
        <v>0</v>
      </c>
      <c r="C221" s="174"/>
      <c r="D221" s="174"/>
      <c r="E221" s="177" t="n">
        <f aca="false">E176</f>
        <v>1170.54931424231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21458.33</v>
      </c>
      <c r="B224" s="103" t="n">
        <f aca="false">B182</f>
        <v>4291.666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25749.996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25749.996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-6873.95354333458</v>
      </c>
      <c r="B233" s="103" t="str">
        <f aca="false">B191</f>
        <v>199.99</v>
      </c>
      <c r="C233" s="103"/>
      <c r="D233" s="113"/>
      <c r="E233" s="103" t="n">
        <f aca="false">E191</f>
        <v>19126.0304566654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1170.54931424231</v>
      </c>
      <c r="B239" s="103" t="n">
        <f aca="false">B176</f>
        <v>0</v>
      </c>
      <c r="C239" s="186"/>
      <c r="D239" s="186"/>
      <c r="E239" s="103" t="n">
        <f aca="false">E176</f>
        <v>1170.54931424231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24.3156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8.1052</v>
      </c>
      <c r="B245" s="103" t="n">
        <f aca="false">E242+A245</f>
        <v>32.4208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2000</v>
      </c>
      <c r="B249" s="103" t="n">
        <f aca="false">B197</f>
        <v>107.29165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2207.28165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791.762456665427</v>
      </c>
      <c r="C263" s="197"/>
      <c r="D263" s="198" t="s">
        <v>216</v>
      </c>
      <c r="E263" s="198"/>
      <c r="F263" s="200" t="n">
        <f aca="false">F270+F276+F278+B279+B280</f>
        <v>128.74998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763.002476665427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0.1255</v>
      </c>
      <c r="C269" s="43"/>
      <c r="D269" s="166" t="s">
        <v>215</v>
      </c>
      <c r="E269" s="166"/>
      <c r="F269" s="146" t="n">
        <f aca="false">(B98*B68)-(C98*B68)</f>
        <v>12876.0424566654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128.74998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763.002476665427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4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238</v>
      </c>
      <c r="B29" s="223" t="n">
        <v>12345</v>
      </c>
      <c r="C29" s="223"/>
      <c r="D29" s="224" t="n">
        <f aca="true">TODAY()+1</f>
        <v>45196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242</v>
      </c>
      <c r="H32" s="225" t="n">
        <f aca="false">A41</f>
        <v>0</v>
      </c>
      <c r="I32" s="0"/>
      <c r="J32" s="44" t="s">
        <v>37</v>
      </c>
      <c r="K32" s="45" t="s">
        <v>243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247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248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256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14892.5045349552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241.4062125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13202.5060889046</v>
      </c>
      <c r="C88" s="93" t="n">
        <f aca="false">B81-B86</f>
        <v>13202.5060889046</v>
      </c>
      <c r="D88" s="93"/>
      <c r="E88" s="113"/>
      <c r="F88" s="31" t="s">
        <v>112</v>
      </c>
      <c r="G88" s="33" t="n">
        <f aca="false">G81-G86</f>
        <v>12433.9570487144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481.027130353713</v>
      </c>
      <c r="C89" s="93" t="n">
        <f aca="false">(B88/B87)</f>
        <v>481.027130353713</v>
      </c>
      <c r="D89" s="93"/>
      <c r="E89" s="113"/>
      <c r="F89" s="31" t="s">
        <v>113</v>
      </c>
      <c r="G89" s="33" t="n">
        <f aca="false">(G88/G87)</f>
        <v>424.257597611893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15392.8681713188</v>
      </c>
      <c r="C90" s="93"/>
      <c r="D90" s="93"/>
      <c r="E90" s="113"/>
      <c r="F90" s="31" t="s">
        <v>114</v>
      </c>
      <c r="G90" s="33" t="n">
        <f aca="false">((G89*(G85))+G77)</f>
        <v>13576.2431235806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15392.8681713188</v>
      </c>
      <c r="C92" s="93"/>
      <c r="D92" s="93"/>
      <c r="E92" s="113"/>
      <c r="F92" s="56" t="s">
        <v>116</v>
      </c>
      <c r="G92" s="65" t="n">
        <f aca="false">(G90+G91)</f>
        <v>13576.2431235806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481.027130353713</v>
      </c>
      <c r="C95" s="93"/>
      <c r="D95" s="93"/>
      <c r="E95" s="113"/>
      <c r="F95" s="95" t="s">
        <v>118</v>
      </c>
      <c r="G95" s="96" t="n">
        <f aca="false">G92/(G85)</f>
        <v>424.257597611893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481.027130353713</v>
      </c>
      <c r="C96" s="93"/>
      <c r="D96" s="93"/>
      <c r="E96" s="113"/>
      <c r="F96" s="97" t="s">
        <v>119</v>
      </c>
      <c r="G96" s="98" t="n">
        <f aca="false">G94+G95</f>
        <v>424.257597611893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262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263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264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265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266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481.027130353713</v>
      </c>
      <c r="B167" s="177" t="n">
        <f aca="false">B94</f>
        <v>0</v>
      </c>
      <c r="C167" s="174"/>
      <c r="D167" s="174"/>
      <c r="E167" s="177" t="n">
        <f aca="false">B96</f>
        <v>481.027130353713</v>
      </c>
      <c r="F167" s="23"/>
      <c r="G167" s="23" t="n">
        <f aca="false">ROUND(G95, 2)</f>
        <v>424.26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-3157.12782868118</v>
      </c>
      <c r="B182" s="103" t="str">
        <f aca="false">B114</f>
        <v>239.99</v>
      </c>
      <c r="C182" s="103"/>
      <c r="D182" s="23"/>
      <c r="E182" s="103" t="n">
        <f aca="false">E179+A182+B182+A185</f>
        <v>22842.8581713188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201.17184375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301.163510416667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481.027130353713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-4973.676</v>
      </c>
      <c r="B201" s="186" t="n">
        <f aca="false">E179+A201+B182+A185</f>
        <v>21026.31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481.027130353713</v>
      </c>
      <c r="B212" s="177" t="n">
        <f aca="false">B167</f>
        <v>0</v>
      </c>
      <c r="C212" s="174"/>
      <c r="D212" s="174"/>
      <c r="E212" s="177" t="n">
        <f aca="false">E167</f>
        <v>481.027130353713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-3157.12782868118</v>
      </c>
      <c r="B224" s="103" t="str">
        <f aca="false">B182</f>
        <v>239.99</v>
      </c>
      <c r="C224" s="103"/>
      <c r="D224" s="113"/>
      <c r="E224" s="103" t="n">
        <f aca="false">E182</f>
        <v>22842.8581713188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481.027130353713</v>
      </c>
      <c r="B230" s="103" t="n">
        <f aca="false">B167</f>
        <v>0</v>
      </c>
      <c r="C230" s="186"/>
      <c r="D230" s="186"/>
      <c r="E230" s="103" t="n">
        <f aca="false">E167</f>
        <v>481.027130353713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9.72624</v>
      </c>
      <c r="B236" s="103" t="n">
        <f aca="false">E233+A236</f>
        <v>38.90496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201.17184375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2301.16351041667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1826.54817131882</v>
      </c>
      <c r="C254" s="197"/>
      <c r="D254" s="198" t="s">
        <v>216</v>
      </c>
      <c r="E254" s="198"/>
      <c r="F254" s="200" t="n">
        <f aca="false">F261+F267+F269+B270+B271</f>
        <v>241.4062125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1685.13362548549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241.4062125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1685.13362548549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238</v>
      </c>
      <c r="B29" s="223" t="n">
        <v>12345</v>
      </c>
      <c r="C29" s="223"/>
      <c r="D29" s="224" t="n">
        <f aca="true">TODAY()+1</f>
        <v>45196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242</v>
      </c>
      <c r="H32" s="225" t="n">
        <f aca="false">A41</f>
        <v>0</v>
      </c>
      <c r="I32" s="0"/>
      <c r="J32" s="44" t="s">
        <v>37</v>
      </c>
      <c r="K32" s="45" t="s">
        <v>243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256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12375.0424566654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128.74998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12103.3882001204</v>
      </c>
      <c r="C88" s="93" t="n">
        <f aca="false">B81-B86</f>
        <v>12103.3882001204</v>
      </c>
      <c r="D88" s="93"/>
      <c r="E88" s="113"/>
      <c r="F88" s="31" t="s">
        <v>112</v>
      </c>
      <c r="G88" s="33" t="n">
        <f aca="false">G81-G86</f>
        <v>12834.9389154658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1170.54931424231</v>
      </c>
      <c r="C89" s="93" t="n">
        <f aca="false">(B88/B87)</f>
        <v>1170.54931424231</v>
      </c>
      <c r="D89" s="93"/>
      <c r="E89" s="113"/>
      <c r="F89" s="31" t="s">
        <v>113</v>
      </c>
      <c r="G89" s="33" t="n">
        <f aca="false">(G88/G87)</f>
        <v>1205.07544106728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12876.0424566654</v>
      </c>
      <c r="C90" s="93"/>
      <c r="D90" s="93"/>
      <c r="E90" s="113"/>
      <c r="F90" s="31" t="s">
        <v>114</v>
      </c>
      <c r="G90" s="33" t="n">
        <f aca="false">((G89*(G85))+G77)</f>
        <v>13255.8298517401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12876.0424566654</v>
      </c>
      <c r="C92" s="93"/>
      <c r="D92" s="93"/>
      <c r="E92" s="113"/>
      <c r="F92" s="56" t="s">
        <v>116</v>
      </c>
      <c r="G92" s="65" t="n">
        <f aca="false">(G90+G91)</f>
        <v>13255.8298517401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1170.54931424231</v>
      </c>
      <c r="C95" s="93"/>
      <c r="D95" s="93"/>
      <c r="E95" s="113"/>
      <c r="F95" s="95" t="s">
        <v>118</v>
      </c>
      <c r="G95" s="96" t="n">
        <f aca="false">G92/(G85)</f>
        <v>1205.07544106728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1170.54931424231</v>
      </c>
      <c r="C96" s="93"/>
      <c r="D96" s="93"/>
      <c r="E96" s="113"/>
      <c r="F96" s="97" t="s">
        <v>119</v>
      </c>
      <c r="G96" s="98" t="n">
        <f aca="false">G94+G95</f>
        <v>1205.07544106728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262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263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264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265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266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234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1170.54931424231</v>
      </c>
      <c r="B167" s="177" t="str">
        <f aca="false">B94</f>
        <v>0</v>
      </c>
      <c r="C167" s="174"/>
      <c r="D167" s="174"/>
      <c r="E167" s="177" t="n">
        <f aca="false">B96</f>
        <v>1170.54931424231</v>
      </c>
      <c r="F167" s="23"/>
      <c r="G167" s="23" t="n">
        <f aca="false">ROUND(G95, 2)</f>
        <v>1205.08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-5673.95354333458</v>
      </c>
      <c r="B182" s="103" t="str">
        <f aca="false">B114</f>
        <v>199.99</v>
      </c>
      <c r="C182" s="103"/>
      <c r="D182" s="23"/>
      <c r="E182" s="103" t="n">
        <f aca="false">E179+A182+(B182*1.2)+A185</f>
        <v>20326.0304566654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107.29165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207.28165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1170.54931424231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-5294.11600000001</v>
      </c>
      <c r="B201" s="186" t="n">
        <f aca="false">E179+A201+(B182*1.2)+A185</f>
        <v>20705.868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1170.54931424231</v>
      </c>
      <c r="B212" s="177" t="str">
        <f aca="false">B167</f>
        <v>0</v>
      </c>
      <c r="C212" s="174"/>
      <c r="D212" s="174"/>
      <c r="E212" s="177" t="n">
        <f aca="false">E167</f>
        <v>1170.54931424231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-5673.95354333458</v>
      </c>
      <c r="B224" s="103" t="str">
        <f aca="false">B182</f>
        <v>199.99</v>
      </c>
      <c r="C224" s="103"/>
      <c r="D224" s="113"/>
      <c r="E224" s="103" t="n">
        <f aca="false">E182</f>
        <v>20326.0304566654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1170.54931424231</v>
      </c>
      <c r="B230" s="103" t="str">
        <f aca="false">B167</f>
        <v>0</v>
      </c>
      <c r="C230" s="186"/>
      <c r="D230" s="186"/>
      <c r="E230" s="103" t="n">
        <f aca="false">E167</f>
        <v>1170.54931424231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107.29165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2207.28165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-369.837543334572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-398.597523334572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-398.597523334572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238</v>
      </c>
      <c r="B29" s="223" t="n">
        <v>12345</v>
      </c>
      <c r="C29" s="223"/>
      <c r="D29" s="224" t="n">
        <f aca="true">TODAY()+1</f>
        <v>45196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242</v>
      </c>
      <c r="H32" s="225" t="n">
        <f aca="false">A41</f>
        <v>0</v>
      </c>
      <c r="I32" s="0"/>
      <c r="J32" s="44" t="s">
        <v>37</v>
      </c>
      <c r="K32" s="45" t="s">
        <v>243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256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12375.0424566654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128.74998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12103.3882001204</v>
      </c>
      <c r="C88" s="93" t="n">
        <f aca="false">B81-B86</f>
        <v>12103.3882001204</v>
      </c>
      <c r="D88" s="93"/>
      <c r="E88" s="113"/>
      <c r="F88" s="31" t="s">
        <v>112</v>
      </c>
      <c r="G88" s="33" t="n">
        <f aca="false">G81-G86</f>
        <v>11710.260698559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1170.54931424231</v>
      </c>
      <c r="C89" s="93" t="n">
        <f aca="false">(B88/B87)</f>
        <v>1170.54931424231</v>
      </c>
      <c r="D89" s="93"/>
      <c r="E89" s="113"/>
      <c r="F89" s="31" t="s">
        <v>113</v>
      </c>
      <c r="G89" s="33" t="n">
        <f aca="false">(G88/G87)</f>
        <v>1099.47913809893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12876.0424566654</v>
      </c>
      <c r="C90" s="93"/>
      <c r="D90" s="93"/>
      <c r="E90" s="113"/>
      <c r="F90" s="31" t="s">
        <v>114</v>
      </c>
      <c r="G90" s="33" t="n">
        <f aca="false">((G89*(G85))+G77)</f>
        <v>12094.2705190883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12876.0424566654</v>
      </c>
      <c r="C92" s="93"/>
      <c r="D92" s="93"/>
      <c r="E92" s="113"/>
      <c r="F92" s="56" t="s">
        <v>116</v>
      </c>
      <c r="G92" s="65" t="n">
        <f aca="false">(G90+G91)</f>
        <v>12094.2705190883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1170.54931424231</v>
      </c>
      <c r="C95" s="93"/>
      <c r="D95" s="93"/>
      <c r="E95" s="113"/>
      <c r="F95" s="95" t="s">
        <v>118</v>
      </c>
      <c r="G95" s="96" t="n">
        <f aca="false">G92/(G85)</f>
        <v>1099.47913809893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1170.54931424231</v>
      </c>
      <c r="C96" s="93"/>
      <c r="D96" s="93"/>
      <c r="E96" s="113"/>
      <c r="F96" s="97" t="s">
        <v>119</v>
      </c>
      <c r="G96" s="98" t="n">
        <f aca="false">G94+G95</f>
        <v>1099.47913809893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262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263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264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265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272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1170.54931424231</v>
      </c>
      <c r="B167" s="177" t="str">
        <f aca="false">B94</f>
        <v>0</v>
      </c>
      <c r="C167" s="174"/>
      <c r="D167" s="174"/>
      <c r="E167" s="177" t="n">
        <f aca="false">B96</f>
        <v>1170.54931424231</v>
      </c>
      <c r="F167" s="23"/>
      <c r="G167" s="23" t="n">
        <f aca="false">ROUND(G95, 2)</f>
        <v>1099.48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-5673.95354333458</v>
      </c>
      <c r="B182" s="103" t="str">
        <f aca="false">B114</f>
        <v>239.99</v>
      </c>
      <c r="C182" s="103"/>
      <c r="D182" s="23"/>
      <c r="E182" s="103" t="n">
        <f aca="false">E179+A182+B182+A185</f>
        <v>20326.0324566654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107.29165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207.283316666667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1170.54931424231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-6455.716</v>
      </c>
      <c r="B201" s="186" t="n">
        <f aca="false">E179+A201+B182+A185</f>
        <v>19544.27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1170.54931424231</v>
      </c>
      <c r="B212" s="177" t="str">
        <f aca="false">B167</f>
        <v>0</v>
      </c>
      <c r="C212" s="174"/>
      <c r="D212" s="174"/>
      <c r="E212" s="177" t="n">
        <f aca="false">E167</f>
        <v>1170.54931424231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-5673.95354333458</v>
      </c>
      <c r="B224" s="103" t="str">
        <f aca="false">B182</f>
        <v>239.99</v>
      </c>
      <c r="C224" s="103"/>
      <c r="D224" s="113"/>
      <c r="E224" s="103" t="n">
        <f aca="false">E182</f>
        <v>20326.0324566654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1170.54931424231</v>
      </c>
      <c r="B230" s="103" t="str">
        <f aca="false">B167</f>
        <v>0</v>
      </c>
      <c r="C230" s="186"/>
      <c r="D230" s="186"/>
      <c r="E230" s="103" t="n">
        <f aca="false">E167</f>
        <v>1170.54931424231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107.29165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2207.28331666667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791.762456665427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763.004143332093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763.004143332093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238</v>
      </c>
      <c r="B29" s="223" t="n">
        <v>12345</v>
      </c>
      <c r="C29" s="223"/>
      <c r="D29" s="224" t="n">
        <f aca="true">TODAY()+1</f>
        <v>45196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242</v>
      </c>
      <c r="H32" s="225" t="n">
        <f aca="false">A41</f>
        <v>0</v>
      </c>
      <c r="I32" s="0"/>
      <c r="J32" s="44" t="s">
        <v>37</v>
      </c>
      <c r="K32" s="263" t="s">
        <v>243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256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12375.0424566654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128.74998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12103.3882001204</v>
      </c>
      <c r="C88" s="93" t="n">
        <f aca="false">B81-B86</f>
        <v>12103.3882001204</v>
      </c>
      <c r="D88" s="93"/>
      <c r="E88" s="113"/>
      <c r="F88" s="31" t="s">
        <v>112</v>
      </c>
      <c r="G88" s="33" t="n">
        <f aca="false">G81-G86</f>
        <v>11710.260698559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1170.54931424231</v>
      </c>
      <c r="C89" s="93" t="n">
        <f aca="false">(B88/B87)</f>
        <v>1170.54931424231</v>
      </c>
      <c r="D89" s="93"/>
      <c r="E89" s="113"/>
      <c r="F89" s="31" t="s">
        <v>113</v>
      </c>
      <c r="G89" s="33" t="n">
        <f aca="false">(G88/G87)</f>
        <v>1099.47913809893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12876.0424566654</v>
      </c>
      <c r="C90" s="93"/>
      <c r="D90" s="93"/>
      <c r="E90" s="113"/>
      <c r="F90" s="31" t="s">
        <v>114</v>
      </c>
      <c r="G90" s="33" t="n">
        <f aca="false">((G89*(G85))+G77)</f>
        <v>12094.2705190883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12876.0424566654</v>
      </c>
      <c r="C92" s="93"/>
      <c r="D92" s="93"/>
      <c r="E92" s="113"/>
      <c r="F92" s="56" t="s">
        <v>116</v>
      </c>
      <c r="G92" s="65" t="n">
        <f aca="false">(G90+G91)</f>
        <v>12094.2705190883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1170.54931424231</v>
      </c>
      <c r="C95" s="93"/>
      <c r="D95" s="93"/>
      <c r="E95" s="113"/>
      <c r="F95" s="95" t="s">
        <v>118</v>
      </c>
      <c r="G95" s="96" t="n">
        <f aca="false">G92/(G85)</f>
        <v>1099.47913809893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1170.54931424231</v>
      </c>
      <c r="C96" s="93"/>
      <c r="D96" s="93"/>
      <c r="E96" s="113"/>
      <c r="F96" s="97" t="s">
        <v>119</v>
      </c>
      <c r="G96" s="98" t="n">
        <f aca="false">G94+G95</f>
        <v>1099.47913809893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262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263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264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265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266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234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1170.54931424231</v>
      </c>
      <c r="B167" s="177" t="str">
        <f aca="false">B94</f>
        <v>0</v>
      </c>
      <c r="C167" s="174"/>
      <c r="D167" s="174"/>
      <c r="E167" s="177" t="n">
        <f aca="false">B96</f>
        <v>1170.54931424231</v>
      </c>
      <c r="F167" s="23"/>
      <c r="G167" s="23" t="n">
        <f aca="false">ROUND(G95, 2)</f>
        <v>1099.48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-5673.95354333458</v>
      </c>
      <c r="B182" s="103" t="str">
        <f aca="false">B114</f>
        <v>199.99</v>
      </c>
      <c r="C182" s="103"/>
      <c r="D182" s="23"/>
      <c r="E182" s="103" t="n">
        <f aca="false">E179+A182+(B182*1.2)+A185</f>
        <v>20326.0304566654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107.29165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207.28165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1170.54931424231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-6455.716</v>
      </c>
      <c r="B201" s="186" t="n">
        <f aca="false">E179+A201+(B182*1.2)+A185</f>
        <v>19544.268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1170.54931424231</v>
      </c>
      <c r="B212" s="177" t="str">
        <f aca="false">B167</f>
        <v>0</v>
      </c>
      <c r="C212" s="174"/>
      <c r="D212" s="174"/>
      <c r="E212" s="177" t="n">
        <f aca="false">E167</f>
        <v>1170.54931424231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-5673.95354333458</v>
      </c>
      <c r="B224" s="103" t="str">
        <f aca="false">B182</f>
        <v>199.99</v>
      </c>
      <c r="C224" s="103"/>
      <c r="D224" s="113"/>
      <c r="E224" s="103" t="n">
        <f aca="false">E182</f>
        <v>20326.0304566654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1170.54931424231</v>
      </c>
      <c r="B230" s="103" t="str">
        <f aca="false">B167</f>
        <v>0</v>
      </c>
      <c r="C230" s="186"/>
      <c r="D230" s="186"/>
      <c r="E230" s="103" t="n">
        <f aca="false">E167</f>
        <v>1170.54931424231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107.29165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2207.28165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791.762456665427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763.002476665427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763.002476665427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0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238</v>
      </c>
      <c r="B29" s="223" t="n">
        <v>12345</v>
      </c>
      <c r="C29" s="223"/>
      <c r="D29" s="224" t="n">
        <f aca="true">TODAY()+1</f>
        <v>45196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242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251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253</v>
      </c>
      <c r="B43" s="240" t="s">
        <v>254</v>
      </c>
      <c r="C43" s="230"/>
      <c r="D43" s="240" t="s">
        <v>258</v>
      </c>
      <c r="E43" s="243"/>
      <c r="F43" s="63"/>
      <c r="G43" s="63" t="s">
        <v>255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256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261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23349.996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1634.49972</v>
      </c>
      <c r="C64" s="215" t="n">
        <v>10000</v>
      </c>
      <c r="D64" s="291" t="n">
        <f aca="false">B64</f>
        <v>1634.49972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233.49996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 t="n">
        <f aca="false">IF(G18&gt;40000, 325, 0)</f>
        <v>325</v>
      </c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2961.16638666667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246.763865555556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10767.799664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76.0131077531263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10843.8127717531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78</v>
      </c>
      <c r="C89" s="215"/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903.65106431276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981.651064312761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262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263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264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30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265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(E118+E117)-D115</f>
        <v>7239.988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903.65106431276</v>
      </c>
      <c r="B128" s="321" t="n">
        <f aca="false">IF(A105="YES", B89, 0)</f>
        <v>78</v>
      </c>
      <c r="C128" s="326"/>
      <c r="D128" s="321" t="n">
        <f aca="false">B91</f>
        <v>981.651064312761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8132.85957881485</v>
      </c>
      <c r="C131" s="317"/>
      <c r="D131" s="38" t="n">
        <f aca="false">IF(A105="YES", B89*B57, 0)</f>
        <v>702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8834.85957881485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903.65106431276</v>
      </c>
      <c r="B137" s="38" t="n">
        <f aca="false">IF(A105="YES", B89, 0)</f>
        <v>78</v>
      </c>
      <c r="C137" s="317"/>
      <c r="D137" s="38" t="n">
        <f aca="false">B91</f>
        <v>981.651064312761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233.49996</v>
      </c>
      <c r="B148" s="38" t="n">
        <f aca="false">B102</f>
        <v>400</v>
      </c>
      <c r="C148" s="38"/>
      <c r="D148" s="38" t="n">
        <f aca="false">IF(A105="YES", (A38/100*B105)*B125, 0)*0.001</f>
        <v>18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751.48996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981.651064312761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903.65106431276</v>
      </c>
      <c r="B171" s="355" t="n">
        <f aca="false">IF(A105="YES", B89, 0)</f>
        <v>78</v>
      </c>
      <c r="C171" s="358"/>
      <c r="D171" s="355" t="n">
        <f aca="false">B91</f>
        <v>981.651064312761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8132.85957881485</v>
      </c>
      <c r="C174" s="353"/>
      <c r="D174" s="103" t="n">
        <f aca="false">IF(A105="YES", B89*B57, 0)</f>
        <v>702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8834.85957881485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903.65106431276</v>
      </c>
      <c r="B180" s="103" t="n">
        <f aca="false">IF(A105="YES", B89, 0)</f>
        <v>78</v>
      </c>
      <c r="C180" s="353"/>
      <c r="D180" s="103" t="n">
        <f aca="false">B91</f>
        <v>981.651064312761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233.49996</v>
      </c>
      <c r="B191" s="103" t="n">
        <f aca="false">B102</f>
        <v>400</v>
      </c>
      <c r="C191" s="103"/>
      <c r="D191" s="103" t="n">
        <f aca="false">IF(A105="YES", (A38/100*B105)*B125, 0)*0.001</f>
        <v>18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751.48996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1634.49972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233.49996</v>
      </c>
      <c r="C205" s="320" t="s">
        <v>217</v>
      </c>
      <c r="D205" s="370" t="n">
        <f aca="false">B219+E215+B215+B217</f>
        <v>519.99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1920.98976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1634.49972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233.49996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1920.98976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180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76.0131077531263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238</v>
      </c>
      <c r="B29" s="223" t="n">
        <v>12345</v>
      </c>
      <c r="C29" s="223"/>
      <c r="D29" s="224" t="n">
        <f aca="true">TODAY()+1</f>
        <v>45196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242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251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253</v>
      </c>
      <c r="B43" s="240" t="s">
        <v>254</v>
      </c>
      <c r="C43" s="230"/>
      <c r="D43" s="240" t="s">
        <v>258</v>
      </c>
      <c r="E43" s="243"/>
      <c r="F43" s="63"/>
      <c r="G43" s="63" t="s">
        <v>255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256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261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23349.996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1634.49972</v>
      </c>
      <c r="C64" s="215" t="n">
        <v>10000</v>
      </c>
      <c r="D64" s="291" t="n">
        <f aca="false">B64</f>
        <v>1634.49972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233.49996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2961.16638666667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246.763865555556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8973.16638666667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76.0131077531263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9049.17949441979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65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754.098291201649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819.098291201649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262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263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264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30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265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((E118*1.2)+E117)-D115</f>
        <v>7239.988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754.098291201649</v>
      </c>
      <c r="B128" s="321" t="n">
        <f aca="false">IF(A105="YES", B89, 0)</f>
        <v>65</v>
      </c>
      <c r="C128" s="326"/>
      <c r="D128" s="321" t="n">
        <f aca="false">B91</f>
        <v>819.098291201649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6786.88462081485</v>
      </c>
      <c r="C131" s="317"/>
      <c r="D131" s="38" t="n">
        <f aca="false">IF(A105="YES", B89*B57, 0)</f>
        <v>585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7371.88462081485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754.098291201649</v>
      </c>
      <c r="B137" s="38" t="n">
        <f aca="false">IF(A105="YES", B89, 0)</f>
        <v>65</v>
      </c>
      <c r="C137" s="317"/>
      <c r="D137" s="38" t="n">
        <f aca="false">B91</f>
        <v>819.098291201649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233.49996</v>
      </c>
      <c r="B148" s="38" t="n">
        <f aca="false">B102</f>
        <v>400</v>
      </c>
      <c r="C148" s="38"/>
      <c r="D148" s="38" t="n">
        <f aca="false">IF(A105="YES", (A38/100*B105)*B125, 0)*0.001</f>
        <v>18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751.48996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819.098291201649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754.098291201649</v>
      </c>
      <c r="B171" s="355" t="n">
        <f aca="false">IF(A105="YES", B89, 0)</f>
        <v>65</v>
      </c>
      <c r="C171" s="358"/>
      <c r="D171" s="355" t="n">
        <f aca="false">B91</f>
        <v>819.098291201649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6786.88462081485</v>
      </c>
      <c r="C174" s="353"/>
      <c r="D174" s="103" t="n">
        <f aca="false">IF(A105="YES", B89*B57, 0)</f>
        <v>585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7371.88462081485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754.098291201649</v>
      </c>
      <c r="B180" s="103" t="n">
        <f aca="false">IF(A105="YES", B89, 0)</f>
        <v>65</v>
      </c>
      <c r="C180" s="353"/>
      <c r="D180" s="103" t="n">
        <f aca="false">B91</f>
        <v>819.098291201649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233.49996</v>
      </c>
      <c r="B191" s="103" t="n">
        <f aca="false">B102</f>
        <v>400</v>
      </c>
      <c r="C191" s="103"/>
      <c r="D191" s="103" t="n">
        <f aca="false">IF(A105="YES", (A38/100*B105)*B125, 0)*0.001</f>
        <v>18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751.48996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1634.49972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233.49996</v>
      </c>
      <c r="C205" s="320" t="s">
        <v>217</v>
      </c>
      <c r="D205" s="370" t="n">
        <f aca="false">B219+E215+B215+B217</f>
        <v>519.99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1920.98976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1634.49972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233.49996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1920.98976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180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76.0131077531263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235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237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238</v>
      </c>
      <c r="B29" s="223" t="n">
        <v>12345</v>
      </c>
      <c r="C29" s="223"/>
      <c r="D29" s="390" t="n">
        <f aca="true">TODAY()+1</f>
        <v>45196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3891.666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337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240.972166666667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259.027833333333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261.6945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261.6945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261.6945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261.6945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23349.996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2836.82</v>
      </c>
      <c r="C70" s="317" t="n">
        <v>10000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275</v>
      </c>
      <c r="C80" s="317"/>
      <c r="D80" s="317"/>
      <c r="E80" s="404" t="n">
        <f aca="false">E79+D82</f>
        <v>957.916666666667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79.8263888888889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297.916666666667</v>
      </c>
      <c r="C82" s="317"/>
      <c r="D82" s="32" t="n">
        <f aca="false">IF(A50="YES", 0, B82)</f>
        <v>297.916666666667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4461.40333333333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371.783611111111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261.6945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9122.0848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64.3955159338443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9186.48031593384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765.54002632782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765.54002632782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262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263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264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265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765.54002632782</v>
      </c>
      <c r="B134" s="321" t="n">
        <f aca="false">IF(A111="YES", B95, 0)</f>
        <v>0</v>
      </c>
      <c r="C134" s="325"/>
      <c r="D134" s="321" t="n">
        <f aca="false">B97</f>
        <v>765.54002632782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251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765.54002632782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240</v>
      </c>
      <c r="O138" s="317"/>
      <c r="P138" s="317" t="s">
        <v>244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765.54002632782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253</v>
      </c>
      <c r="N141" s="317" t="s">
        <v>254</v>
      </c>
      <c r="O141" s="317"/>
      <c r="P141" s="317" t="s">
        <v>258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765.54002632782</v>
      </c>
      <c r="B143" s="38" t="n">
        <f aca="false">IF(A111="YES", B95, 0)</f>
        <v>0</v>
      </c>
      <c r="C143" s="317"/>
      <c r="D143" s="38" t="n">
        <f aca="false">B97</f>
        <v>765.54002632782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233.49996</v>
      </c>
      <c r="B154" s="38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3891.666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733.491626666667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765.54002632782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765.54002632782</v>
      </c>
      <c r="B177" s="355" t="n">
        <f aca="false">IF(A111="YES", B95, 0)</f>
        <v>0</v>
      </c>
      <c r="C177" s="357"/>
      <c r="D177" s="355" t="n">
        <f aca="false">A177+B177</f>
        <v>765.54002632782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765.54002632782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765.54002632782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765.54002632782</v>
      </c>
      <c r="B186" s="103" t="n">
        <f aca="false">IF(A111="YES", B95, 0)</f>
        <v>0</v>
      </c>
      <c r="C186" s="353"/>
      <c r="D186" s="103" t="n">
        <f aca="false">B97</f>
        <v>765.54002632782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733.491626666667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2836.82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339.991666666667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2943.31170666667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2836.82</v>
      </c>
      <c r="C217" s="375" t="s">
        <v>221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2943.31170666667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64.3955159338443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275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235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237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238</v>
      </c>
      <c r="B29" s="223" t="n">
        <v>12345</v>
      </c>
      <c r="C29" s="223"/>
      <c r="D29" s="390" t="n">
        <f aca="true">TODAY()+1</f>
        <v>45196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3891.666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348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240.972166666667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309.027833333333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311.6945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261.6945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311.6945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23349.996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2836.82</v>
      </c>
      <c r="C70" s="317" t="n">
        <v>10000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275</v>
      </c>
      <c r="C80" s="317"/>
      <c r="D80" s="317"/>
      <c r="E80" s="404" t="n">
        <f aca="false">E79+D82</f>
        <v>957.916666666667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79.8263888888889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297.916666666667</v>
      </c>
      <c r="C82" s="317"/>
      <c r="D82" s="32" t="n">
        <f aca="false">IF(A50="YES", 0, B82)</f>
        <v>297.916666666667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4461.40333333333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371.783611111111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261.6945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7601.73733333333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64.3955159338443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7666.13284926718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65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638.844404105598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703.844404105598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262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263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264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265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638.844404105598</v>
      </c>
      <c r="B134" s="321" t="n">
        <f aca="false">IF(A111="YES", B95, 0)</f>
        <v>65</v>
      </c>
      <c r="C134" s="326"/>
      <c r="D134" s="321" t="n">
        <f aca="false">B97</f>
        <v>703.844404105598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251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638.844404105598</v>
      </c>
      <c r="C137" s="317"/>
      <c r="D137" s="38" t="n">
        <f aca="false">IF(A111="YES", B95*B63, 0)</f>
        <v>65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240</v>
      </c>
      <c r="O138" s="317"/>
      <c r="P138" s="317" t="s">
        <v>244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703.844404105598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253</v>
      </c>
      <c r="N141" s="317" t="s">
        <v>254</v>
      </c>
      <c r="O141" s="317"/>
      <c r="P141" s="317" t="s">
        <v>258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638.844404105598</v>
      </c>
      <c r="B143" s="38" t="n">
        <f aca="false">IF(A111="YES", B95, 0)</f>
        <v>65</v>
      </c>
      <c r="C143" s="317"/>
      <c r="D143" s="38" t="n">
        <f aca="false">B97</f>
        <v>703.844404105598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233.49996</v>
      </c>
      <c r="B154" s="103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3891.666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703.844404105598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638.844404105598</v>
      </c>
      <c r="B177" s="355" t="n">
        <f aca="false">IF(A111="YES", B95, 0)</f>
        <v>65</v>
      </c>
      <c r="C177" s="358"/>
      <c r="D177" s="355" t="n">
        <f aca="false">B91</f>
        <v>7601.73733333333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638.844404105598</v>
      </c>
      <c r="C180" s="353"/>
      <c r="D180" s="103" t="n">
        <f aca="false">IF(A111="YES", B95*B63, 0)</f>
        <v>65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703.844404105598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638.844404105598</v>
      </c>
      <c r="B186" s="103" t="n">
        <f aca="false">IF(A111="YES", B95, 0)</f>
        <v>65</v>
      </c>
      <c r="C186" s="353"/>
      <c r="D186" s="103" t="n">
        <f aca="false">B97</f>
        <v>703.844404105598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2836.82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519.99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3123.31004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2836.82</v>
      </c>
      <c r="C217" s="375" t="s">
        <v>221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3123.31004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64.3955159338443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275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238</v>
      </c>
      <c r="B29" s="223" t="n">
        <v>12345</v>
      </c>
      <c r="C29" s="223"/>
      <c r="D29" s="224" t="n">
        <f aca="true">TODAY()+1</f>
        <v>45196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242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349</v>
      </c>
      <c r="E44" s="104"/>
      <c r="F44" s="63"/>
      <c r="G44" s="63" t="s">
        <v>256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2961.16638666667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246.763865555556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8973.16638666667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76.0131077531263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9049.17949441979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754.098291201649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754.098291201649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262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263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264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265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4" t="n">
        <v>0</v>
      </c>
      <c r="C111" s="314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754.098291201649</v>
      </c>
      <c r="B134" s="321" t="n">
        <f aca="false">IF(A111="YES", B95, 0)</f>
        <v>0</v>
      </c>
      <c r="C134" s="326"/>
      <c r="D134" s="321" t="n">
        <f aca="false">B97</f>
        <v>754.098291201649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251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6786.88462081485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240</v>
      </c>
      <c r="O138" s="215"/>
      <c r="P138" s="215" t="s">
        <v>244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6786.88462081485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253</v>
      </c>
      <c r="N141" s="215" t="s">
        <v>254</v>
      </c>
      <c r="O141" s="215"/>
      <c r="P141" s="215" t="s">
        <v>258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754.098291201649</v>
      </c>
      <c r="B143" s="38" t="n">
        <f aca="false">IF(A111="YES", B95, 0)</f>
        <v>0</v>
      </c>
      <c r="C143" s="317"/>
      <c r="D143" s="38" t="n">
        <f aca="false">B97</f>
        <v>754.098291201649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733.48996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754.098291201649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754.098291201649</v>
      </c>
      <c r="B177" s="355" t="n">
        <f aca="false">IF(A111="YES", B95, 0)</f>
        <v>0</v>
      </c>
      <c r="C177" s="358"/>
      <c r="D177" s="355" t="n">
        <f aca="false">B91</f>
        <v>8973.16638666667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6786.88462081485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6786.88462081485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754.098291201649</v>
      </c>
      <c r="B186" s="103" t="n">
        <f aca="false">IF(A111="YES", B95, 0)</f>
        <v>0</v>
      </c>
      <c r="C186" s="353"/>
      <c r="D186" s="103" t="n">
        <f aca="false">B97</f>
        <v>754.098291201649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733.48996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1740.98976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1740.98976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76.0131077531263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0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238</v>
      </c>
      <c r="B29" s="223" t="n">
        <v>12345</v>
      </c>
      <c r="C29" s="223"/>
      <c r="D29" s="224" t="n">
        <f aca="true">TODAY()+1</f>
        <v>45196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242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349</v>
      </c>
      <c r="E44" s="104"/>
      <c r="F44" s="63"/>
      <c r="G44" s="63" t="s">
        <v>256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2592.41638666667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216.034698888889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10325.299664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72.8893683420734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10398.1890323421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866.515752695173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866.515752695173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262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263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264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265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866.515752695173</v>
      </c>
      <c r="B134" s="321" t="n">
        <f aca="false">IF(A111="YES", B95, 0)</f>
        <v>0</v>
      </c>
      <c r="C134" s="326"/>
      <c r="D134" s="321" t="n">
        <f aca="false">B97</f>
        <v>866.515752695173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251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866.515752695173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240</v>
      </c>
      <c r="O138" s="215"/>
      <c r="P138" s="215" t="s">
        <v>244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866.515752695173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253</v>
      </c>
      <c r="N141" s="215" t="s">
        <v>254</v>
      </c>
      <c r="O141" s="215"/>
      <c r="P141" s="215" t="s">
        <v>258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866.515752695173</v>
      </c>
      <c r="B143" s="38" t="n">
        <f aca="false">IF(A111="YES", B95, 0)</f>
        <v>0</v>
      </c>
      <c r="C143" s="317"/>
      <c r="D143" s="38" t="n">
        <f aca="false">B97</f>
        <v>866.515752695173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333.491626666667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866.515752695173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866.515752695173</v>
      </c>
      <c r="B177" s="355" t="n">
        <f aca="false">IF(A111="YES", B95, 0)</f>
        <v>0</v>
      </c>
      <c r="C177" s="358"/>
      <c r="D177" s="355" t="n">
        <f aca="false">B97</f>
        <v>866.515752695173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866.515752695173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866.515752695173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866.515752695173</v>
      </c>
      <c r="B186" s="103" t="n">
        <f aca="false">IF(A111="YES", B95, 0)</f>
        <v>0</v>
      </c>
      <c r="C186" s="353"/>
      <c r="D186" s="103" t="n">
        <f aca="false">B97</f>
        <v>866.515752695173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333.491626666667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1500.99142666667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1500.99142666667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72.8893683420734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238</v>
      </c>
      <c r="B29" s="223" t="n">
        <v>12345</v>
      </c>
      <c r="C29" s="223"/>
      <c r="D29" s="224" t="n">
        <f aca="true">TODAY()+1</f>
        <v>45196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242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348</v>
      </c>
      <c r="B41" s="241" t="n">
        <f aca="false">IF(B38="YES", D38+A41, D38)</f>
        <v>550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350</v>
      </c>
      <c r="E44" s="104"/>
      <c r="F44" s="63"/>
      <c r="G44" s="63" t="s">
        <v>256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3259.08305333333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271.590254444444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9271.08305333333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78.5368068253328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9349.61986015867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65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779.134988346555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844.134988346556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262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263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264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265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779.134988346555</v>
      </c>
      <c r="B134" s="321" t="n">
        <f aca="false">IF(A111="YES", B95, 0)</f>
        <v>65</v>
      </c>
      <c r="C134" s="326"/>
      <c r="D134" s="321" t="n">
        <f aca="false">B97</f>
        <v>844.134988346556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251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779.134988346555</v>
      </c>
      <c r="C137" s="317"/>
      <c r="D137" s="38" t="n">
        <f aca="false">IF(A111="YES", B95*B63, 0)</f>
        <v>65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240</v>
      </c>
      <c r="O138" s="215"/>
      <c r="P138" s="215" t="s">
        <v>244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844.134988346556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253</v>
      </c>
      <c r="N141" s="215" t="s">
        <v>254</v>
      </c>
      <c r="O141" s="215"/>
      <c r="P141" s="215" t="s">
        <v>258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779.134988346555</v>
      </c>
      <c r="B143" s="38" t="n">
        <f aca="false">IF(A111="YES", B95, 0)</f>
        <v>65</v>
      </c>
      <c r="C143" s="317"/>
      <c r="D143" s="38" t="n">
        <f aca="false">B97</f>
        <v>844.134988346556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1400.84633333333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1360.84833333333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844.134988346556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779.134988346555</v>
      </c>
      <c r="B177" s="355" t="n">
        <f aca="false">IF(A111="YES", B95, 0)</f>
        <v>65</v>
      </c>
      <c r="C177" s="358"/>
      <c r="D177" s="355" t="n">
        <f aca="false">B91</f>
        <v>9271.08305333333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779.134988346555</v>
      </c>
      <c r="C180" s="353"/>
      <c r="D180" s="103" t="n">
        <f aca="false">IF(A111="YES", B95*B63,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844.134988346556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779.134988346555</v>
      </c>
      <c r="B186" s="103" t="n">
        <f aca="false">IF(A111="YES", B95, 0)</f>
        <v>65</v>
      </c>
      <c r="C186" s="353"/>
      <c r="D186" s="103" t="n">
        <f aca="false">B97</f>
        <v>844.134988346556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B154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519.99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1920.98976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1920.98976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78.5368068253328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238</v>
      </c>
      <c r="B29" s="223" t="n">
        <v>12345</v>
      </c>
      <c r="C29" s="223"/>
      <c r="D29" s="224" t="n">
        <f aca="true">TODAY()+1</f>
        <v>45196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242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256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2961.16638666667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246.763865555556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8973.16638666667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76.0131077531263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9049.17949441979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754.098291201649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754.098291201649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262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263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264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265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754.098291201649</v>
      </c>
      <c r="B134" s="321" t="n">
        <f aca="false">IF(A111="YES", B95, 0)</f>
        <v>0</v>
      </c>
      <c r="C134" s="326"/>
      <c r="D134" s="321" t="n">
        <f aca="false">B97</f>
        <v>754.098291201649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251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6786.88462081485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240</v>
      </c>
      <c r="O138" s="215"/>
      <c r="P138" s="215" t="s">
        <v>244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6786.88462081485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253</v>
      </c>
      <c r="N141" s="215" t="s">
        <v>254</v>
      </c>
      <c r="O141" s="215"/>
      <c r="P141" s="215" t="s">
        <v>258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754.098291201649</v>
      </c>
      <c r="B143" s="38" t="n">
        <f aca="false">IF(A111="YES", B95, 0)</f>
        <v>0</v>
      </c>
      <c r="C143" s="317"/>
      <c r="D143" s="38" t="n">
        <f aca="false">B97</f>
        <v>754.098291201649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733.48996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754.098291201649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754.098291201649</v>
      </c>
      <c r="B177" s="355" t="n">
        <f aca="false">IF(A111="YES", B95, 0)</f>
        <v>0</v>
      </c>
      <c r="C177" s="358"/>
      <c r="D177" s="355" t="n">
        <f aca="false">B91</f>
        <v>8973.16638666667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6786.88462081485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6786.88462081485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754.098291201649</v>
      </c>
      <c r="B186" s="103" t="n">
        <f aca="false">IF(A111="YES", B95, 0)</f>
        <v>0</v>
      </c>
      <c r="C186" s="353"/>
      <c r="D186" s="103" t="n">
        <f aca="false">B97</f>
        <v>754.098291201649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733.48996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1740.98976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1740.98976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76.0131077531263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238</v>
      </c>
      <c r="B29" s="223" t="n">
        <v>12345</v>
      </c>
      <c r="C29" s="223"/>
      <c r="D29" s="224" t="n">
        <f aca="true">TODAY()+1</f>
        <v>45196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242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256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2592.41638666667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216.034698888889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10325.299664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72.8893683420734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10398.1890323421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866.515752695173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866.515752695173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262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263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264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265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866.515752695173</v>
      </c>
      <c r="B134" s="321" t="n">
        <f aca="false">IF(A111="YES", B95, 0)</f>
        <v>0</v>
      </c>
      <c r="C134" s="326"/>
      <c r="D134" s="321" t="n">
        <f aca="false">B97</f>
        <v>866.515752695173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251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866.515752695173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240</v>
      </c>
      <c r="O138" s="215"/>
      <c r="P138" s="215" t="s">
        <v>244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866.515752695173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253</v>
      </c>
      <c r="N141" s="215" t="s">
        <v>254</v>
      </c>
      <c r="O141" s="215"/>
      <c r="P141" s="215" t="s">
        <v>258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866.515752695173</v>
      </c>
      <c r="B143" s="38" t="n">
        <f aca="false">IF(A111="YES", B95, 0)</f>
        <v>0</v>
      </c>
      <c r="C143" s="317"/>
      <c r="D143" s="38" t="n">
        <f aca="false">B97</f>
        <v>866.515752695173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333.491626666667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866.515752695173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866.515752695173</v>
      </c>
      <c r="B177" s="355" t="n">
        <f aca="false">IF(A111="YES", B95, 0)</f>
        <v>0</v>
      </c>
      <c r="C177" s="358"/>
      <c r="D177" s="355" t="n">
        <f aca="false">B91</f>
        <v>10325.299664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866.515752695173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866.515752695173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866.515752695173</v>
      </c>
      <c r="B186" s="103" t="n">
        <f aca="false">IF(A111="YES", B95, 0)</f>
        <v>0</v>
      </c>
      <c r="C186" s="353"/>
      <c r="D186" s="103" t="n">
        <f aca="false">B97</f>
        <v>866.515752695173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333.491626666667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1500.99142666667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1500.99142666667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72.8893683420734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238</v>
      </c>
      <c r="B29" s="223" t="n">
        <v>12345</v>
      </c>
      <c r="C29" s="223"/>
      <c r="D29" s="224" t="n">
        <f aca="true">TODAY()+1</f>
        <v>45196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8.92</v>
      </c>
      <c r="E32" s="226"/>
      <c r="F32" s="63"/>
      <c r="G32" s="227" t="s">
        <v>242</v>
      </c>
      <c r="H32" s="225" t="str">
        <f aca="false">A41</f>
        <v>8.92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508.92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n">
        <f aca="false">IF(B38="YES", D38+A41, D38)</f>
        <v>508.92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256</v>
      </c>
      <c r="H44" s="238" t="str">
        <f aca="false">H32</f>
        <v>8.92</v>
      </c>
      <c r="I44" s="394" t="n">
        <f aca="false">((A41*(B35-1))+D32)/B35</f>
        <v>8.92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509.92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509.92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3259.08305333333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271.590254444444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9271.08305333333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78.5368068253328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9349.61986015867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11.596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779.134988346555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790.730988346555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262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263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264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265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779.134988346555</v>
      </c>
      <c r="B134" s="321" t="n">
        <f aca="false">IF(A111="YES", B95, 0)</f>
        <v>11.596</v>
      </c>
      <c r="C134" s="326"/>
      <c r="D134" s="321" t="n">
        <f aca="false">B97</f>
        <v>790.730988346555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251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779.134988346555</v>
      </c>
      <c r="C137" s="317"/>
      <c r="D137" s="38" t="n">
        <f aca="false">IF(A111="YES", B95*B63, 0)</f>
        <v>11.596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240</v>
      </c>
      <c r="O138" s="215"/>
      <c r="P138" s="215" t="s">
        <v>244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790.730988346555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253</v>
      </c>
      <c r="N141" s="215" t="s">
        <v>254</v>
      </c>
      <c r="O141" s="215"/>
      <c r="P141" s="215" t="s">
        <v>258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779.134988346555</v>
      </c>
      <c r="B143" s="38" t="n">
        <f aca="false">IF(A111="YES", B95, 0)</f>
        <v>11.596</v>
      </c>
      <c r="C143" s="317"/>
      <c r="D143" s="38" t="n">
        <f aca="false">B97</f>
        <v>790.730988346555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2.1408</v>
      </c>
      <c r="H148" s="103" t="n">
        <f aca="false">G108-100</f>
        <v>139.988</v>
      </c>
      <c r="I148" s="103"/>
      <c r="J148" s="103" t="n">
        <f aca="false">(H145+J145+G148+H148)-H151</f>
        <v>1390.98713333333</v>
      </c>
      <c r="K148" s="105"/>
      <c r="L148" s="63"/>
      <c r="M148" s="111" t="n">
        <f aca="false">IF(M111="YES", ((A41*N111)*0.1)*(M133), 0)</f>
        <v>2.1408</v>
      </c>
      <c r="N148" s="103" t="n">
        <f aca="false">M108-100</f>
        <v>99.99</v>
      </c>
      <c r="O148" s="103"/>
      <c r="P148" s="103" t="n">
        <f aca="false">(N145+P145+M148+N148)-N151</f>
        <v>1350.98913333333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38" t="n">
        <f aca="false">B108</f>
        <v>400</v>
      </c>
      <c r="C154" s="38"/>
      <c r="D154" s="38" t="n">
        <f aca="false">IF(A111="YES", (A41/100*B111)*B131, 0)*0.1</f>
        <v>3.2112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736.70116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790.730988346555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779.134988346555</v>
      </c>
      <c r="B177" s="355" t="n">
        <f aca="false">IF(A111="YES", B95, 0)</f>
        <v>11.596</v>
      </c>
      <c r="C177" s="358"/>
      <c r="D177" s="355" t="n">
        <f aca="false">B91</f>
        <v>9271.08305333333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779.134988346555</v>
      </c>
      <c r="C180" s="353"/>
      <c r="D180" s="103" t="n">
        <f aca="false">IF(A111="YES", B95*B63, 0)</f>
        <v>11.596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790.730988346555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779.134988346555</v>
      </c>
      <c r="B186" s="103" t="n">
        <f aca="false">IF(A111="YES", B95, 0)</f>
        <v>11.596</v>
      </c>
      <c r="C186" s="353"/>
      <c r="D186" s="103" t="n">
        <f aca="false">B97</f>
        <v>790.730988346555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400</v>
      </c>
      <c r="C197" s="103"/>
      <c r="D197" s="103" t="n">
        <f aca="false">IF(A111="YES", (A41/100*B111)*B131, 0)*0.1</f>
        <v>3.2112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736.70116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372.102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1773.10176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1773.10176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32.112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78.5368068253328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35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354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611.815958095289</v>
      </c>
      <c r="F33" s="232"/>
      <c r="G33" s="232"/>
      <c r="H33" s="47"/>
      <c r="I33" s="2"/>
      <c r="J33" s="34" t="s">
        <v>355</v>
      </c>
      <c r="K33" s="48" t="n">
        <f aca="false">E21</f>
        <v>19458.33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611.815958095289</v>
      </c>
      <c r="B36" s="232" t="str">
        <f aca="false">IF(B26="YES", K42, "0.00")</f>
        <v>0.00</v>
      </c>
      <c r="C36" s="232"/>
      <c r="D36" s="232"/>
      <c r="E36" s="232" t="n">
        <f aca="false">K31</f>
        <v>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84</v>
      </c>
      <c r="K39" s="2" t="n">
        <f aca="false">K33</f>
        <v>19458.33</v>
      </c>
      <c r="L39" s="2" t="n">
        <f aca="false">(L47*K46)+K44</f>
        <v>25443.3768750692</v>
      </c>
      <c r="N39" s="1" t="n">
        <f aca="false">K39-L39</f>
        <v>-5985.04687506925</v>
      </c>
      <c r="P39" s="212"/>
    </row>
    <row r="40" customFormat="false" ht="17.35" hidden="false" customHeight="false" outlineLevel="0" collapsed="false">
      <c r="A40" s="107" t="n">
        <f aca="false">E36*A45/100</f>
        <v>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0</v>
      </c>
      <c r="L40" s="2" t="n">
        <f aca="false">K39-L39</f>
        <v>-5985.04687506925</v>
      </c>
      <c r="N40" s="1" t="n">
        <f aca="false">N38-N39</f>
        <v>8896.72687506925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0</v>
      </c>
      <c r="L44" s="2"/>
      <c r="P44" s="212"/>
    </row>
    <row r="45" customFormat="false" ht="17.35" hidden="false" customHeight="false" outlineLevel="0" collapsed="false">
      <c r="A45" s="450" t="n">
        <v>30</v>
      </c>
      <c r="B45" s="93"/>
      <c r="C45" s="62" t="n">
        <v>100</v>
      </c>
      <c r="D45" s="62"/>
      <c r="E45" s="62"/>
      <c r="F45" s="93"/>
      <c r="G45" s="93"/>
      <c r="H45" s="33"/>
      <c r="J45" s="2" t="s">
        <v>366</v>
      </c>
      <c r="K45" s="2" t="n">
        <f aca="false">(K39-K44)</f>
        <v>19458.33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611.815958095289</v>
      </c>
      <c r="L47" s="2" t="n">
        <f aca="false">L49-K42</f>
        <v>800</v>
      </c>
      <c r="M47" s="1" t="n">
        <f aca="false">K47-L47</f>
        <v>-188.184041904711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611.815958095289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611.815958095289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5939.84038421008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189.713509027778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2997.23541666667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396.817083333333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611.815958095289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611.815958095289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611.815958095289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611.815958095289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23249.996</v>
      </c>
      <c r="C81" s="93"/>
      <c r="D81" s="93"/>
      <c r="E81" s="113"/>
      <c r="F81" s="25" t="s">
        <v>105</v>
      </c>
      <c r="G81" s="27" t="n">
        <f aca="false">G158</f>
        <v>23249.996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0</v>
      </c>
      <c r="C82" s="93"/>
      <c r="D82" s="93"/>
      <c r="E82" s="113"/>
      <c r="F82" s="31" t="s">
        <v>106</v>
      </c>
      <c r="G82" s="33" t="n">
        <f aca="false">IF(A111 = "Yes", A40, 0)</f>
        <v>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34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0</v>
      </c>
      <c r="C86" s="93"/>
      <c r="D86" s="93"/>
      <c r="E86" s="113"/>
      <c r="F86" s="31" t="s">
        <v>110</v>
      </c>
      <c r="G86" s="33" t="n">
        <f aca="false">(G82/((1+G84)^(G85+1)))</f>
        <v>0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0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0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28.8995114056174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23249.996</v>
      </c>
      <c r="C88" s="93"/>
      <c r="D88" s="93"/>
      <c r="E88" s="113"/>
      <c r="F88" s="31" t="s">
        <v>112</v>
      </c>
      <c r="G88" s="33" t="n">
        <f aca="false">G81-G86</f>
        <v>23249.996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804.511732868976</v>
      </c>
      <c r="C89" s="93"/>
      <c r="D89" s="93"/>
      <c r="E89" s="113"/>
      <c r="F89" s="31" t="s">
        <v>113</v>
      </c>
      <c r="G89" s="33" t="n">
        <f aca="false">(G88/G87)</f>
        <v>731.034912988506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27353.3989175452</v>
      </c>
      <c r="C90" s="93"/>
      <c r="D90" s="93"/>
      <c r="E90" s="113"/>
      <c r="F90" s="31" t="s">
        <v>114</v>
      </c>
      <c r="G90" s="33" t="n">
        <f aca="false">((G89*(G85))+G77)</f>
        <v>25586.2219545977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27353.3989175452</v>
      </c>
      <c r="C92" s="93"/>
      <c r="D92" s="93"/>
      <c r="E92" s="113"/>
      <c r="F92" s="56" t="s">
        <v>116</v>
      </c>
      <c r="G92" s="65" t="n">
        <f aca="false">(G90+G91)</f>
        <v>25586.2219545977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804.511732868976</v>
      </c>
      <c r="C95" s="93"/>
      <c r="D95" s="93"/>
      <c r="E95" s="113"/>
      <c r="F95" s="95" t="s">
        <v>118</v>
      </c>
      <c r="G95" s="96" t="n">
        <f aca="false">G92/(G85)</f>
        <v>731.034912988506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804.511732868976</v>
      </c>
      <c r="C96" s="93"/>
      <c r="D96" s="93"/>
      <c r="E96" s="113"/>
      <c r="F96" s="97" t="s">
        <v>119</v>
      </c>
      <c r="G96" s="98" t="n">
        <f aca="false">G94+G95</f>
        <v>731.034912988506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19458.33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23349.996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23349.996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23349.996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19458.33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19458.33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-17708.33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804.511732868976</v>
      </c>
      <c r="B167" s="177" t="str">
        <f aca="false">B94</f>
        <v>0</v>
      </c>
      <c r="C167" s="174"/>
      <c r="D167" s="174"/>
      <c r="E167" s="177" t="n">
        <f aca="false">B96</f>
        <v>804.511732868976</v>
      </c>
      <c r="F167" s="23"/>
      <c r="G167" s="23" t="n">
        <f aca="false">ROUND(G95, 2)</f>
        <v>731.03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4897.91465041416</v>
      </c>
      <c r="B182" s="103" t="str">
        <f aca="false">B114</f>
        <v>239.99</v>
      </c>
      <c r="C182" s="103"/>
      <c r="D182" s="23"/>
      <c r="E182" s="103" t="n">
        <f aca="false">E179+A182+B182+A185</f>
        <v>28397.9006504142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2239.99</v>
      </c>
      <c r="C185" s="103"/>
      <c r="D185" s="23"/>
      <c r="E185" s="103" t="n">
        <f aca="false">IF(A40=0,(E167),(E170+A185))</f>
        <v>804.511732868976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</v>
      </c>
      <c r="B188" s="103" t="n">
        <f aca="false">(G158*B67)/1.2</f>
        <v>189.713509027778</v>
      </c>
      <c r="C188" s="93"/>
      <c r="D188" s="93"/>
      <c r="E188" s="103" t="n">
        <f aca="false">(E40*A108)*0.1*C45/100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289.705175694444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804.511732868976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2399.53573286897</v>
      </c>
      <c r="B201" s="186" t="n">
        <f aca="false">E179+A201+B182+A185</f>
        <v>25899.521732869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804.511732868976</v>
      </c>
      <c r="B212" s="177" t="str">
        <f aca="false">B167</f>
        <v>0</v>
      </c>
      <c r="C212" s="174"/>
      <c r="D212" s="174"/>
      <c r="E212" s="177" t="n">
        <f aca="false">E167</f>
        <v>804.511732868976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4897.91465041416</v>
      </c>
      <c r="B224" s="103" t="str">
        <f aca="false">B182</f>
        <v>239.99</v>
      </c>
      <c r="C224" s="103"/>
      <c r="D224" s="113"/>
      <c r="E224" s="103" t="n">
        <f aca="false">E182</f>
        <v>28397.9006504142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804.511732868976</v>
      </c>
      <c r="B230" s="103" t="str">
        <f aca="false">B167</f>
        <v>0</v>
      </c>
      <c r="C230" s="186"/>
      <c r="D230" s="186"/>
      <c r="E230" s="103" t="n">
        <f aca="false">E167</f>
        <v>804.511732868976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0</v>
      </c>
      <c r="B233" s="103" t="n">
        <f aca="false">E185</f>
        <v>804.511732868976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29.17872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189.713509027778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2289.70517569444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2508.37891754518</v>
      </c>
      <c r="C254" s="197"/>
      <c r="D254" s="198" t="s">
        <v>216</v>
      </c>
      <c r="E254" s="198"/>
      <c r="F254" s="200" t="n">
        <f aca="false">F261+F267+F269+B270+B271</f>
        <v>227.656210833333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2380.71437337852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2508.37891754518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227.656210833333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2380.71437337852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18960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354</v>
      </c>
      <c r="F32" s="93"/>
      <c r="G32" s="93"/>
      <c r="H32" s="33"/>
      <c r="I32" s="2"/>
      <c r="J32" s="29" t="s">
        <v>36</v>
      </c>
      <c r="K32" s="449" t="n">
        <v>153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420.918771076395</v>
      </c>
      <c r="F33" s="232"/>
      <c r="G33" s="232"/>
      <c r="H33" s="47"/>
      <c r="I33" s="2"/>
      <c r="J33" s="34" t="s">
        <v>355</v>
      </c>
      <c r="K33" s="48" t="n">
        <f aca="false">E21</f>
        <v>19458.33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408.168771076395</v>
      </c>
      <c r="B36" s="232" t="n">
        <f aca="false">IF(B26="YES", K42, "0.00")</f>
        <v>12.75</v>
      </c>
      <c r="C36" s="232"/>
      <c r="D36" s="232"/>
      <c r="E36" s="232" t="n">
        <f aca="false">K31</f>
        <v>18960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84</v>
      </c>
      <c r="K39" s="2" t="n">
        <f aca="false">K33</f>
        <v>19458.33</v>
      </c>
      <c r="L39" s="2" t="n">
        <f aca="false">(L47*K46)+K44</f>
        <v>23851.1106307193</v>
      </c>
      <c r="N39" s="1" t="n">
        <f aca="false">K39-L39</f>
        <v>-4392.78063071932</v>
      </c>
      <c r="P39" s="212"/>
    </row>
    <row r="40" customFormat="false" ht="17.35" hidden="false" customHeight="false" outlineLevel="0" collapsed="false">
      <c r="A40" s="107" t="n">
        <f aca="false">E36*A45/100</f>
        <v>18960</v>
      </c>
      <c r="B40" s="107" t="n">
        <f aca="false">IF(B26="YES", K42, "0.00")</f>
        <v>12.75</v>
      </c>
      <c r="C40" s="107"/>
      <c r="D40" s="107"/>
      <c r="E40" s="182" t="n">
        <f aca="false">K32</f>
        <v>153</v>
      </c>
      <c r="F40" s="186"/>
      <c r="G40" s="186"/>
      <c r="H40" s="47"/>
      <c r="J40" s="2" t="s">
        <v>106</v>
      </c>
      <c r="K40" s="2" t="n">
        <f aca="false">(A40)/1.2</f>
        <v>15800</v>
      </c>
      <c r="L40" s="2" t="n">
        <f aca="false">K39-L39</f>
        <v>-4392.78063071932</v>
      </c>
      <c r="N40" s="1" t="n">
        <f aca="false">N38-N39</f>
        <v>7304.46063071932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(K32/K36)*C45/100</f>
        <v>12.75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14728.4839014736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366</v>
      </c>
      <c r="K45" s="2" t="n">
        <f aca="false">(K39-K44)</f>
        <v>4729.84609852637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408.168771076395</v>
      </c>
      <c r="L47" s="2" t="n">
        <f aca="false">L49-K42</f>
        <v>787.25</v>
      </c>
      <c r="M47" s="1" t="n">
        <f aca="false">K47-L47</f>
        <v>-379.081228923605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420.918771076395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420.918771076395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2033.21442206914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96.8749833333334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408.168771076395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408.168771076395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420.918771076395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420.918771076395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23249.996</v>
      </c>
      <c r="C81" s="93"/>
      <c r="D81" s="93"/>
      <c r="E81" s="113"/>
      <c r="F81" s="25" t="s">
        <v>105</v>
      </c>
      <c r="G81" s="27" t="n">
        <f aca="false">G158</f>
        <v>23249.996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18960</v>
      </c>
      <c r="C82" s="93"/>
      <c r="D82" s="93"/>
      <c r="E82" s="113"/>
      <c r="F82" s="31" t="s">
        <v>106</v>
      </c>
      <c r="G82" s="33" t="n">
        <f aca="false">IF(A111 = "Yes", A40, 0)</f>
        <v>18960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18960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18960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16734.6800730163</v>
      </c>
      <c r="C86" s="93"/>
      <c r="D86" s="93"/>
      <c r="E86" s="113"/>
      <c r="F86" s="31" t="s">
        <v>110</v>
      </c>
      <c r="G86" s="33" t="n">
        <f aca="false">(G82/((1+G84)^(G85+1)))</f>
        <v>17769.9158271279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16471.9553075981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16471.9553075981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6515.31592698368</v>
      </c>
      <c r="C88" s="93"/>
      <c r="D88" s="93"/>
      <c r="E88" s="113"/>
      <c r="F88" s="31" t="s">
        <v>112</v>
      </c>
      <c r="G88" s="33" t="n">
        <f aca="false">G81-G86</f>
        <v>5480.08017287207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630.112697725989</v>
      </c>
      <c r="C89" s="93"/>
      <c r="D89" s="93"/>
      <c r="E89" s="113"/>
      <c r="F89" s="31" t="s">
        <v>113</v>
      </c>
      <c r="G89" s="33" t="n">
        <f aca="false">(G88/G87)</f>
        <v>514.526019555129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6931.23967498588</v>
      </c>
      <c r="C90" s="93"/>
      <c r="D90" s="93"/>
      <c r="E90" s="113"/>
      <c r="F90" s="31" t="s">
        <v>114</v>
      </c>
      <c r="G90" s="33" t="n">
        <f aca="false">((G89*(G85))+G77)</f>
        <v>5659.78621510642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6931.23967498588</v>
      </c>
      <c r="C92" s="93"/>
      <c r="D92" s="93"/>
      <c r="E92" s="113"/>
      <c r="F92" s="56" t="s">
        <v>116</v>
      </c>
      <c r="G92" s="65" t="n">
        <f aca="false">(G90+G91)</f>
        <v>5659.78621510642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16.6909090909091</v>
      </c>
      <c r="C94" s="93"/>
      <c r="D94" s="93"/>
      <c r="E94" s="113"/>
      <c r="F94" s="88" t="s">
        <v>117</v>
      </c>
      <c r="G94" s="94" t="n">
        <f aca="false">IF(B26="YES",((E40/B85)*(1+A108)*(C45/100)),"0")</f>
        <v>16.6909090909091</v>
      </c>
      <c r="H94" s="33"/>
      <c r="J94" s="88" t="s">
        <v>117</v>
      </c>
      <c r="K94" s="89" t="n">
        <f aca="false">((E40/K85)*(1+J108))*1.2</f>
        <v>19.89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16.6909090909091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20.0290909090909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630.112697725989</v>
      </c>
      <c r="C95" s="93"/>
      <c r="D95" s="93"/>
      <c r="E95" s="113"/>
      <c r="F95" s="95" t="s">
        <v>118</v>
      </c>
      <c r="G95" s="96" t="n">
        <f aca="false">G92/(G85)</f>
        <v>514.526019555129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646.803606816898</v>
      </c>
      <c r="C96" s="93"/>
      <c r="D96" s="93"/>
      <c r="E96" s="113"/>
      <c r="F96" s="97" t="s">
        <v>119</v>
      </c>
      <c r="G96" s="98" t="n">
        <f aca="false">G94+G95</f>
        <v>531.216928646038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234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19458.33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23349.996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23349.996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23349.996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19458.33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19458.33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-17708.33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630.112697725989</v>
      </c>
      <c r="B167" s="177" t="n">
        <f aca="false">B94</f>
        <v>16.6909090909091</v>
      </c>
      <c r="C167" s="174"/>
      <c r="D167" s="174"/>
      <c r="E167" s="177" t="n">
        <f aca="false">B96</f>
        <v>646.803606816898</v>
      </c>
      <c r="F167" s="23"/>
      <c r="G167" s="23" t="n">
        <f aca="false">ROUND(G95, 2)</f>
        <v>514.53</v>
      </c>
      <c r="H167" s="33"/>
      <c r="J167" s="176" t="e">
        <f aca="false">K95</f>
        <v>#VALUE!</v>
      </c>
      <c r="K167" s="177" t="n">
        <f aca="false">K94</f>
        <v>19.89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16.6909090909091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20.0290909090909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180" t="n">
        <f aca="false">K30</f>
        <v>10000</v>
      </c>
      <c r="C170" s="181"/>
      <c r="D170" s="23"/>
      <c r="E170" s="182" t="n">
        <f aca="false">IF(A111="YES",A40, 0)</f>
        <v>18960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18960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18960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18960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2641.24367498587</v>
      </c>
      <c r="B182" s="103" t="str">
        <f aca="false">B114</f>
        <v>199.99</v>
      </c>
      <c r="C182" s="103"/>
      <c r="D182" s="23"/>
      <c r="E182" s="103" t="n">
        <f aca="false">E179+A182+(B182*1.2)+A185</f>
        <v>26141.2276749859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2239.988</v>
      </c>
      <c r="C185" s="103"/>
      <c r="D185" s="23"/>
      <c r="E185" s="103" t="n">
        <f aca="false">IF(A40=0,(E167),(E170+A185))</f>
        <v>18970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18980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18970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18970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96.8749833333334</v>
      </c>
      <c r="C188" s="93"/>
      <c r="D188" s="93"/>
      <c r="E188" s="103" t="n">
        <f aca="false">(E40*A108)*0.1*(C45/100)</f>
        <v>3.06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4.59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3.06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199.924983333333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646.803606816898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1369.834</v>
      </c>
      <c r="B201" s="186" t="n">
        <f aca="false">E179+A201+(B182*1.2)+A185</f>
        <v>24869.818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630.112697725989</v>
      </c>
      <c r="B212" s="177" t="n">
        <f aca="false">B167</f>
        <v>16.6909090909091</v>
      </c>
      <c r="C212" s="174"/>
      <c r="D212" s="174"/>
      <c r="E212" s="177" t="n">
        <f aca="false">E167</f>
        <v>646.803606816898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2641.24367498587</v>
      </c>
      <c r="B224" s="103" t="str">
        <f aca="false">B182</f>
        <v>199.99</v>
      </c>
      <c r="C224" s="103"/>
      <c r="D224" s="113"/>
      <c r="E224" s="103" t="n">
        <f aca="false">E182</f>
        <v>26141.2276749859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630.112697725989</v>
      </c>
      <c r="B230" s="103" t="n">
        <f aca="false">B167</f>
        <v>16.6909090909091</v>
      </c>
      <c r="C230" s="186"/>
      <c r="D230" s="186"/>
      <c r="E230" s="103" t="n">
        <f aca="false">E167</f>
        <v>646.803606816898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18960</v>
      </c>
      <c r="B233" s="103" t="n">
        <f aca="false">E185</f>
        <v>18970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96.8749833333334</v>
      </c>
      <c r="C240" s="93"/>
      <c r="D240" s="93"/>
      <c r="E240" s="103" t="n">
        <f aca="false">E188</f>
        <v>3.06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2199.92498333333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1281.40967498587</v>
      </c>
      <c r="C254" s="197"/>
      <c r="D254" s="198" t="s">
        <v>216</v>
      </c>
      <c r="E254" s="198"/>
      <c r="F254" s="200" t="n">
        <f aca="false">F261+F267+F269+B270+B271</f>
        <v>116.24998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130.59</v>
      </c>
      <c r="C255" s="197"/>
      <c r="D255" s="198" t="s">
        <v>218</v>
      </c>
      <c r="E255" s="198"/>
      <c r="F255" s="200" t="n">
        <f aca="false">(B254-F254)+B255</f>
        <v>1295.74969498587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B254</f>
        <v>1281.40967498587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116.24998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30.6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1295.74969498587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12870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354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327.219550127424</v>
      </c>
      <c r="F33" s="232"/>
      <c r="G33" s="232"/>
      <c r="H33" s="47"/>
      <c r="I33" s="2"/>
      <c r="J33" s="34" t="s">
        <v>355</v>
      </c>
      <c r="K33" s="48" t="n">
        <f aca="false">E21</f>
        <v>19458.33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327.219550127424</v>
      </c>
      <c r="B36" s="232" t="str">
        <f aca="false">IF(B26="YES", K42, "0.00")</f>
        <v>0.00</v>
      </c>
      <c r="C36" s="232"/>
      <c r="D36" s="232"/>
      <c r="E36" s="232" t="n">
        <f aca="false">K31</f>
        <v>12870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84</v>
      </c>
      <c r="K39" s="2" t="n">
        <f aca="false">K33</f>
        <v>19458.33</v>
      </c>
      <c r="L39" s="2" t="n">
        <f aca="false">(L47*K46)+K44</f>
        <v>34883.9688626243</v>
      </c>
      <c r="N39" s="1" t="n">
        <f aca="false">K39-L39</f>
        <v>-15425.6388626243</v>
      </c>
      <c r="P39" s="212"/>
    </row>
    <row r="40" customFormat="false" ht="17.35" hidden="false" customHeight="false" outlineLevel="0" collapsed="false">
      <c r="A40" s="107" t="n">
        <f aca="false">E36*A45/100</f>
        <v>12870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10725</v>
      </c>
      <c r="L40" s="2" t="n">
        <f aca="false">K39-L39</f>
        <v>-15425.6388626243</v>
      </c>
      <c r="N40" s="1" t="n">
        <f aca="false">N38-N39</f>
        <v>18337.3188626243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8781.97777262587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366</v>
      </c>
      <c r="K45" s="2" t="n">
        <f aca="false">(K39-K44)</f>
        <v>10676.3522273741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327.219550127424</v>
      </c>
      <c r="L47" s="2" t="n">
        <f aca="false">L49-K42</f>
        <v>800</v>
      </c>
      <c r="M47" s="1" t="n">
        <f aca="false">K47-L47</f>
        <v>-472.780449872576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327.219550127424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327.219550127424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6131.67022335031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193.749966666667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3039.45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405.26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327.219550127424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327.219550127424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327.219550127424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327.219550127424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23249.996</v>
      </c>
      <c r="C81" s="93"/>
      <c r="D81" s="93"/>
      <c r="E81" s="113"/>
      <c r="F81" s="25" t="s">
        <v>105</v>
      </c>
      <c r="G81" s="27" t="n">
        <f aca="false">G158</f>
        <v>23249.996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12870</v>
      </c>
      <c r="C82" s="93"/>
      <c r="D82" s="93"/>
      <c r="E82" s="113"/>
      <c r="F82" s="31" t="s">
        <v>106</v>
      </c>
      <c r="G82" s="33" t="n">
        <f aca="false">IF(A111 = "Yes", A40, 0)</f>
        <v>12870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12870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12870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0.137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0.0114166666666667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8552.53253064461</v>
      </c>
      <c r="C86" s="93"/>
      <c r="D86" s="93"/>
      <c r="E86" s="113"/>
      <c r="F86" s="31" t="s">
        <v>110</v>
      </c>
      <c r="G86" s="33" t="n">
        <f aca="false">(G82/((1+G84)^(G85+1)))</f>
        <v>10595.4561826731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8706.14119896876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8706.14119896876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28.719487222345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14697.4634693554</v>
      </c>
      <c r="C88" s="93"/>
      <c r="D88" s="93"/>
      <c r="E88" s="113"/>
      <c r="F88" s="31" t="s">
        <v>112</v>
      </c>
      <c r="G88" s="33" t="n">
        <f aca="false">G81-G86</f>
        <v>12654.5398173269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511.759257941073</v>
      </c>
      <c r="C89" s="93"/>
      <c r="D89" s="93"/>
      <c r="E89" s="113"/>
      <c r="F89" s="31" t="s">
        <v>113</v>
      </c>
      <c r="G89" s="33" t="n">
        <f aca="false">(G88/G87)</f>
        <v>397.888688422533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17911.5740279376</v>
      </c>
      <c r="C90" s="93"/>
      <c r="D90" s="93"/>
      <c r="E90" s="113"/>
      <c r="F90" s="31" t="s">
        <v>114</v>
      </c>
      <c r="G90" s="33" t="n">
        <f aca="false">((G89*(G85))+G77)</f>
        <v>13926.1040947887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17911.5740279376</v>
      </c>
      <c r="C92" s="93"/>
      <c r="D92" s="93"/>
      <c r="E92" s="113"/>
      <c r="F92" s="56" t="s">
        <v>116</v>
      </c>
      <c r="G92" s="65" t="n">
        <f aca="false">(G90+G91)</f>
        <v>13926.1040947887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511.759257941073</v>
      </c>
      <c r="C95" s="93"/>
      <c r="D95" s="93"/>
      <c r="E95" s="113"/>
      <c r="F95" s="95" t="s">
        <v>118</v>
      </c>
      <c r="G95" s="96" t="n">
        <f aca="false">G92/(G85)</f>
        <v>397.888688422533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511.759257941073</v>
      </c>
      <c r="C96" s="93"/>
      <c r="D96" s="93"/>
      <c r="E96" s="113"/>
      <c r="F96" s="97" t="s">
        <v>119</v>
      </c>
      <c r="G96" s="98" t="n">
        <f aca="false">G94+G95</f>
        <v>397.888688422533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0.137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19458.33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23349.996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23349.996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23349.996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19458.33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19458.33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-17708.33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511.759257941073</v>
      </c>
      <c r="B167" s="177" t="str">
        <f aca="false">B94</f>
        <v>0</v>
      </c>
      <c r="C167" s="174"/>
      <c r="D167" s="174"/>
      <c r="E167" s="177" t="n">
        <f aca="false">B96</f>
        <v>511.759257941073</v>
      </c>
      <c r="F167" s="23"/>
      <c r="G167" s="23" t="n">
        <f aca="false">ROUND(G95, 2)</f>
        <v>397.89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12870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12870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12870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12870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7531.57802793757</v>
      </c>
      <c r="B182" s="103" t="str">
        <f aca="false">B114</f>
        <v>239.99</v>
      </c>
      <c r="C182" s="103"/>
      <c r="D182" s="23"/>
      <c r="E182" s="103" t="n">
        <f aca="false">E179+A182+B182+A185</f>
        <v>31031.5640279376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E170+A185</f>
        <v>12880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12890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12880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12880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0</v>
      </c>
      <c r="B188" s="103" t="n">
        <f aca="false">(G158*B67)</f>
        <v>232.49996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332.491626666667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511.759257941073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3546.154</v>
      </c>
      <c r="B201" s="186" t="n">
        <f aca="false">E179+A201+B182+A185</f>
        <v>27046.14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511.759257941073</v>
      </c>
      <c r="B212" s="177" t="str">
        <f aca="false">B167</f>
        <v>0</v>
      </c>
      <c r="C212" s="174"/>
      <c r="D212" s="174"/>
      <c r="E212" s="177" t="n">
        <f aca="false">E167</f>
        <v>511.759257941073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7531.57802793757</v>
      </c>
      <c r="B224" s="103" t="str">
        <f aca="false">B182</f>
        <v>239.99</v>
      </c>
      <c r="C224" s="103"/>
      <c r="D224" s="113"/>
      <c r="E224" s="103" t="n">
        <f aca="false">E182</f>
        <v>31031.5640279376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511.759257941073</v>
      </c>
      <c r="B230" s="103" t="str">
        <f aca="false">B167</f>
        <v>0</v>
      </c>
      <c r="C230" s="186"/>
      <c r="D230" s="186"/>
      <c r="E230" s="103" t="n">
        <f aca="false">E167</f>
        <v>511.759257941073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12870</v>
      </c>
      <c r="B233" s="103" t="n">
        <f aca="false">E185</f>
        <v>12880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193.749966666667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2293.74163333333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3995.42402793757</v>
      </c>
      <c r="C254" s="197"/>
      <c r="D254" s="198" t="s">
        <v>216</v>
      </c>
      <c r="E254" s="198"/>
      <c r="F254" s="200" t="n">
        <f aca="false">F261+F267+F269+B270+B271</f>
        <v>232.49996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3862.91573460424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0.137</v>
      </c>
      <c r="C260" s="43"/>
      <c r="D260" s="166" t="s">
        <v>215</v>
      </c>
      <c r="E260" s="166"/>
      <c r="F260" s="146" t="n">
        <f aca="false">B254</f>
        <v>3995.42402793757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232.49996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3862.91573460424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12870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354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333.780090159443</v>
      </c>
      <c r="F33" s="232"/>
      <c r="G33" s="232"/>
      <c r="H33" s="47"/>
      <c r="I33" s="2"/>
      <c r="J33" s="34" t="s">
        <v>355</v>
      </c>
      <c r="K33" s="48" t="n">
        <f aca="false">E21</f>
        <v>19458.33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333.780090159443</v>
      </c>
      <c r="B36" s="232" t="str">
        <f aca="false">IF(B26="YES", K42, "0.00")</f>
        <v>0.00</v>
      </c>
      <c r="C36" s="232"/>
      <c r="D36" s="232"/>
      <c r="E36" s="232" t="n">
        <f aca="false">K31</f>
        <v>12870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84</v>
      </c>
      <c r="K39" s="2" t="n">
        <f aca="false">K33</f>
        <v>19458.33</v>
      </c>
      <c r="L39" s="2" t="n">
        <f aca="false">(L47*K46)+K44</f>
        <v>34557.5445366948</v>
      </c>
      <c r="N39" s="1" t="n">
        <f aca="false">K39-L39</f>
        <v>-15099.2145366948</v>
      </c>
      <c r="P39" s="212"/>
    </row>
    <row r="40" customFormat="false" ht="17.35" hidden="false" customHeight="false" outlineLevel="0" collapsed="false">
      <c r="A40" s="107" t="n">
        <f aca="false">E36*A45/100</f>
        <v>12870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10725</v>
      </c>
      <c r="L40" s="2" t="n">
        <f aca="false">K39-L39</f>
        <v>-15099.2145366948</v>
      </c>
      <c r="N40" s="1" t="n">
        <f aca="false">N38-N39</f>
        <v>18010.8945366948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8648.37297538827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366</v>
      </c>
      <c r="K45" s="2" t="n">
        <f aca="false">(K39-K44)</f>
        <v>10809.9570246117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333.780090159443</v>
      </c>
      <c r="L47" s="2" t="n">
        <f aca="false">L49-K42</f>
        <v>800</v>
      </c>
      <c r="M47" s="1" t="n">
        <f aca="false">K47-L47</f>
        <v>-466.219909840557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333.780090159443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333.780090159443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4949.00364228608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193.749966666667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3039.45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405.26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333.780090159443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333.780090159443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333.780090159443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333.780090159443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23249.996</v>
      </c>
      <c r="C81" s="93"/>
      <c r="D81" s="93"/>
      <c r="E81" s="113"/>
      <c r="F81" s="25" t="s">
        <v>105</v>
      </c>
      <c r="G81" s="27" t="n">
        <f aca="false">G158</f>
        <v>23249.996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12870</v>
      </c>
      <c r="C82" s="93"/>
      <c r="D82" s="93"/>
      <c r="E82" s="113"/>
      <c r="F82" s="31" t="s">
        <v>106</v>
      </c>
      <c r="G82" s="33" t="n">
        <f aca="false">IF(A111 = "Yes", A40, 0)</f>
        <v>12870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12870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12870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8995.16410170282</v>
      </c>
      <c r="C86" s="93"/>
      <c r="D86" s="93"/>
      <c r="E86" s="113"/>
      <c r="F86" s="31" t="s">
        <v>110</v>
      </c>
      <c r="G86" s="33" t="n">
        <f aca="false">(G82/((1+G84)^(G85+1)))</f>
        <v>10438.5861812936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8706.14119896876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8706.14119896876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14254.8318982972</v>
      </c>
      <c r="C88" s="93"/>
      <c r="D88" s="93"/>
      <c r="E88" s="113"/>
      <c r="F88" s="31" t="s">
        <v>112</v>
      </c>
      <c r="G88" s="33" t="n">
        <f aca="false">G81-G86</f>
        <v>12811.4098187064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484.716768229315</v>
      </c>
      <c r="C89" s="93"/>
      <c r="D89" s="93"/>
      <c r="E89" s="113"/>
      <c r="F89" s="31" t="s">
        <v>113</v>
      </c>
      <c r="G89" s="33" t="n">
        <f aca="false">(G88/G87)</f>
        <v>405.740408807746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16965.086888026</v>
      </c>
      <c r="C90" s="93"/>
      <c r="D90" s="93"/>
      <c r="E90" s="113"/>
      <c r="F90" s="31" t="s">
        <v>114</v>
      </c>
      <c r="G90" s="33" t="n">
        <f aca="false">((G89*(G85))+G77)</f>
        <v>14200.9143082711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16965.086888026</v>
      </c>
      <c r="C92" s="93"/>
      <c r="D92" s="93"/>
      <c r="E92" s="113"/>
      <c r="F92" s="56" t="s">
        <v>116</v>
      </c>
      <c r="G92" s="65" t="n">
        <f aca="false">(G90+G91)</f>
        <v>14200.9143082711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484.716768229315</v>
      </c>
      <c r="C95" s="93"/>
      <c r="D95" s="93"/>
      <c r="E95" s="113"/>
      <c r="F95" s="95" t="s">
        <v>118</v>
      </c>
      <c r="G95" s="96" t="n">
        <f aca="false">G92/(G85)</f>
        <v>405.740408807746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484.716768229315</v>
      </c>
      <c r="C96" s="93"/>
      <c r="D96" s="93"/>
      <c r="E96" s="113"/>
      <c r="F96" s="97" t="s">
        <v>119</v>
      </c>
      <c r="G96" s="98" t="n">
        <f aca="false">G94+G95</f>
        <v>405.740408807746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234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19458.33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23349.996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23349.996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23349.996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19458.33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19458.33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-17708.33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484.716768229315</v>
      </c>
      <c r="B167" s="177" t="str">
        <f aca="false">B94</f>
        <v>0</v>
      </c>
      <c r="C167" s="174"/>
      <c r="D167" s="174"/>
      <c r="E167" s="177" t="n">
        <f aca="false">B96</f>
        <v>484.716768229315</v>
      </c>
      <c r="F167" s="23"/>
      <c r="G167" s="23" t="n">
        <f aca="false">ROUND(G95, 2)</f>
        <v>405.74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12870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12870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12870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12870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6585.09088802604</v>
      </c>
      <c r="B182" s="103" t="str">
        <f aca="false">B114</f>
        <v>199.99</v>
      </c>
      <c r="C182" s="103"/>
      <c r="D182" s="23"/>
      <c r="E182" s="103" t="n">
        <f aca="false">E179+A182+(B182*1.2)+A185</f>
        <v>30085.074888026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E170+A185</f>
        <v>12880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12890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12880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12880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0</v>
      </c>
      <c r="B188" s="103" t="n">
        <f aca="false">(G158*B67)/1.2</f>
        <v>193.749966666667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293.739966666667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484.716768229315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3820.904</v>
      </c>
      <c r="B201" s="186" t="n">
        <f aca="false">E179+A201+(B182*1.2)+A185</f>
        <v>27320.888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484.716768229315</v>
      </c>
      <c r="B212" s="177" t="str">
        <f aca="false">B167</f>
        <v>0</v>
      </c>
      <c r="C212" s="174"/>
      <c r="D212" s="174"/>
      <c r="E212" s="177" t="n">
        <f aca="false">E167</f>
        <v>484.716768229315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6585.09088802604</v>
      </c>
      <c r="B224" s="103" t="str">
        <f aca="false">B182</f>
        <v>199.99</v>
      </c>
      <c r="C224" s="103"/>
      <c r="D224" s="113"/>
      <c r="E224" s="103" t="n">
        <f aca="false">E182</f>
        <v>30085.074888026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484.716768229315</v>
      </c>
      <c r="B230" s="103" t="str">
        <f aca="false">B167</f>
        <v>0</v>
      </c>
      <c r="C230" s="186"/>
      <c r="D230" s="186"/>
      <c r="E230" s="103" t="n">
        <f aca="false">E167</f>
        <v>484.716768229315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12870</v>
      </c>
      <c r="B233" s="103" t="n">
        <f aca="false">E185</f>
        <v>12880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193.749966666667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2293.73996666667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2774.18688802604</v>
      </c>
      <c r="C254" s="197"/>
      <c r="D254" s="198" t="s">
        <v>216</v>
      </c>
      <c r="E254" s="198"/>
      <c r="F254" s="200" t="n">
        <f aca="false">F261+F267+F269+B270+B271</f>
        <v>232.49996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2641.67692802604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2774.18688802604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232.49996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2641.67692802604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353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354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611.815958095289</v>
      </c>
      <c r="E33" s="216"/>
      <c r="F33" s="63"/>
      <c r="G33" s="219" t="s">
        <v>355</v>
      </c>
      <c r="H33" s="460" t="n">
        <f aca="false">E21-E11</f>
        <v>19458.33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371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356</v>
      </c>
      <c r="B35" s="215" t="s">
        <v>357</v>
      </c>
      <c r="C35" s="215"/>
      <c r="D35" s="215" t="s">
        <v>358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611.815958095289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359</v>
      </c>
      <c r="B39" s="215" t="s">
        <v>360</v>
      </c>
      <c r="C39" s="215"/>
      <c r="D39" s="215" t="s">
        <v>361</v>
      </c>
      <c r="E39" s="216"/>
      <c r="F39" s="63"/>
      <c r="G39" s="63" t="s">
        <v>84</v>
      </c>
      <c r="H39" s="238" t="n">
        <f aca="false">H33</f>
        <v>19458.33</v>
      </c>
      <c r="I39" s="238" t="n">
        <f aca="false">(I48*H46)+H44</f>
        <v>44525.9095313712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-25067.5795313712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362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363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364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372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373</v>
      </c>
      <c r="H45" s="238" t="n">
        <f aca="false">(H39-H44)</f>
        <v>19458.33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374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368</v>
      </c>
      <c r="H47" s="238" t="n">
        <f aca="false">H45/H46</f>
        <v>611.815958095289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369</v>
      </c>
      <c r="H48" s="238" t="n">
        <f aca="false">IF(B26="YES", H47+H42, H47)</f>
        <v>611.815958095289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370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611.815958095289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375</v>
      </c>
      <c r="B60" s="215" t="n">
        <f aca="false">E19</f>
        <v>23349.996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457.270755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22.1428571428571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11441.6666666667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326.904761904762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611.815958095289</v>
      </c>
      <c r="C83" s="473"/>
      <c r="D83" s="215"/>
      <c r="E83" s="466" t="n">
        <f aca="false">B83+E80+E77+E64</f>
        <v>932.371513650844</v>
      </c>
      <c r="F83" s="63"/>
      <c r="G83" s="305" t="s">
        <v>104</v>
      </c>
      <c r="H83" s="306" t="n">
        <f aca="false">H47</f>
        <v>611.815958095289</v>
      </c>
      <c r="I83" s="215"/>
      <c r="J83" s="215"/>
      <c r="K83" s="216"/>
      <c r="L83" s="63"/>
      <c r="M83" s="305" t="s">
        <v>104</v>
      </c>
      <c r="N83" s="306" t="n">
        <f aca="false">H47</f>
        <v>611.815958095289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32855.2252000018</v>
      </c>
      <c r="C85" s="473"/>
      <c r="D85" s="473"/>
      <c r="E85" s="466" t="n">
        <f aca="false">B85/(B58+B57)</f>
        <v>938.720720000051</v>
      </c>
      <c r="F85" s="63"/>
      <c r="G85" s="288" t="s">
        <v>114</v>
      </c>
      <c r="H85" s="131" t="n">
        <f aca="false">((H83*H29)+H81)*1.2</f>
        <v>26953.2702400021</v>
      </c>
      <c r="I85" s="215"/>
      <c r="J85" s="215"/>
      <c r="K85" s="216"/>
      <c r="L85" s="63"/>
      <c r="M85" s="288" t="s">
        <v>114</v>
      </c>
      <c r="N85" s="131" t="n">
        <f aca="false">((N83*H29)+N81)</f>
        <v>22131.0585333351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278.321794755965</v>
      </c>
      <c r="C86" s="473" t="s">
        <v>230</v>
      </c>
      <c r="D86" s="215"/>
      <c r="E86" s="466" t="n">
        <f aca="false">B86/(B58+B57)</f>
        <v>7.95205127874186</v>
      </c>
      <c r="F86" s="63"/>
      <c r="G86" s="214" t="s">
        <v>115</v>
      </c>
      <c r="H86" s="300" t="n">
        <f aca="false">((((H83*H29)+H81))/(1-H70))*H70</f>
        <v>190.271169503847</v>
      </c>
      <c r="I86" s="215"/>
      <c r="J86" s="215"/>
      <c r="K86" s="216"/>
      <c r="L86" s="63"/>
      <c r="M86" s="214" t="s">
        <v>115</v>
      </c>
      <c r="N86" s="300" t="n">
        <f aca="false">(N85/(1-N70))*N70</f>
        <v>187.475687454634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33133.5469947577</v>
      </c>
      <c r="C87" s="473"/>
      <c r="D87" s="475"/>
      <c r="E87" s="466" t="n">
        <f aca="false">E86+E85</f>
        <v>946.672771278792</v>
      </c>
      <c r="F87" s="63"/>
      <c r="G87" s="285" t="s">
        <v>116</v>
      </c>
      <c r="H87" s="133" t="n">
        <f aca="false">IF(H110="YES",((H85+H86)-K114),(H85+H86))</f>
        <v>27143.541409506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22318.5342207897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946.672771278792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678.588535237649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557.963355519743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946.672771278792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678.588535237649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557.963355519743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376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262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264</v>
      </c>
      <c r="I99" s="312"/>
      <c r="J99" s="107" t="n">
        <v>0</v>
      </c>
      <c r="K99" s="107"/>
      <c r="L99" s="63"/>
      <c r="M99" s="220" t="s">
        <v>286</v>
      </c>
      <c r="N99" s="312" t="s">
        <v>264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263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264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377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265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251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678.588535237649</v>
      </c>
      <c r="H127" s="177" t="n">
        <f aca="false">IF(G105="YES", H89*H57, 0)</f>
        <v>0</v>
      </c>
      <c r="I127" s="177"/>
      <c r="J127" s="334" t="n">
        <f aca="false">H91</f>
        <v>678.588535237649</v>
      </c>
      <c r="K127" s="216"/>
      <c r="L127" s="63"/>
      <c r="M127" s="333" t="n">
        <f aca="false">N90</f>
        <v>557.963355519743</v>
      </c>
      <c r="N127" s="177" t="n">
        <f aca="false">IF(M105="YES", N89*N57, 0)</f>
        <v>0</v>
      </c>
      <c r="O127" s="177"/>
      <c r="P127" s="177" t="n">
        <f aca="false">N91</f>
        <v>557.963355519743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946.672771278792</v>
      </c>
      <c r="B128" s="321" t="n">
        <f aca="false">IF(A105="YES", B89, 0)</f>
        <v>0</v>
      </c>
      <c r="C128" s="325"/>
      <c r="D128" s="321" t="n">
        <f aca="false">B91</f>
        <v>946.672771278792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946.672771278792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240</v>
      </c>
      <c r="O132" s="215"/>
      <c r="P132" s="215" t="s">
        <v>244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4071.5312114259</v>
      </c>
      <c r="H133" s="103" t="n">
        <f aca="false">IF(G105="YES", H89*H57, 0)</f>
        <v>0</v>
      </c>
      <c r="I133" s="221"/>
      <c r="J133" s="184" t="n">
        <f aca="false">H91*H57</f>
        <v>4071.5312114259</v>
      </c>
      <c r="K133" s="216"/>
      <c r="L133" s="63"/>
      <c r="M133" s="185" t="n">
        <f aca="false">N90*N57</f>
        <v>3347.78013311846</v>
      </c>
      <c r="N133" s="103" t="n">
        <f aca="false">IF(M105="YES", N89*N57, 0)</f>
        <v>0</v>
      </c>
      <c r="O133" s="221"/>
      <c r="P133" s="184" t="n">
        <f aca="false">N91*N57</f>
        <v>3347.78013311846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946.672771278792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253</v>
      </c>
      <c r="N135" s="215" t="s">
        <v>254</v>
      </c>
      <c r="O135" s="215"/>
      <c r="P135" s="215" t="s">
        <v>258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946.672771278792</v>
      </c>
      <c r="B137" s="38" t="n">
        <f aca="false">IF(A105="YES", B89, 0)</f>
        <v>0</v>
      </c>
      <c r="C137" s="317"/>
      <c r="D137" s="38" t="n">
        <f aca="false">B91</f>
        <v>946.672771278792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457.270755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957.260755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678.588535237649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557.963355519743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946.672771278792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946.672771278792</v>
      </c>
      <c r="B177" s="355" t="n">
        <f aca="false">IF(A105="YES", B89, 0)</f>
        <v>0</v>
      </c>
      <c r="C177" s="357"/>
      <c r="D177" s="355" t="n">
        <f aca="false">B91</f>
        <v>946.672771278792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946.672771278792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946.672771278792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946.672771278792</v>
      </c>
      <c r="B186" s="103" t="n">
        <f aca="false">IF(A105="YES", B89, 0)</f>
        <v>0</v>
      </c>
      <c r="C186" s="353"/>
      <c r="D186" s="103" t="n">
        <f aca="false">B91</f>
        <v>946.672771278792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457.270755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957.260755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457.270755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9882.719245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457.270755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9882.719245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278.321794755965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353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12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16950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354</v>
      </c>
      <c r="E32" s="216"/>
      <c r="F32" s="63"/>
      <c r="G32" s="218" t="s">
        <v>36</v>
      </c>
      <c r="I32" s="449" t="n">
        <v>944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12</v>
      </c>
      <c r="B33" s="229" t="n">
        <v>10000</v>
      </c>
      <c r="C33" s="230"/>
      <c r="D33" s="459" t="n">
        <f aca="false">H48</f>
        <v>1367.31071518751</v>
      </c>
      <c r="E33" s="216"/>
      <c r="F33" s="63"/>
      <c r="G33" s="219" t="s">
        <v>355</v>
      </c>
      <c r="H33" s="460" t="n">
        <f aca="false">E21-E11</f>
        <v>19458.33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371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356</v>
      </c>
      <c r="B35" s="215" t="s">
        <v>357</v>
      </c>
      <c r="C35" s="215"/>
      <c r="D35" s="215" t="s">
        <v>358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1343.71071518751</v>
      </c>
      <c r="B36" s="103" t="n">
        <f aca="false">IF(B26="YES", H42, "")</f>
        <v>23.6</v>
      </c>
      <c r="C36" s="221"/>
      <c r="D36" s="184" t="n">
        <f aca="false">H31</f>
        <v>16950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359</v>
      </c>
      <c r="B39" s="215" t="s">
        <v>360</v>
      </c>
      <c r="C39" s="215"/>
      <c r="D39" s="215" t="s">
        <v>361</v>
      </c>
      <c r="E39" s="216"/>
      <c r="F39" s="63"/>
      <c r="G39" s="63" t="s">
        <v>84</v>
      </c>
      <c r="H39" s="238" t="n">
        <f aca="false">H33</f>
        <v>19458.33</v>
      </c>
      <c r="I39" s="238" t="n">
        <f aca="false">(I48*H46)+H44</f>
        <v>19836.1239918763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5085</v>
      </c>
      <c r="B40" s="107" t="n">
        <f aca="false">IF(B26="YES",H42,"0")</f>
        <v>23.6</v>
      </c>
      <c r="C40" s="107"/>
      <c r="D40" s="184" t="n">
        <f aca="false">I32</f>
        <v>944</v>
      </c>
      <c r="E40" s="216"/>
      <c r="F40" s="63"/>
      <c r="G40" s="63" t="s">
        <v>106</v>
      </c>
      <c r="H40" s="238" t="n">
        <f aca="false">A40/1.2</f>
        <v>4237.5</v>
      </c>
      <c r="I40" s="238" t="n">
        <f aca="false">H39-I39</f>
        <v>-377.793991876333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362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363</v>
      </c>
      <c r="H42" s="238" t="n">
        <f aca="false">(I32/H34)*(C45/100)</f>
        <v>23.6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364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372</v>
      </c>
      <c r="H44" s="238" t="n">
        <f aca="false">(H40/(1+H41)^(H34+1))</f>
        <v>3928.90383085353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373</v>
      </c>
      <c r="H45" s="238" t="n">
        <f aca="false">(H39-H44)</f>
        <v>15529.4261691465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374</v>
      </c>
      <c r="H46" s="238" t="n">
        <f aca="false">((1-(1/((1+H41)^H34)))/H41)</f>
        <v>11.5571201402374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368</v>
      </c>
      <c r="H47" s="238" t="n">
        <f aca="false">H45/H46</f>
        <v>1343.71071518751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369</v>
      </c>
      <c r="H48" s="238" t="n">
        <f aca="false">IF(B26="YES", H47+H42, H47)</f>
        <v>1367.31071518751</v>
      </c>
      <c r="I48" s="238" t="n">
        <f aca="false">I49-H42</f>
        <v>1376.4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370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H48</f>
        <v>1367.31071518751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11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11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11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375</v>
      </c>
      <c r="B60" s="215" t="n">
        <f aca="false">E19</f>
        <v>23349.996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0.07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833.333333333333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233.49996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472" t="n">
        <f aca="false">B73+B71</f>
        <v>260</v>
      </c>
      <c r="E73" s="216" t="s">
        <v>227</v>
      </c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285" t="s">
        <v>99</v>
      </c>
      <c r="N73" s="133" t="n">
        <f aca="false">N72*H29</f>
        <v>54</v>
      </c>
      <c r="O73" s="215"/>
      <c r="P73" s="291" t="n">
        <f aca="false">N73+N71</f>
        <v>214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275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297.916666666667</v>
      </c>
      <c r="C76" s="215"/>
      <c r="D76" s="291" t="n">
        <f aca="false">B76</f>
        <v>297.916666666667</v>
      </c>
      <c r="E76" s="216"/>
      <c r="F76" s="63"/>
      <c r="G76" s="285" t="s">
        <v>281</v>
      </c>
      <c r="H76" s="133" t="n">
        <f aca="false">((H74+H75)/12)*(H29-11)</f>
        <v>13.75</v>
      </c>
      <c r="I76" s="215"/>
      <c r="J76" s="291" t="n">
        <f aca="false">H76</f>
        <v>13.75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37.037037037037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79.8263888888889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11624.5833333333</v>
      </c>
      <c r="C81" s="473"/>
      <c r="D81" s="474"/>
      <c r="E81" s="466"/>
      <c r="F81" s="63"/>
      <c r="G81" s="303" t="s">
        <v>102</v>
      </c>
      <c r="H81" s="304" t="n">
        <f aca="false">SUM(J64:J80)</f>
        <v>627.75</v>
      </c>
      <c r="I81" s="215"/>
      <c r="J81" s="215"/>
      <c r="K81" s="216"/>
      <c r="L81" s="63"/>
      <c r="M81" s="303" t="s">
        <v>102</v>
      </c>
      <c r="N81" s="304" t="n">
        <f aca="false">SUM(P64:P80)</f>
        <v>614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968.715277777778</v>
      </c>
      <c r="C82" s="473"/>
      <c r="D82" s="215"/>
      <c r="E82" s="466"/>
      <c r="F82" s="63"/>
      <c r="G82" s="214" t="s">
        <v>103</v>
      </c>
      <c r="H82" s="300" t="n">
        <f aca="false">H81/H29</f>
        <v>52.3125</v>
      </c>
      <c r="I82" s="215"/>
      <c r="J82" s="215"/>
      <c r="K82" s="216"/>
      <c r="L82" s="63"/>
      <c r="M82" s="214" t="s">
        <v>103</v>
      </c>
      <c r="N82" s="300" t="n">
        <f aca="false">N81/H29</f>
        <v>51.1666666666667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1343.71071518751</v>
      </c>
      <c r="C83" s="473"/>
      <c r="D83" s="215"/>
      <c r="E83" s="466" t="n">
        <f aca="false">B83+E80+E77+E64</f>
        <v>2293.90747444677</v>
      </c>
      <c r="F83" s="63"/>
      <c r="G83" s="305" t="s">
        <v>104</v>
      </c>
      <c r="H83" s="306" t="n">
        <f aca="false">H47</f>
        <v>1343.71071518751</v>
      </c>
      <c r="I83" s="215"/>
      <c r="J83" s="215"/>
      <c r="K83" s="216"/>
      <c r="L83" s="63"/>
      <c r="M83" s="305" t="s">
        <v>104</v>
      </c>
      <c r="N83" s="306" t="n">
        <f aca="false">H47</f>
        <v>1343.71071518751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33298.9342987002</v>
      </c>
      <c r="C85" s="473"/>
      <c r="D85" s="473"/>
      <c r="E85" s="466" t="n">
        <f aca="false">B85/(B58+B57)</f>
        <v>2774.91119155835</v>
      </c>
      <c r="F85" s="63"/>
      <c r="G85" s="288" t="s">
        <v>114</v>
      </c>
      <c r="H85" s="131" t="n">
        <f aca="false">((H83*H29)+H81)*1.2</f>
        <v>20102.7342987002</v>
      </c>
      <c r="I85" s="215"/>
      <c r="J85" s="215"/>
      <c r="K85" s="216"/>
      <c r="L85" s="63"/>
      <c r="M85" s="288" t="s">
        <v>114</v>
      </c>
      <c r="N85" s="131" t="n">
        <f aca="false">((N83*H29)+N81)</f>
        <v>16738.5285822502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235.067103762507</v>
      </c>
      <c r="C86" s="473" t="s">
        <v>230</v>
      </c>
      <c r="D86" s="215"/>
      <c r="E86" s="466" t="n">
        <f aca="false">B86/(B58+B57)</f>
        <v>19.5889253135422</v>
      </c>
      <c r="F86" s="63"/>
      <c r="G86" s="214" t="s">
        <v>115</v>
      </c>
      <c r="H86" s="300" t="n">
        <f aca="false">((((H83*H29)+H81))/(1-H70))*H70</f>
        <v>141.911194121522</v>
      </c>
      <c r="I86" s="215"/>
      <c r="J86" s="215"/>
      <c r="K86" s="216"/>
      <c r="L86" s="63"/>
      <c r="M86" s="214" t="s">
        <v>115</v>
      </c>
      <c r="N86" s="300" t="n">
        <f aca="false">(N85/(1-N70))*N70</f>
        <v>141.794715702805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33534.0014024627</v>
      </c>
      <c r="C87" s="473"/>
      <c r="D87" s="475"/>
      <c r="E87" s="466" t="n">
        <f aca="false">E86+E85</f>
        <v>2794.50011687189</v>
      </c>
      <c r="F87" s="63"/>
      <c r="G87" s="285" t="s">
        <v>116</v>
      </c>
      <c r="H87" s="133" t="n">
        <f aca="false">IF(H110="YES",((H85+H86)-K114),(H85+H86))</f>
        <v>20244.6454928217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16880.323297953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36.816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79.9623529411765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66.6352941176471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2794.50011687189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1190.86149957775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992.960193997234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2831.31611687189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1270.82385251893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1059.59548811488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376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262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264</v>
      </c>
      <c r="I99" s="312"/>
      <c r="J99" s="107" t="n">
        <v>0</v>
      </c>
      <c r="K99" s="107"/>
      <c r="L99" s="63"/>
      <c r="M99" s="220" t="s">
        <v>286</v>
      </c>
      <c r="N99" s="312" t="s">
        <v>264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263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264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377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265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(E118)+E117-E114</f>
        <v>-2760.01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251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1190.86149957775</v>
      </c>
      <c r="H127" s="177" t="n">
        <f aca="false">IF(G105="YES", H89*H57, 0)</f>
        <v>479.774117647059</v>
      </c>
      <c r="I127" s="177"/>
      <c r="J127" s="334" t="n">
        <f aca="false">H91</f>
        <v>1270.82385251893</v>
      </c>
      <c r="K127" s="216"/>
      <c r="L127" s="63"/>
      <c r="M127" s="333" t="n">
        <f aca="false">N90</f>
        <v>992.960193997234</v>
      </c>
      <c r="N127" s="177" t="n">
        <f aca="false">IF(M105="YES", N89*N57, 0)</f>
        <v>399.811764705882</v>
      </c>
      <c r="O127" s="177"/>
      <c r="P127" s="177" t="n">
        <f aca="false">N91</f>
        <v>1059.59548811488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2794.50011687189</v>
      </c>
      <c r="B128" s="321" t="n">
        <f aca="false">IF(A105="YES", B89, 0)</f>
        <v>36.816</v>
      </c>
      <c r="C128" s="325"/>
      <c r="D128" s="321" t="n">
        <f aca="false">B91</f>
        <v>2831.31611687189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12</v>
      </c>
      <c r="H130" s="229" t="n">
        <f aca="false">B151</f>
        <v>0</v>
      </c>
      <c r="I130" s="230"/>
      <c r="J130" s="229" t="n">
        <f aca="false">B58</f>
        <v>11</v>
      </c>
      <c r="K130" s="216"/>
      <c r="L130" s="63"/>
      <c r="M130" s="228" t="n">
        <f aca="false">M155</f>
        <v>12</v>
      </c>
      <c r="N130" s="229" t="n">
        <f aca="false">B151</f>
        <v>0</v>
      </c>
      <c r="O130" s="230"/>
      <c r="P130" s="229" t="n">
        <f aca="false">B58</f>
        <v>11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2794.50011687189</v>
      </c>
      <c r="C131" s="317"/>
      <c r="D131" s="38" t="n">
        <f aca="false">IF(A105="YES", B89*B57, 0)</f>
        <v>36.816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240</v>
      </c>
      <c r="O132" s="215"/>
      <c r="P132" s="215" t="s">
        <v>244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7145.16899746649</v>
      </c>
      <c r="H133" s="103" t="n">
        <f aca="false">IF(G105="YES", H89*H57, 0)</f>
        <v>479.774117647059</v>
      </c>
      <c r="I133" s="221"/>
      <c r="J133" s="184" t="n">
        <f aca="false">H91*H57</f>
        <v>7624.94311511355</v>
      </c>
      <c r="K133" s="216"/>
      <c r="L133" s="63"/>
      <c r="M133" s="185" t="n">
        <f aca="false">N90*N57</f>
        <v>5957.76116398341</v>
      </c>
      <c r="N133" s="103" t="n">
        <f aca="false">IF(M105="YES", N89*N57, 0)</f>
        <v>399.811764705882</v>
      </c>
      <c r="O133" s="221"/>
      <c r="P133" s="184" t="n">
        <f aca="false">N91*N57</f>
        <v>6357.57292868929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2831.31611687189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253</v>
      </c>
      <c r="N135" s="215" t="s">
        <v>254</v>
      </c>
      <c r="O135" s="215"/>
      <c r="P135" s="215" t="s">
        <v>258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2794.50011687189</v>
      </c>
      <c r="B137" s="38" t="n">
        <f aca="false">IF(A105="YES", B89, 0)</f>
        <v>36.816</v>
      </c>
      <c r="C137" s="317"/>
      <c r="D137" s="38" t="n">
        <f aca="false">B91</f>
        <v>2831.31611687189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5.664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5.664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233.49996</v>
      </c>
      <c r="B148" s="103" t="n">
        <f aca="false">B102</f>
        <v>400</v>
      </c>
      <c r="C148" s="38"/>
      <c r="D148" s="38" t="n">
        <f aca="false">IF(A105="YES", (B40*B105)*B125, 0)*0.1</f>
        <v>8.496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741.987626666667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1270.82385251893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12</v>
      </c>
      <c r="N155" s="74" t="n">
        <f aca="false">N91</f>
        <v>1059.59548811488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2831.31611687189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12</v>
      </c>
      <c r="C174" s="357"/>
      <c r="D174" s="324" t="n">
        <f aca="false">D125</f>
        <v>35000</v>
      </c>
      <c r="E174" s="322"/>
      <c r="F174" s="63"/>
      <c r="G174" s="387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2794.50011687189</v>
      </c>
      <c r="B177" s="355" t="n">
        <f aca="false">IF(A105="YES", B89, 0)</f>
        <v>36.816</v>
      </c>
      <c r="C177" s="357"/>
      <c r="D177" s="355" t="n">
        <f aca="false">B91</f>
        <v>2831.31611687189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2794.50011687189</v>
      </c>
      <c r="C180" s="353"/>
      <c r="D180" s="103" t="n">
        <f aca="false">IF(A105="YES", B89*B57, 0)</f>
        <v>36.816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2831.31611687189</v>
      </c>
      <c r="B183" s="103" t="n">
        <f aca="false">E114</f>
        <v>4000</v>
      </c>
      <c r="C183" s="353"/>
      <c r="D183" s="361" t="n">
        <f aca="false">B58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2794.50011687189</v>
      </c>
      <c r="B186" s="103" t="n">
        <f aca="false">IF(A105="YES", B89, 0)</f>
        <v>36.816</v>
      </c>
      <c r="C186" s="353"/>
      <c r="D186" s="103" t="n">
        <f aca="false">B91</f>
        <v>2831.31611687189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233.49996</v>
      </c>
      <c r="B197" s="103" t="n">
        <f aca="false">B102</f>
        <v>400</v>
      </c>
      <c r="C197" s="103"/>
      <c r="D197" s="103" t="n">
        <f aca="false">IF(A105="YES", (B40*B105)*B125, 0)*0.1</f>
        <v>8.496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741.987626666667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424.951666666667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10191.4517066667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233.49996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10191.4517066667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84.96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235.067103762507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353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12</v>
      </c>
      <c r="I29" s="387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16950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354</v>
      </c>
      <c r="E32" s="216"/>
      <c r="F32" s="63"/>
      <c r="G32" s="218" t="s">
        <v>36</v>
      </c>
      <c r="I32" s="449" t="n">
        <v>944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12</v>
      </c>
      <c r="B33" s="229" t="n">
        <v>10000</v>
      </c>
      <c r="C33" s="230"/>
      <c r="D33" s="459" t="n">
        <f aca="false">H48</f>
        <v>1361.90265862212</v>
      </c>
      <c r="E33" s="216"/>
      <c r="F33" s="63"/>
      <c r="G33" s="219" t="s">
        <v>355</v>
      </c>
      <c r="H33" s="460" t="n">
        <f aca="false">E21-E11</f>
        <v>19458.33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371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356</v>
      </c>
      <c r="B35" s="215" t="s">
        <v>357</v>
      </c>
      <c r="C35" s="215"/>
      <c r="D35" s="215" t="s">
        <v>358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1338.30265862212</v>
      </c>
      <c r="B36" s="103" t="n">
        <f aca="false">IF(B26="YES", H42, "")</f>
        <v>23.6</v>
      </c>
      <c r="C36" s="221"/>
      <c r="D36" s="184" t="n">
        <f aca="false">H31</f>
        <v>16950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359</v>
      </c>
      <c r="B39" s="215" t="s">
        <v>360</v>
      </c>
      <c r="C39" s="215"/>
      <c r="D39" s="215" t="s">
        <v>361</v>
      </c>
      <c r="E39" s="216"/>
      <c r="F39" s="63"/>
      <c r="G39" s="63" t="s">
        <v>84</v>
      </c>
      <c r="H39" s="238" t="n">
        <f aca="false">H33</f>
        <v>19458.33</v>
      </c>
      <c r="I39" s="238" t="n">
        <f aca="false">(I48*H46)+H44</f>
        <v>19899.8007205679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5085</v>
      </c>
      <c r="B40" s="107" t="n">
        <f aca="false">IF(B26="YES",H42,"0")</f>
        <v>23.6</v>
      </c>
      <c r="C40" s="107"/>
      <c r="D40" s="184" t="n">
        <f aca="false">I32</f>
        <v>944</v>
      </c>
      <c r="E40" s="216"/>
      <c r="F40" s="63"/>
      <c r="G40" s="63" t="s">
        <v>106</v>
      </c>
      <c r="H40" s="238" t="n">
        <f aca="false">A40/1.2</f>
        <v>4237.5</v>
      </c>
      <c r="I40" s="238" t="n">
        <f aca="false">H39-I39</f>
        <v>-441.470720567886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362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363</v>
      </c>
      <c r="H42" s="238" t="n">
        <f aca="false">(I32/H34)*(C45/100)</f>
        <v>23.6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364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372</v>
      </c>
      <c r="H44" s="238" t="n">
        <f aca="false">(H40/(1+H41)^(H34+1))</f>
        <v>3950.1234514237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373</v>
      </c>
      <c r="H45" s="238" t="n">
        <f aca="false">(H39-H44)</f>
        <v>15508.2065485763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374</v>
      </c>
      <c r="H46" s="238" t="n">
        <f aca="false">((1-(1/((1+H41)^H34)))/H41)</f>
        <v>11.5879666297182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368</v>
      </c>
      <c r="H47" s="238" t="n">
        <f aca="false">H45/H46</f>
        <v>1338.30265862212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369</v>
      </c>
      <c r="H48" s="238" t="n">
        <f aca="false">IF(B26="YES", H47+H42, H47)</f>
        <v>1361.90265862212</v>
      </c>
      <c r="I48" s="238" t="n">
        <f aca="false">I49-H42</f>
        <v>1376.4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370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H48</f>
        <v>1361.90265862212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11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11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11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375</v>
      </c>
      <c r="B60" s="215" t="n">
        <f aca="false">E19</f>
        <v>23349.996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0.07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1634.49972</v>
      </c>
      <c r="C64" s="465" t="n">
        <v>10000</v>
      </c>
      <c r="D64" s="291" t="n">
        <f aca="false">B64</f>
        <v>1634.49972</v>
      </c>
      <c r="E64" s="466" t="n">
        <f aca="false">D64/(B58+B57)</f>
        <v>136.20831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233.49996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472" t="n">
        <f aca="false">B73+B71</f>
        <v>260</v>
      </c>
      <c r="E73" s="216" t="s">
        <v>227</v>
      </c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285" t="s">
        <v>99</v>
      </c>
      <c r="N73" s="133" t="n">
        <f aca="false">N72*H29</f>
        <v>54</v>
      </c>
      <c r="O73" s="215"/>
      <c r="P73" s="291" t="n">
        <f aca="false">N73+N71</f>
        <v>214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275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297.916666666667</v>
      </c>
      <c r="C76" s="215"/>
      <c r="D76" s="291" t="n">
        <f aca="false">B76</f>
        <v>297.916666666667</v>
      </c>
      <c r="E76" s="216"/>
      <c r="F76" s="63"/>
      <c r="G76" s="285" t="s">
        <v>281</v>
      </c>
      <c r="H76" s="133" t="n">
        <f aca="false">((H74+H75)/12)*(H29-11)</f>
        <v>13.75</v>
      </c>
      <c r="I76" s="215"/>
      <c r="J76" s="291" t="n">
        <f aca="false">H76</f>
        <v>13.75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79.8263888888889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2592.41638666667</v>
      </c>
      <c r="C81" s="473"/>
      <c r="D81" s="474"/>
      <c r="E81" s="466"/>
      <c r="F81" s="63"/>
      <c r="G81" s="303" t="s">
        <v>102</v>
      </c>
      <c r="H81" s="304" t="n">
        <f aca="false">SUM(J64:J80)</f>
        <v>627.75</v>
      </c>
      <c r="I81" s="215"/>
      <c r="J81" s="215"/>
      <c r="K81" s="216"/>
      <c r="L81" s="63"/>
      <c r="M81" s="303" t="s">
        <v>102</v>
      </c>
      <c r="N81" s="304" t="n">
        <f aca="false">SUM(P64:P80)</f>
        <v>614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216.034698888889</v>
      </c>
      <c r="C82" s="473"/>
      <c r="D82" s="215"/>
      <c r="E82" s="466"/>
      <c r="F82" s="63"/>
      <c r="G82" s="214" t="s">
        <v>103</v>
      </c>
      <c r="H82" s="300" t="n">
        <f aca="false">H81/H29</f>
        <v>52.3125</v>
      </c>
      <c r="I82" s="215"/>
      <c r="J82" s="215"/>
      <c r="K82" s="216"/>
      <c r="L82" s="63"/>
      <c r="M82" s="214" t="s">
        <v>103</v>
      </c>
      <c r="N82" s="300" t="n">
        <f aca="false">N81/H29</f>
        <v>51.1666666666667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1338.30265862212</v>
      </c>
      <c r="C83" s="473"/>
      <c r="D83" s="215"/>
      <c r="E83" s="466" t="n">
        <f aca="false">B83+E80+E77+E64</f>
        <v>1554.33735751101</v>
      </c>
      <c r="F83" s="63"/>
      <c r="G83" s="305" t="s">
        <v>104</v>
      </c>
      <c r="H83" s="306" t="n">
        <f aca="false">H47</f>
        <v>1338.30265862212</v>
      </c>
      <c r="I83" s="215"/>
      <c r="J83" s="215"/>
      <c r="K83" s="216"/>
      <c r="L83" s="63"/>
      <c r="M83" s="305" t="s">
        <v>104</v>
      </c>
      <c r="N83" s="306" t="n">
        <f aca="false">H47</f>
        <v>1338.30265862212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18652.0482901321</v>
      </c>
      <c r="C85" s="473"/>
      <c r="D85" s="473"/>
      <c r="E85" s="466" t="n">
        <f aca="false">B85/(B58+B57)</f>
        <v>1554.33735751101</v>
      </c>
      <c r="F85" s="63"/>
      <c r="G85" s="288" t="s">
        <v>114</v>
      </c>
      <c r="H85" s="131" t="n">
        <f aca="false">((H83*H29)+H81)*1.2</f>
        <v>20024.8582841585</v>
      </c>
      <c r="I85" s="215"/>
      <c r="J85" s="215"/>
      <c r="K85" s="216"/>
      <c r="L85" s="63"/>
      <c r="M85" s="288" t="s">
        <v>114</v>
      </c>
      <c r="N85" s="131" t="n">
        <f aca="false">((N83*H29)+N81)</f>
        <v>16673.6319034654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158.004442957956</v>
      </c>
      <c r="C86" s="473" t="s">
        <v>230</v>
      </c>
      <c r="D86" s="215"/>
      <c r="E86" s="466" t="n">
        <f aca="false">B86/(B58+B57)</f>
        <v>13.167036913163</v>
      </c>
      <c r="F86" s="63"/>
      <c r="G86" s="214" t="s">
        <v>115</v>
      </c>
      <c r="H86" s="300" t="n">
        <f aca="false">((((H83*H29)+H81))/(1-H70))*H70</f>
        <v>141.361444119715</v>
      </c>
      <c r="I86" s="215"/>
      <c r="J86" s="215"/>
      <c r="K86" s="216"/>
      <c r="L86" s="63"/>
      <c r="M86" s="214" t="s">
        <v>115</v>
      </c>
      <c r="N86" s="300" t="n">
        <f aca="false">(N85/(1-N70))*N70</f>
        <v>141.244965700998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18810.05273309</v>
      </c>
      <c r="C87" s="473"/>
      <c r="D87" s="475"/>
      <c r="E87" s="466" t="n">
        <f aca="false">E86+E85</f>
        <v>1567.50439442417</v>
      </c>
      <c r="F87" s="63"/>
      <c r="G87" s="285" t="s">
        <v>116</v>
      </c>
      <c r="H87" s="133" t="n">
        <f aca="false">IF(H110="YES",((H85+H86)-K114),(H85+H86))</f>
        <v>20166.2197282782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16814.8768691664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28.32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79.9623529411765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66.6352941176471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1567.50439442417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1186.24821931048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989.110404068612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1595.82439442417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1266.21057225166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1055.74569818626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376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262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0</v>
      </c>
      <c r="E99" s="107"/>
      <c r="F99" s="63"/>
      <c r="G99" s="220" t="s">
        <v>286</v>
      </c>
      <c r="H99" s="312" t="s">
        <v>264</v>
      </c>
      <c r="I99" s="312"/>
      <c r="J99" s="107" t="n">
        <v>0</v>
      </c>
      <c r="K99" s="107"/>
      <c r="L99" s="63"/>
      <c r="M99" s="220" t="s">
        <v>286</v>
      </c>
      <c r="N99" s="312" t="s">
        <v>264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263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264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377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265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0</v>
      </c>
      <c r="E113" s="107" t="n">
        <v>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0</v>
      </c>
      <c r="E114" s="167" t="n">
        <f aca="false">E112-E113</f>
        <v>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239.988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251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1186.24821931048</v>
      </c>
      <c r="H127" s="177" t="n">
        <f aca="false">IF(G105="YES", H89*H57, 0)</f>
        <v>479.774117647059</v>
      </c>
      <c r="I127" s="177"/>
      <c r="J127" s="334" t="n">
        <f aca="false">H91</f>
        <v>1266.21057225166</v>
      </c>
      <c r="K127" s="216"/>
      <c r="L127" s="63"/>
      <c r="M127" s="333" t="n">
        <f aca="false">N90</f>
        <v>989.110404068612</v>
      </c>
      <c r="N127" s="177" t="n">
        <f aca="false">IF(M105="YES", N89*N57, 0)</f>
        <v>399.811764705882</v>
      </c>
      <c r="O127" s="177"/>
      <c r="P127" s="177" t="n">
        <f aca="false">N91</f>
        <v>1055.74569818626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1567.50439442417</v>
      </c>
      <c r="B128" s="321" t="n">
        <f aca="false">IF(A105="YES", B89, 0)</f>
        <v>28.32</v>
      </c>
      <c r="C128" s="325"/>
      <c r="D128" s="321" t="n">
        <f aca="false">B91</f>
        <v>1595.82439442417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12</v>
      </c>
      <c r="H130" s="229" t="n">
        <f aca="false">B151</f>
        <v>0</v>
      </c>
      <c r="I130" s="230"/>
      <c r="J130" s="229" t="n">
        <f aca="false">B58</f>
        <v>11</v>
      </c>
      <c r="K130" s="216"/>
      <c r="L130" s="63"/>
      <c r="M130" s="228" t="n">
        <f aca="false">M155</f>
        <v>12</v>
      </c>
      <c r="N130" s="229" t="n">
        <f aca="false">B151</f>
        <v>0</v>
      </c>
      <c r="O130" s="230"/>
      <c r="P130" s="229" t="n">
        <f aca="false">B58</f>
        <v>11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1567.50439442417</v>
      </c>
      <c r="C131" s="317"/>
      <c r="D131" s="38" t="n">
        <f aca="false">IF(A105="YES", B89*B57, 0)</f>
        <v>28.32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240</v>
      </c>
      <c r="O132" s="215"/>
      <c r="P132" s="215" t="s">
        <v>244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7117.4893158629</v>
      </c>
      <c r="H133" s="103" t="n">
        <f aca="false">IF(G105="YES", H89*H57, 0)</f>
        <v>479.774117647059</v>
      </c>
      <c r="I133" s="221"/>
      <c r="J133" s="184" t="n">
        <f aca="false">H91*H57</f>
        <v>7597.26343350996</v>
      </c>
      <c r="K133" s="216"/>
      <c r="L133" s="63"/>
      <c r="M133" s="185" t="n">
        <f aca="false">N90*N57</f>
        <v>5934.66242441167</v>
      </c>
      <c r="N133" s="103" t="n">
        <f aca="false">IF(M105="YES", N89*N57, 0)</f>
        <v>399.811764705882</v>
      </c>
      <c r="O133" s="221"/>
      <c r="P133" s="184" t="n">
        <f aca="false">N91*N57</f>
        <v>6334.47418911756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1595.82439442417</v>
      </c>
      <c r="B134" s="38" t="n">
        <f aca="false">E114</f>
        <v>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253</v>
      </c>
      <c r="N135" s="215" t="s">
        <v>254</v>
      </c>
      <c r="O135" s="215"/>
      <c r="P135" s="215" t="s">
        <v>258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1567.50439442417</v>
      </c>
      <c r="B137" s="38" t="n">
        <f aca="false">IF(A105="YES", B89, 0)</f>
        <v>28.32</v>
      </c>
      <c r="C137" s="317"/>
      <c r="D137" s="38" t="n">
        <f aca="false">B91</f>
        <v>1595.82439442417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5.664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5.664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233.49996</v>
      </c>
      <c r="B148" s="103" t="n">
        <f aca="false">B102</f>
        <v>0</v>
      </c>
      <c r="C148" s="38"/>
      <c r="D148" s="38" t="n">
        <f aca="false">IF(A105="YES", (B40*B105)*B125, 0)*0.1</f>
        <v>5.664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339.15396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1266.21057225166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12</v>
      </c>
      <c r="N155" s="74" t="n">
        <f aca="false">N91</f>
        <v>1055.74569818626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1595.82439442417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12</v>
      </c>
      <c r="C174" s="357"/>
      <c r="D174" s="324" t="n">
        <f aca="false">D125</f>
        <v>35000</v>
      </c>
      <c r="E174" s="322"/>
      <c r="F174" s="63"/>
      <c r="G174" s="387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1567.50439442417</v>
      </c>
      <c r="B177" s="355" t="n">
        <f aca="false">IF(A105="YES", B89, 0)</f>
        <v>28.32</v>
      </c>
      <c r="C177" s="357"/>
      <c r="D177" s="355" t="n">
        <f aca="false">B91</f>
        <v>1595.82439442417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1567.50439442417</v>
      </c>
      <c r="C180" s="353"/>
      <c r="D180" s="103" t="n">
        <f aca="false">IF(A105="YES", B89*B57, 0)</f>
        <v>28.32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1595.82439442417</v>
      </c>
      <c r="B183" s="103" t="n">
        <f aca="false">E114</f>
        <v>0</v>
      </c>
      <c r="C183" s="353"/>
      <c r="D183" s="361" t="n">
        <f aca="false">B58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1567.50439442417</v>
      </c>
      <c r="B186" s="103" t="n">
        <f aca="false">IF(A105="YES", B89, 0)</f>
        <v>28.32</v>
      </c>
      <c r="C186" s="353"/>
      <c r="D186" s="103" t="n">
        <f aca="false">B91</f>
        <v>1595.82439442417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233.49996</v>
      </c>
      <c r="B197" s="103" t="n">
        <f aca="false">B102</f>
        <v>0</v>
      </c>
      <c r="C197" s="103"/>
      <c r="D197" s="103" t="n">
        <f aca="false">IF(A105="YES", (B40*B105)*B125, 0)*0.1</f>
        <v>5.664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339.15396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156.63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1557.62976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1634.49972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233.49996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1557.62976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56.64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158.004442957956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25899.996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387</v>
      </c>
      <c r="B34" s="32"/>
      <c r="C34" s="41" t="s">
        <v>388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21583.33</v>
      </c>
      <c r="B37" s="32"/>
      <c r="C37" s="41" t="s">
        <v>389</v>
      </c>
      <c r="D37" s="41"/>
      <c r="E37" s="32"/>
      <c r="F37" s="43" t="n">
        <f aca="false">A37-C37</f>
        <v>20583.33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387</v>
      </c>
      <c r="B40" s="32"/>
      <c r="C40" s="54" t="n">
        <f aca="false">A34-1</f>
        <v>11</v>
      </c>
      <c r="D40" s="54"/>
      <c r="E40" s="32"/>
      <c r="F40" s="41" t="s">
        <v>390</v>
      </c>
      <c r="G40" s="41"/>
      <c r="H40" s="47"/>
      <c r="J40" s="2" t="s">
        <v>58</v>
      </c>
      <c r="K40" s="2" t="n">
        <f aca="false">C15</f>
        <v>4316.666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276.388833333333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223.611166666667</v>
      </c>
      <c r="L45" s="2"/>
    </row>
    <row r="46" customFormat="false" ht="17.35" hidden="false" customHeight="false" outlineLevel="0" collapsed="false">
      <c r="A46" s="40" t="s">
        <v>391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226.277833333333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226.277833333333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392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226.277833333333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16251.4691518466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139.99998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226.277833333333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226.277833333333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226.277833333333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20583.33</v>
      </c>
      <c r="C90" s="32"/>
      <c r="D90" s="32"/>
      <c r="E90" s="23"/>
      <c r="F90" s="25" t="s">
        <v>105</v>
      </c>
      <c r="G90" s="27" t="n">
        <f aca="false">F37</f>
        <v>20583.33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5295.78483323301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15287.545166767</v>
      </c>
      <c r="C97" s="32"/>
      <c r="D97" s="32"/>
      <c r="E97" s="23"/>
      <c r="F97" s="31" t="s">
        <v>112</v>
      </c>
      <c r="G97" s="33" t="n">
        <f aca="false">G90-G95</f>
        <v>14959.9389154658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1478.49719562242</v>
      </c>
      <c r="C98" s="32"/>
      <c r="D98" s="32"/>
      <c r="E98" s="23"/>
      <c r="F98" s="31" t="s">
        <v>113</v>
      </c>
      <c r="G98" s="33" t="n">
        <f aca="false">(G97/G96)</f>
        <v>1404.59219211175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16263.4691518466</v>
      </c>
      <c r="C99" s="32"/>
      <c r="D99" s="32"/>
      <c r="E99" s="23"/>
      <c r="F99" s="31" t="s">
        <v>114</v>
      </c>
      <c r="G99" s="33" t="n">
        <f aca="false">((G98*(G94))+G86)</f>
        <v>15450.5141132292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16263.4691518466</v>
      </c>
      <c r="C101" s="32"/>
      <c r="D101" s="32"/>
      <c r="E101" s="23"/>
      <c r="F101" s="56" t="s">
        <v>116</v>
      </c>
      <c r="G101" s="65" t="n">
        <f aca="false">(G99+G100)</f>
        <v>15450.5141132292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1478.49719562242</v>
      </c>
      <c r="C104" s="32"/>
      <c r="D104" s="32"/>
      <c r="E104" s="23"/>
      <c r="F104" s="95" t="s">
        <v>118</v>
      </c>
      <c r="G104" s="96" t="n">
        <f aca="false">G101/(G94)</f>
        <v>1404.59219211175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1478.49719562242</v>
      </c>
      <c r="C105" s="32"/>
      <c r="D105" s="32"/>
      <c r="E105" s="23" t="s">
        <v>394</v>
      </c>
      <c r="F105" s="97" t="s">
        <v>119</v>
      </c>
      <c r="G105" s="98" t="n">
        <f aca="false">G103+G104</f>
        <v>1404.59219211175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395</v>
      </c>
      <c r="C108" s="23"/>
      <c r="D108" s="23" t="n">
        <v>0.0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394</v>
      </c>
      <c r="B111" s="28" t="n">
        <v>0.0</v>
      </c>
      <c r="C111" s="28"/>
      <c r="D111" s="28"/>
      <c r="E111" s="28" t="n">
        <v>0.0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393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25899.996</v>
      </c>
      <c r="C130" s="121" t="n">
        <v>23333.33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25899.996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25899.996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25899.996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25899.996</v>
      </c>
      <c r="C134" s="133" t="n">
        <f aca="false">C130-C133</f>
        <v>23333.33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21583.33</v>
      </c>
      <c r="H144" s="153" t="n">
        <f aca="false">C134+E134+G134+H137</f>
        <v>23333.33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4316.666</v>
      </c>
      <c r="H146" s="33" t="n">
        <f aca="false">(H144+H145)*20%</f>
        <v>4666.666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25899.996</v>
      </c>
      <c r="H150" s="157" t="n">
        <f aca="false">(H144+H145+H148+H149+H146)-H147</f>
        <v>27999.996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0.0</v>
      </c>
      <c r="F152" s="111"/>
      <c r="G152" s="33" t="n">
        <v>0.0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0.0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25899.996</v>
      </c>
      <c r="H156" s="164" t="n">
        <f aca="false">H150-((H153*1.2)+(H154*1.2)+(H155*1.2)+(H151*1.2))</f>
        <v>27999.996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1750</v>
      </c>
      <c r="I157" s="1" t="n">
        <f aca="false">(H157-G90)/1.2</f>
        <v>-15694.4416666667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27999.996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1478.49719562242</v>
      </c>
      <c r="B176" s="177" t="n">
        <f aca="false">B103</f>
        <v>0</v>
      </c>
      <c r="C176" s="174"/>
      <c r="D176" s="174"/>
      <c r="E176" s="177" t="n">
        <f aca="false">B105</f>
        <v>1478.49719562242</v>
      </c>
      <c r="F176" s="23"/>
      <c r="G176" s="23" t="n">
        <f aca="false">ROUND(G104, 2)</f>
        <v>1404.59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23333.33</v>
      </c>
      <c r="B182" s="103" t="n">
        <f aca="false">H146</f>
        <v>4666.666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27999.996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27999.996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-5736.5268481534</v>
      </c>
      <c r="B191" s="103" t="str">
        <f aca="false">B123</f>
        <v>239.99</v>
      </c>
      <c r="C191" s="103"/>
      <c r="D191" s="23"/>
      <c r="E191" s="103" t="n">
        <f aca="false">E188+A191+B191+A194</f>
        <v>22513.4591518466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8.97696</v>
      </c>
      <c r="B197" s="103" t="n">
        <f aca="false">(G167*B76)/1.2</f>
        <v>116.66665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216.658316666667</v>
      </c>
      <c r="C200" s="93"/>
      <c r="D200" s="93"/>
      <c r="E200" s="103" t="n">
        <f aca="false">H157</f>
        <v>1750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1478.49719562242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-6549.506</v>
      </c>
      <c r="B210" s="186" t="n">
        <f aca="false">E188+A210+B191+A194</f>
        <v>21700.48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1478.49719562242</v>
      </c>
      <c r="B221" s="177" t="n">
        <f aca="false">B176</f>
        <v>0</v>
      </c>
      <c r="C221" s="174"/>
      <c r="D221" s="174"/>
      <c r="E221" s="177" t="n">
        <f aca="false">E176</f>
        <v>1478.49719562242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23333.33</v>
      </c>
      <c r="B224" s="103" t="n">
        <f aca="false">B182</f>
        <v>4666.666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27999.996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27999.996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-5736.5268481534</v>
      </c>
      <c r="B233" s="103" t="str">
        <f aca="false">B191</f>
        <v>239.99</v>
      </c>
      <c r="C233" s="103"/>
      <c r="D233" s="113"/>
      <c r="E233" s="103" t="n">
        <f aca="false">E191</f>
        <v>22513.4591518466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1478.49719562242</v>
      </c>
      <c r="B239" s="103" t="n">
        <f aca="false">B176</f>
        <v>0</v>
      </c>
      <c r="C239" s="186"/>
      <c r="D239" s="186"/>
      <c r="E239" s="103" t="n">
        <f aca="false">E176</f>
        <v>1478.49719562242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26.93088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8.97696</v>
      </c>
      <c r="B245" s="103" t="n">
        <f aca="false">E242+A245</f>
        <v>35.90784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1750</v>
      </c>
      <c r="B249" s="103" t="n">
        <f aca="false">B197</f>
        <v>116.66665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1966.65831666667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822.979151846601</v>
      </c>
      <c r="C263" s="197"/>
      <c r="D263" s="198" t="s">
        <v>216</v>
      </c>
      <c r="E263" s="198"/>
      <c r="F263" s="200" t="n">
        <f aca="false">F270+F276+F278+B279+B280</f>
        <v>139.99998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782.970838513268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0.1255</v>
      </c>
      <c r="C269" s="43"/>
      <c r="D269" s="166" t="s">
        <v>215</v>
      </c>
      <c r="E269" s="166"/>
      <c r="F269" s="146" t="n">
        <f aca="false">B263</f>
        <v>822.979151846601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139.99998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782.970838513268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25899.996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21583.33</v>
      </c>
      <c r="B37" s="32"/>
      <c r="C37" s="41" t="s">
        <v>45</v>
      </c>
      <c r="D37" s="41"/>
      <c r="E37" s="32"/>
      <c r="F37" s="43" t="n">
        <f aca="false">A37-C37</f>
        <v>20583.33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4316.666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276.388833333333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223.611166666667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226.277833333333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226.277833333333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248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226.277833333333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16251.4691518466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139.99998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226.277833333333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226.277833333333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226.277833333333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20583.33</v>
      </c>
      <c r="C90" s="32"/>
      <c r="D90" s="32"/>
      <c r="E90" s="23"/>
      <c r="F90" s="25" t="s">
        <v>105</v>
      </c>
      <c r="G90" s="27" t="n">
        <f aca="false">F37</f>
        <v>20583.33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5295.78483323301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15287.545166767</v>
      </c>
      <c r="C97" s="32"/>
      <c r="D97" s="32"/>
      <c r="E97" s="23"/>
      <c r="F97" s="31" t="s">
        <v>112</v>
      </c>
      <c r="G97" s="33" t="n">
        <f aca="false">G90-G95</f>
        <v>14959.9389154658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1478.49719562242</v>
      </c>
      <c r="C98" s="32"/>
      <c r="D98" s="32"/>
      <c r="E98" s="23"/>
      <c r="F98" s="31" t="s">
        <v>113</v>
      </c>
      <c r="G98" s="33" t="n">
        <f aca="false">(G97/G96)</f>
        <v>1404.59219211175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16263.4691518466</v>
      </c>
      <c r="C99" s="32"/>
      <c r="D99" s="32"/>
      <c r="E99" s="23"/>
      <c r="F99" s="31" t="s">
        <v>114</v>
      </c>
      <c r="G99" s="33" t="n">
        <f aca="false">((G98*(G94))+G86)</f>
        <v>15450.5141132292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16263.4691518466</v>
      </c>
      <c r="C101" s="32"/>
      <c r="D101" s="32"/>
      <c r="E101" s="23"/>
      <c r="F101" s="56" t="s">
        <v>116</v>
      </c>
      <c r="G101" s="65" t="n">
        <f aca="false">(G99+G100)</f>
        <v>15450.5141132292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1478.49719562242</v>
      </c>
      <c r="C104" s="32"/>
      <c r="D104" s="32"/>
      <c r="E104" s="23"/>
      <c r="F104" s="95" t="s">
        <v>118</v>
      </c>
      <c r="G104" s="96" t="n">
        <f aca="false">G101/(G94)</f>
        <v>1404.59219211175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1478.49719562242</v>
      </c>
      <c r="C105" s="32"/>
      <c r="D105" s="32"/>
      <c r="E105" s="23" t="s">
        <v>18</v>
      </c>
      <c r="F105" s="97" t="s">
        <v>119</v>
      </c>
      <c r="G105" s="98" t="n">
        <f aca="false">G103+G104</f>
        <v>1404.59219211175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234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234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25899.996</v>
      </c>
      <c r="C130" s="121" t="n">
        <v>23333.33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25899.996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25899.996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25899.996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25899.996</v>
      </c>
      <c r="C134" s="133" t="n">
        <f aca="false">C130-C133</f>
        <v>23333.33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21583.33</v>
      </c>
      <c r="H144" s="153" t="n">
        <f aca="false">C134+E134+G134+H137</f>
        <v>23333.33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4316.666</v>
      </c>
      <c r="H146" s="33" t="n">
        <f aca="false">(H144+H145)*20%</f>
        <v>4666.666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25899.996</v>
      </c>
      <c r="H150" s="157" t="n">
        <f aca="false">(H144+H145+H148+H149+H146)-H147</f>
        <v>27999.996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25899.996</v>
      </c>
      <c r="H156" s="164" t="n">
        <f aca="false">H150-((H153*1.2)+(H154*1.2)+(H155*1.2)+(H151*1.2))</f>
        <v>27999.996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1750</v>
      </c>
      <c r="I157" s="1" t="n">
        <f aca="false">(H157-G90)/1.2</f>
        <v>-15694.4416666667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27999.996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1478.49719562242</v>
      </c>
      <c r="B176" s="177" t="n">
        <f aca="false">B103</f>
        <v>0</v>
      </c>
      <c r="C176" s="174"/>
      <c r="D176" s="174"/>
      <c r="E176" s="177" t="n">
        <f aca="false">B105</f>
        <v>1478.49719562242</v>
      </c>
      <c r="F176" s="23"/>
      <c r="G176" s="23" t="n">
        <f aca="false">ROUND(G104, 2)</f>
        <v>1404.59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23333.33</v>
      </c>
      <c r="B182" s="103" t="n">
        <f aca="false">H146</f>
        <v>4666.666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27999.996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27999.996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-5736.5268481534</v>
      </c>
      <c r="B191" s="103" t="str">
        <f aca="false">B123</f>
        <v>199.99</v>
      </c>
      <c r="C191" s="103"/>
      <c r="D191" s="23"/>
      <c r="E191" s="103" t="n">
        <f aca="false">E188+A191+(B191*1.2)+A194</f>
        <v>22513.4571518466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7.4808</v>
      </c>
      <c r="B197" s="103" t="n">
        <f aca="false">(G167*B76)/1.2</f>
        <v>116.66665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216.65665</v>
      </c>
      <c r="C200" s="93"/>
      <c r="D200" s="93"/>
      <c r="E200" s="103" t="n">
        <f aca="false">H157</f>
        <v>1750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1478.49719562242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-6549.506</v>
      </c>
      <c r="B210" s="186" t="n">
        <f aca="false">E188+A210+(B191*1.2)+A194</f>
        <v>21700.478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1478.49719562242</v>
      </c>
      <c r="B221" s="177" t="n">
        <f aca="false">B176</f>
        <v>0</v>
      </c>
      <c r="C221" s="174"/>
      <c r="D221" s="174"/>
      <c r="E221" s="177" t="n">
        <f aca="false">E176</f>
        <v>1478.49719562242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23333.33</v>
      </c>
      <c r="B224" s="103" t="n">
        <f aca="false">B182</f>
        <v>4666.666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27999.996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27999.996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-5736.5268481534</v>
      </c>
      <c r="B233" s="103" t="str">
        <f aca="false">B191</f>
        <v>199.99</v>
      </c>
      <c r="C233" s="103"/>
      <c r="D233" s="113"/>
      <c r="E233" s="103" t="n">
        <f aca="false">E191</f>
        <v>22513.4571518466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1478.49719562242</v>
      </c>
      <c r="B239" s="103" t="n">
        <f aca="false">B176</f>
        <v>0</v>
      </c>
      <c r="C239" s="186"/>
      <c r="D239" s="186"/>
      <c r="E239" s="103" t="n">
        <f aca="false">E176</f>
        <v>1478.49719562242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22.4424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7.4808</v>
      </c>
      <c r="B245" s="103" t="n">
        <f aca="false">E242+A245</f>
        <v>29.9232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1750</v>
      </c>
      <c r="B249" s="103" t="n">
        <f aca="false">B197</f>
        <v>116.66665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1966.65665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822.979151846601</v>
      </c>
      <c r="C263" s="197"/>
      <c r="D263" s="198" t="s">
        <v>216</v>
      </c>
      <c r="E263" s="198"/>
      <c r="F263" s="200" t="n">
        <f aca="false">F270+F276+F278+B279+B280</f>
        <v>139.99998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782.969171846601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0.1255</v>
      </c>
      <c r="C269" s="43"/>
      <c r="D269" s="166" t="s">
        <v>215</v>
      </c>
      <c r="E269" s="166"/>
      <c r="F269" s="146" t="n">
        <f aca="false">B263</f>
        <v>822.979151846601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139.99998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782.969171846601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25899.996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238</v>
      </c>
      <c r="B29" s="223" t="n">
        <v>12345</v>
      </c>
      <c r="C29" s="223"/>
      <c r="D29" s="224" t="n">
        <f aca="true">TODAY()+1</f>
        <v>45196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242</v>
      </c>
      <c r="H32" s="225" t="n">
        <f aca="false">A41</f>
        <v>0</v>
      </c>
      <c r="I32" s="0"/>
      <c r="J32" s="44" t="s">
        <v>37</v>
      </c>
      <c r="K32" s="45" t="s">
        <v>379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247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20583.33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256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18391.3512932031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262.4999625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20583.33</v>
      </c>
      <c r="C81" s="93"/>
      <c r="D81" s="93"/>
      <c r="E81" s="113"/>
      <c r="F81" s="25" t="s">
        <v>105</v>
      </c>
      <c r="G81" s="27" t="n">
        <f aca="false">B81</f>
        <v>20583.33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16203.4767407538</v>
      </c>
      <c r="C88" s="93" t="n">
        <f aca="false">B81-B86</f>
        <v>16203.4767407538</v>
      </c>
      <c r="D88" s="93"/>
      <c r="E88" s="113"/>
      <c r="F88" s="31" t="s">
        <v>112</v>
      </c>
      <c r="G88" s="33" t="n">
        <f aca="false">G81-G86</f>
        <v>15563.019207262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590.36609154896</v>
      </c>
      <c r="C89" s="93" t="n">
        <f aca="false">(B88/B87)</f>
        <v>590.36609154896</v>
      </c>
      <c r="D89" s="93"/>
      <c r="E89" s="113"/>
      <c r="F89" s="31" t="s">
        <v>113</v>
      </c>
      <c r="G89" s="33" t="n">
        <f aca="false">(G88/G87)</f>
        <v>531.023962411339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18891.7149295667</v>
      </c>
      <c r="C90" s="93"/>
      <c r="D90" s="93"/>
      <c r="E90" s="113"/>
      <c r="F90" s="31" t="s">
        <v>114</v>
      </c>
      <c r="G90" s="33" t="n">
        <f aca="false">((G89*(G85))+G77)</f>
        <v>16992.7667971629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18891.7149295667</v>
      </c>
      <c r="C92" s="93"/>
      <c r="D92" s="93"/>
      <c r="E92" s="113"/>
      <c r="F92" s="56" t="s">
        <v>116</v>
      </c>
      <c r="G92" s="65" t="n">
        <f aca="false">(G90+G91)</f>
        <v>16992.7667971629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590.36609154896</v>
      </c>
      <c r="C95" s="93"/>
      <c r="D95" s="93"/>
      <c r="E95" s="113"/>
      <c r="F95" s="95" t="s">
        <v>118</v>
      </c>
      <c r="G95" s="96" t="n">
        <f aca="false">G92/(G85)</f>
        <v>531.023962411339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590.36609154896</v>
      </c>
      <c r="C96" s="93"/>
      <c r="D96" s="93"/>
      <c r="E96" s="113"/>
      <c r="F96" s="97" t="s">
        <v>119</v>
      </c>
      <c r="G96" s="98" t="n">
        <f aca="false">G94+G95</f>
        <v>531.023962411339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262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263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264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265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266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25899.996</v>
      </c>
      <c r="C121" s="121" t="n">
        <v>23333.33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25899.996</v>
      </c>
      <c r="C125" s="133" t="n">
        <f aca="false">C121-C124</f>
        <v>23333.33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21583.33</v>
      </c>
      <c r="H135" s="153" t="n">
        <f aca="false">C125+E125+G125+H128</f>
        <v>23333.33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4316.666</v>
      </c>
      <c r="H137" s="33" t="n">
        <f aca="false">(H135+H136)*20%</f>
        <v>4666.666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25899.996</v>
      </c>
      <c r="H141" s="157" t="n">
        <f aca="false">(H135+H136+H139+H140+H137)-H138</f>
        <v>27999.996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25899.996</v>
      </c>
      <c r="H147" s="164" t="n">
        <f aca="false">H141-((H144*1.2)+(H145*1.2)+(H146*1.2)+(H142*1.2))</f>
        <v>27999.996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-15694.4416666667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27999.996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590.36609154896</v>
      </c>
      <c r="B167" s="177" t="str">
        <f aca="false">B94</f>
        <v>0</v>
      </c>
      <c r="C167" s="174"/>
      <c r="D167" s="174"/>
      <c r="E167" s="177" t="n">
        <f aca="false">B96</f>
        <v>590.36609154896</v>
      </c>
      <c r="F167" s="23"/>
      <c r="G167" s="23" t="n">
        <f aca="false">ROUND(G95, 2)</f>
        <v>531.02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23333.33</v>
      </c>
      <c r="B173" s="103" t="n">
        <f aca="false">H137</f>
        <v>4666.666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27999.996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27999.996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-3108.28107043327</v>
      </c>
      <c r="B182" s="103" t="str">
        <f aca="false">B114</f>
        <v>239.99</v>
      </c>
      <c r="C182" s="103"/>
      <c r="D182" s="23"/>
      <c r="E182" s="103" t="n">
        <f aca="false">E179+A182+B182+A185</f>
        <v>25141.7049295667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218.74996875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318.741635416667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590.36609154896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-5007.356</v>
      </c>
      <c r="B201" s="186" t="n">
        <f aca="false">E179+A201+B182+A185</f>
        <v>23242.63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590.36609154896</v>
      </c>
      <c r="B212" s="177" t="str">
        <f aca="false">B167</f>
        <v>0</v>
      </c>
      <c r="C212" s="174"/>
      <c r="D212" s="174"/>
      <c r="E212" s="177" t="n">
        <f aca="false">E167</f>
        <v>590.36609154896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23333.33</v>
      </c>
      <c r="B215" s="103" t="n">
        <f aca="false">B173</f>
        <v>4666.666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27999.996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27999.996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-3108.28107043327</v>
      </c>
      <c r="B224" s="103" t="str">
        <f aca="false">B182</f>
        <v>239.99</v>
      </c>
      <c r="C224" s="103"/>
      <c r="D224" s="113"/>
      <c r="E224" s="103" t="n">
        <f aca="false">E182</f>
        <v>25141.7049295667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590.36609154896</v>
      </c>
      <c r="B230" s="103" t="str">
        <f aca="false">B167</f>
        <v>0</v>
      </c>
      <c r="C230" s="186"/>
      <c r="D230" s="186"/>
      <c r="E230" s="103" t="n">
        <f aca="false">E167</f>
        <v>590.36609154896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26.93088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8.97696</v>
      </c>
      <c r="B236" s="103" t="n">
        <f aca="false">E233+A236</f>
        <v>35.90784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218.74996875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2068.74163541667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1909.07492956673</v>
      </c>
      <c r="C254" s="197"/>
      <c r="D254" s="198" t="s">
        <v>216</v>
      </c>
      <c r="E254" s="198"/>
      <c r="F254" s="200" t="n">
        <f aca="false">F261+F267+F269+B270+B271</f>
        <v>262.4999625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1746.5666337334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262.4999625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1746.5666337334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25899.996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238</v>
      </c>
      <c r="B29" s="223" t="n">
        <v>12345</v>
      </c>
      <c r="C29" s="223"/>
      <c r="D29" s="224" t="n">
        <f aca="true">TODAY()+1</f>
        <v>45196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242</v>
      </c>
      <c r="H32" s="225" t="n">
        <f aca="false">A41</f>
        <v>0</v>
      </c>
      <c r="I32" s="0"/>
      <c r="J32" s="44" t="s">
        <v>37</v>
      </c>
      <c r="K32" s="45" t="s">
        <v>402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0"/>
      <c r="J34" s="44" t="s">
        <v>44</v>
      </c>
      <c r="K34" s="49" t="s">
        <v>389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387</v>
      </c>
      <c r="C35" s="223"/>
      <c r="D35" s="223" t="s">
        <v>388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20583.33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401</v>
      </c>
      <c r="C38" s="223"/>
      <c r="D38" s="104" t="s">
        <v>390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387</v>
      </c>
      <c r="B44" s="245" t="n">
        <v>0</v>
      </c>
      <c r="C44" s="245"/>
      <c r="D44" s="245" t="n">
        <v>0</v>
      </c>
      <c r="E44" s="245"/>
      <c r="F44" s="63"/>
      <c r="G44" s="63" t="s">
        <v>256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15762.4691518466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139.99998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20583.33</v>
      </c>
      <c r="C81" s="93"/>
      <c r="D81" s="93"/>
      <c r="E81" s="113"/>
      <c r="F81" s="25" t="s">
        <v>105</v>
      </c>
      <c r="G81" s="27" t="n">
        <f aca="false">B81</f>
        <v>20583.33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5295.78483323301</v>
      </c>
      <c r="C86" s="93" t="n">
        <f aca="false">(B82/((1+B84)^(B85+1)))</f>
        <v>5295.78483323301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15287.545166767</v>
      </c>
      <c r="C88" s="93" t="n">
        <f aca="false">B81-B86</f>
        <v>15287.545166767</v>
      </c>
      <c r="D88" s="93"/>
      <c r="E88" s="113"/>
      <c r="F88" s="31" t="s">
        <v>112</v>
      </c>
      <c r="G88" s="33" t="n">
        <f aca="false">G81-G86</f>
        <v>14959.9389154658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1478.49719562242</v>
      </c>
      <c r="C89" s="93" t="n">
        <f aca="false">(B88/B87)</f>
        <v>1478.49719562242</v>
      </c>
      <c r="D89" s="93"/>
      <c r="E89" s="113"/>
      <c r="F89" s="31" t="s">
        <v>113</v>
      </c>
      <c r="G89" s="33" t="n">
        <f aca="false">(G88/G87)</f>
        <v>1404.59219211175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16263.4691518466</v>
      </c>
      <c r="C90" s="93"/>
      <c r="D90" s="93"/>
      <c r="E90" s="113"/>
      <c r="F90" s="31" t="s">
        <v>114</v>
      </c>
      <c r="G90" s="33" t="n">
        <f aca="false">((G89*(G85))+G77)</f>
        <v>15450.5141132292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16263.4691518466</v>
      </c>
      <c r="C92" s="93"/>
      <c r="D92" s="93"/>
      <c r="E92" s="113"/>
      <c r="F92" s="56" t="s">
        <v>116</v>
      </c>
      <c r="G92" s="65" t="n">
        <f aca="false">(G90+G91)</f>
        <v>15450.5141132292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1478.49719562242</v>
      </c>
      <c r="C95" s="93"/>
      <c r="D95" s="93"/>
      <c r="E95" s="113"/>
      <c r="F95" s="95" t="s">
        <v>118</v>
      </c>
      <c r="G95" s="96" t="n">
        <f aca="false">G92/(G85)</f>
        <v>1404.59219211175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1478.49719562242</v>
      </c>
      <c r="C96" s="93"/>
      <c r="D96" s="93"/>
      <c r="E96" s="113"/>
      <c r="F96" s="97" t="s">
        <v>119</v>
      </c>
      <c r="G96" s="98" t="n">
        <f aca="false">G94+G95</f>
        <v>1404.59219211175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262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401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263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264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265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395</v>
      </c>
      <c r="C108" s="107"/>
      <c r="D108" s="107" t="n">
        <v>0.0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394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403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25899.996</v>
      </c>
      <c r="C121" s="121" t="n">
        <v>23333.33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25899.996</v>
      </c>
      <c r="C125" s="133" t="n">
        <f aca="false">C121-C124</f>
        <v>23333.33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21583.33</v>
      </c>
      <c r="H135" s="153" t="n">
        <f aca="false">C125+E125+G125+H128</f>
        <v>23333.33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4316.666</v>
      </c>
      <c r="H137" s="33" t="n">
        <f aca="false">(H135+H136)*20%</f>
        <v>4666.666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25899.996</v>
      </c>
      <c r="H141" s="157" t="n">
        <f aca="false">(H135+H136+H139+H140+H137)-H138</f>
        <v>27999.996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25899.996</v>
      </c>
      <c r="H147" s="164" t="n">
        <f aca="false">H141-((H144*1.2)+(H145*1.2)+(H146*1.2)+(H142*1.2))</f>
        <v>27999.996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-15694.4416666667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27999.996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1478.49719562242</v>
      </c>
      <c r="B167" s="177" t="n">
        <f aca="false">B94</f>
        <v>0</v>
      </c>
      <c r="C167" s="174"/>
      <c r="D167" s="174"/>
      <c r="E167" s="177" t="n">
        <f aca="false">B96</f>
        <v>1478.49719562242</v>
      </c>
      <c r="F167" s="23"/>
      <c r="G167" s="23" t="n">
        <f aca="false">ROUND(G95, 2)</f>
        <v>1404.59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23333.33</v>
      </c>
      <c r="B173" s="103" t="n">
        <f aca="false">H137</f>
        <v>4666.666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27999.996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27999.996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-5736.5268481534</v>
      </c>
      <c r="B182" s="103" t="str">
        <f aca="false">B114</f>
        <v>199.99</v>
      </c>
      <c r="C182" s="103"/>
      <c r="D182" s="23"/>
      <c r="E182" s="103" t="n">
        <f aca="false">E179+A182+(B182*1.2)+A185</f>
        <v>22513.4571518466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116.66665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216.65665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1478.49719562242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-6549.506</v>
      </c>
      <c r="B201" s="186" t="n">
        <f aca="false">E179+A201+(B182*1.2)+A185</f>
        <v>21700.478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1478.49719562242</v>
      </c>
      <c r="B212" s="177" t="n">
        <f aca="false">B167</f>
        <v>0</v>
      </c>
      <c r="C212" s="174"/>
      <c r="D212" s="174"/>
      <c r="E212" s="177" t="n">
        <f aca="false">E167</f>
        <v>1478.49719562242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23333.33</v>
      </c>
      <c r="B215" s="103" t="n">
        <f aca="false">B173</f>
        <v>4666.666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27999.996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27999.996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-5736.5268481534</v>
      </c>
      <c r="B224" s="103" t="str">
        <f aca="false">B182</f>
        <v>199.99</v>
      </c>
      <c r="C224" s="103"/>
      <c r="D224" s="113"/>
      <c r="E224" s="103" t="n">
        <f aca="false">E182</f>
        <v>22513.4571518466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1478.49719562242</v>
      </c>
      <c r="B230" s="103" t="n">
        <f aca="false">B167</f>
        <v>0</v>
      </c>
      <c r="C230" s="186"/>
      <c r="D230" s="186"/>
      <c r="E230" s="103" t="n">
        <f aca="false">E167</f>
        <v>1478.49719562242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22.4424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7.4808</v>
      </c>
      <c r="B236" s="103" t="n">
        <f aca="false">E233+A236</f>
        <v>29.9232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116.66665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1966.65665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822.979151846601</v>
      </c>
      <c r="C254" s="197"/>
      <c r="D254" s="198" t="s">
        <v>216</v>
      </c>
      <c r="E254" s="198"/>
      <c r="F254" s="200" t="n">
        <f aca="false">F261+F267+F269+B270+B271</f>
        <v>139.99998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782.969171846601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139.99998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782.969171846601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25899.996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238</v>
      </c>
      <c r="B29" s="223" t="n">
        <v>12345</v>
      </c>
      <c r="C29" s="223"/>
      <c r="D29" s="224" t="n">
        <f aca="true">TODAY()+1</f>
        <v>45196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242</v>
      </c>
      <c r="H32" s="225" t="n">
        <f aca="false">A41</f>
        <v>0</v>
      </c>
      <c r="I32" s="0"/>
      <c r="J32" s="44" t="s">
        <v>37</v>
      </c>
      <c r="K32" s="45" t="s">
        <v>379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20583.33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256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15762.4691518466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139.99998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20583.33</v>
      </c>
      <c r="C81" s="93"/>
      <c r="D81" s="93"/>
      <c r="E81" s="113"/>
      <c r="F81" s="25" t="s">
        <v>105</v>
      </c>
      <c r="G81" s="27" t="n">
        <f aca="false">B81</f>
        <v>20583.33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5295.78483323301</v>
      </c>
      <c r="C86" s="93" t="n">
        <f aca="false">(B82/((1+B84)^(B85+1)))</f>
        <v>5295.78483323301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15287.545166767</v>
      </c>
      <c r="C88" s="93" t="n">
        <f aca="false">B81-B86</f>
        <v>15287.545166767</v>
      </c>
      <c r="D88" s="93"/>
      <c r="E88" s="113"/>
      <c r="F88" s="31" t="s">
        <v>112</v>
      </c>
      <c r="G88" s="33" t="n">
        <f aca="false">G81-G86</f>
        <v>14959.9389154658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1478.49719562242</v>
      </c>
      <c r="C89" s="93" t="n">
        <f aca="false">(B88/B87)</f>
        <v>1478.49719562242</v>
      </c>
      <c r="D89" s="93"/>
      <c r="E89" s="113"/>
      <c r="F89" s="31" t="s">
        <v>113</v>
      </c>
      <c r="G89" s="33" t="n">
        <f aca="false">(G88/G87)</f>
        <v>1404.59219211175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16263.4691518466</v>
      </c>
      <c r="C90" s="93"/>
      <c r="D90" s="93"/>
      <c r="E90" s="113"/>
      <c r="F90" s="31" t="s">
        <v>114</v>
      </c>
      <c r="G90" s="33" t="n">
        <f aca="false">((G89*(G85))+G77)</f>
        <v>15450.5141132292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16263.4691518466</v>
      </c>
      <c r="C92" s="93"/>
      <c r="D92" s="93"/>
      <c r="E92" s="113"/>
      <c r="F92" s="56" t="s">
        <v>116</v>
      </c>
      <c r="G92" s="65" t="n">
        <f aca="false">(G90+G91)</f>
        <v>15450.5141132292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1478.49719562242</v>
      </c>
      <c r="C95" s="93"/>
      <c r="D95" s="93"/>
      <c r="E95" s="113"/>
      <c r="F95" s="95" t="s">
        <v>118</v>
      </c>
      <c r="G95" s="96" t="n">
        <f aca="false">G92/(G85)</f>
        <v>1404.59219211175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1478.49719562242</v>
      </c>
      <c r="C96" s="93"/>
      <c r="D96" s="93"/>
      <c r="E96" s="113"/>
      <c r="F96" s="97" t="s">
        <v>119</v>
      </c>
      <c r="G96" s="98" t="n">
        <f aca="false">G94+G95</f>
        <v>1404.59219211175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262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263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264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265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272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25899.996</v>
      </c>
      <c r="C121" s="121" t="n">
        <v>23333.33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25899.996</v>
      </c>
      <c r="C125" s="133" t="n">
        <f aca="false">C121-C124</f>
        <v>23333.33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21583.33</v>
      </c>
      <c r="H135" s="153" t="n">
        <f aca="false">C125+E125+G125+H128</f>
        <v>23333.33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4316.666</v>
      </c>
      <c r="H137" s="33" t="n">
        <f aca="false">(H135+H136)*20%</f>
        <v>4666.666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25899.996</v>
      </c>
      <c r="H141" s="157" t="n">
        <f aca="false">(H135+H136+H139+H140+H137)-H138</f>
        <v>27999.996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25899.996</v>
      </c>
      <c r="H147" s="164" t="n">
        <f aca="false">H141-((H144*1.2)+(H145*1.2)+(H146*1.2)+(H142*1.2))</f>
        <v>27999.996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-15694.4416666667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27999.996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1478.49719562242</v>
      </c>
      <c r="B167" s="177" t="str">
        <f aca="false">B94</f>
        <v>0</v>
      </c>
      <c r="C167" s="174"/>
      <c r="D167" s="174"/>
      <c r="E167" s="177" t="n">
        <f aca="false">B96</f>
        <v>1478.49719562242</v>
      </c>
      <c r="F167" s="23"/>
      <c r="G167" s="23" t="n">
        <f aca="false">ROUND(G95, 2)</f>
        <v>1404.59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23333.33</v>
      </c>
      <c r="B173" s="103" t="n">
        <f aca="false">H137</f>
        <v>4666.666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27999.996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27999.996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-5736.5268481534</v>
      </c>
      <c r="B182" s="103" t="str">
        <f aca="false">B114</f>
        <v>239.99</v>
      </c>
      <c r="C182" s="103"/>
      <c r="D182" s="23"/>
      <c r="E182" s="103" t="n">
        <f aca="false">E179+A182+B182+A185</f>
        <v>22513.4591518466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116.66665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216.658316666667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1478.49719562242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-6549.506</v>
      </c>
      <c r="B201" s="186" t="n">
        <f aca="false">E179+A201+B182+A185</f>
        <v>21700.48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1478.49719562242</v>
      </c>
      <c r="B212" s="177" t="str">
        <f aca="false">B167</f>
        <v>0</v>
      </c>
      <c r="C212" s="174"/>
      <c r="D212" s="174"/>
      <c r="E212" s="177" t="n">
        <f aca="false">E167</f>
        <v>1478.49719562242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23333.33</v>
      </c>
      <c r="B215" s="103" t="n">
        <f aca="false">B173</f>
        <v>4666.666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27999.996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27999.996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-5736.5268481534</v>
      </c>
      <c r="B224" s="103" t="str">
        <f aca="false">B182</f>
        <v>239.99</v>
      </c>
      <c r="C224" s="103"/>
      <c r="D224" s="113"/>
      <c r="E224" s="103" t="n">
        <f aca="false">E182</f>
        <v>22513.4591518466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1478.49719562242</v>
      </c>
      <c r="B230" s="103" t="str">
        <f aca="false">B167</f>
        <v>0</v>
      </c>
      <c r="C230" s="186"/>
      <c r="D230" s="186"/>
      <c r="E230" s="103" t="n">
        <f aca="false">E167</f>
        <v>1478.49719562242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8.97696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116.66665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1966.65831666667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822.979151846601</v>
      </c>
      <c r="C254" s="197"/>
      <c r="D254" s="198" t="s">
        <v>216</v>
      </c>
      <c r="E254" s="198"/>
      <c r="F254" s="200" t="n">
        <f aca="false">F261+F267+F269+B270+B271</f>
        <v>139.99998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782.970838513268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139.99998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782.970838513268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5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25899.996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238</v>
      </c>
      <c r="B29" s="223" t="n">
        <v>12345</v>
      </c>
      <c r="C29" s="223"/>
      <c r="D29" s="224" t="n">
        <f aca="true">TODAY()+1</f>
        <v>45196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242</v>
      </c>
      <c r="H32" s="225" t="n">
        <f aca="false">A41</f>
        <v>0</v>
      </c>
      <c r="I32" s="0"/>
      <c r="J32" s="44" t="s">
        <v>37</v>
      </c>
      <c r="K32" s="263" t="s">
        <v>379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20583.33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256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15762.4691518466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139.99998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20583.33</v>
      </c>
      <c r="C81" s="93"/>
      <c r="D81" s="93"/>
      <c r="E81" s="113"/>
      <c r="F81" s="25" t="s">
        <v>105</v>
      </c>
      <c r="G81" s="27" t="n">
        <f aca="false">B81</f>
        <v>20583.33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5295.78483323301</v>
      </c>
      <c r="C86" s="93" t="n">
        <f aca="false">(B82/((1+B84)^(B85+1)))</f>
        <v>5295.78483323301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15287.545166767</v>
      </c>
      <c r="C88" s="93" t="n">
        <f aca="false">B81-B86</f>
        <v>15287.545166767</v>
      </c>
      <c r="D88" s="93"/>
      <c r="E88" s="113"/>
      <c r="F88" s="31" t="s">
        <v>112</v>
      </c>
      <c r="G88" s="33" t="n">
        <f aca="false">G81-G86</f>
        <v>14959.9389154658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1478.49719562242</v>
      </c>
      <c r="C89" s="93" t="n">
        <f aca="false">(B88/B87)</f>
        <v>1478.49719562242</v>
      </c>
      <c r="D89" s="93"/>
      <c r="E89" s="113"/>
      <c r="F89" s="31" t="s">
        <v>113</v>
      </c>
      <c r="G89" s="33" t="n">
        <f aca="false">(G88/G87)</f>
        <v>1404.59219211175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16263.4691518466</v>
      </c>
      <c r="C90" s="93"/>
      <c r="D90" s="93"/>
      <c r="E90" s="113"/>
      <c r="F90" s="31" t="s">
        <v>114</v>
      </c>
      <c r="G90" s="33" t="n">
        <f aca="false">((G89*(G85))+G77)</f>
        <v>15450.5141132292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16263.4691518466</v>
      </c>
      <c r="C92" s="93"/>
      <c r="D92" s="93"/>
      <c r="E92" s="113"/>
      <c r="F92" s="56" t="s">
        <v>116</v>
      </c>
      <c r="G92" s="65" t="n">
        <f aca="false">(G90+G91)</f>
        <v>15450.5141132292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1478.49719562242</v>
      </c>
      <c r="C95" s="93"/>
      <c r="D95" s="93"/>
      <c r="E95" s="113"/>
      <c r="F95" s="95" t="s">
        <v>118</v>
      </c>
      <c r="G95" s="96" t="n">
        <f aca="false">G92/(G85)</f>
        <v>1404.59219211175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1478.49719562242</v>
      </c>
      <c r="C96" s="93"/>
      <c r="D96" s="93"/>
      <c r="E96" s="113"/>
      <c r="F96" s="97" t="s">
        <v>119</v>
      </c>
      <c r="G96" s="98" t="n">
        <f aca="false">G94+G95</f>
        <v>1404.59219211175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262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263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264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265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266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234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25899.996</v>
      </c>
      <c r="C121" s="121" t="n">
        <v>23333.33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25899.996</v>
      </c>
      <c r="C125" s="133" t="n">
        <f aca="false">C121-C124</f>
        <v>23333.33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21583.33</v>
      </c>
      <c r="H135" s="153" t="n">
        <f aca="false">C125+E125+G125+H128</f>
        <v>23333.33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4316.666</v>
      </c>
      <c r="H137" s="33" t="n">
        <f aca="false">(H135+H136)*20%</f>
        <v>4666.666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25899.996</v>
      </c>
      <c r="H141" s="157" t="n">
        <f aca="false">(H135+H136+H139+H140+H137)-H138</f>
        <v>27999.996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25899.996</v>
      </c>
      <c r="H147" s="164" t="n">
        <f aca="false">H141-((H144*1.2)+(H145*1.2)+(H146*1.2)+(H142*1.2))</f>
        <v>27999.996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-15694.4416666667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27999.996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1478.49719562242</v>
      </c>
      <c r="B167" s="177" t="str">
        <f aca="false">B94</f>
        <v>0</v>
      </c>
      <c r="C167" s="174"/>
      <c r="D167" s="174"/>
      <c r="E167" s="177" t="n">
        <f aca="false">B96</f>
        <v>1478.49719562242</v>
      </c>
      <c r="F167" s="23"/>
      <c r="G167" s="23" t="n">
        <f aca="false">ROUND(G95, 2)</f>
        <v>1404.59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23333.33</v>
      </c>
      <c r="B173" s="103" t="n">
        <f aca="false">H137</f>
        <v>4666.666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27999.996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27999.996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-5736.5268481534</v>
      </c>
      <c r="B182" s="103" t="str">
        <f aca="false">B114</f>
        <v>199.99</v>
      </c>
      <c r="C182" s="103"/>
      <c r="D182" s="23"/>
      <c r="E182" s="103" t="n">
        <f aca="false">E179+A182+(B182*1.2)+A185</f>
        <v>22513.4571518466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116.66665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216.65665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1478.49719562242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-6549.506</v>
      </c>
      <c r="B201" s="186" t="n">
        <f aca="false">E179+A201+(B182*1.2)+A185</f>
        <v>21700.478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1478.49719562242</v>
      </c>
      <c r="B212" s="177" t="str">
        <f aca="false">B167</f>
        <v>0</v>
      </c>
      <c r="C212" s="174"/>
      <c r="D212" s="174"/>
      <c r="E212" s="177" t="n">
        <f aca="false">E167</f>
        <v>1478.49719562242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23333.33</v>
      </c>
      <c r="B215" s="103" t="n">
        <f aca="false">B173</f>
        <v>4666.666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27999.996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27999.996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-5736.5268481534</v>
      </c>
      <c r="B224" s="103" t="str">
        <f aca="false">B182</f>
        <v>199.99</v>
      </c>
      <c r="C224" s="103"/>
      <c r="D224" s="113"/>
      <c r="E224" s="103" t="n">
        <f aca="false">E182</f>
        <v>22513.4571518466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1478.49719562242</v>
      </c>
      <c r="B230" s="103" t="str">
        <f aca="false">B167</f>
        <v>0</v>
      </c>
      <c r="C230" s="186"/>
      <c r="D230" s="186"/>
      <c r="E230" s="103" t="n">
        <f aca="false">E167</f>
        <v>1478.49719562242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7.4808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116.66665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1966.65665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822.979151846601</v>
      </c>
      <c r="C254" s="197"/>
      <c r="D254" s="198" t="s">
        <v>216</v>
      </c>
      <c r="E254" s="198"/>
      <c r="F254" s="200" t="n">
        <f aca="false">F261+F267+F269+B270+B271</f>
        <v>139.99998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782.969171846601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139.99998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782.969171846601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8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235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237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238</v>
      </c>
      <c r="B29" s="223" t="n">
        <v>12345</v>
      </c>
      <c r="C29" s="223"/>
      <c r="D29" s="390" t="n">
        <f aca="true">TODAY()+1</f>
        <v>45196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4316.666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348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276.388833333333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273.611166666667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276.277833333333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226.277833333333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276.277833333333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276.277833333333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25899.996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2618.28</v>
      </c>
      <c r="C70" s="317" t="n">
        <v>10000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258.99996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165</v>
      </c>
      <c r="C80" s="317"/>
      <c r="D80" s="317"/>
      <c r="E80" s="404" t="n">
        <f aca="false">E79+D82</f>
        <v>838.75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69.8958333333333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178.75</v>
      </c>
      <c r="C82" s="317"/>
      <c r="D82" s="32" t="n">
        <f aca="false">IF(A50="YES", 0, B82)</f>
        <v>178.75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4123.69666666667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343.641388888889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226.277833333333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8206.8368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57.9345074626866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8264.77130746269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688.730942288557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766.730942288557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262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263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264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265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688.730942288557</v>
      </c>
      <c r="B134" s="321" t="n">
        <f aca="false">IF(A111="YES", B95, 0)</f>
        <v>78</v>
      </c>
      <c r="C134" s="325"/>
      <c r="D134" s="321" t="n">
        <f aca="false">B97</f>
        <v>766.730942288557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251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688.730942288557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240</v>
      </c>
      <c r="O138" s="317"/>
      <c r="P138" s="317" t="s">
        <v>244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766.730942288557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253</v>
      </c>
      <c r="N141" s="317" t="s">
        <v>254</v>
      </c>
      <c r="O141" s="317"/>
      <c r="P141" s="317" t="s">
        <v>258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688.730942288557</v>
      </c>
      <c r="B143" s="38" t="n">
        <f aca="false">IF(A111="YES", B95, 0)</f>
        <v>78</v>
      </c>
      <c r="C143" s="317"/>
      <c r="D143" s="38" t="n">
        <f aca="false">B97</f>
        <v>766.730942288557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258.99996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4316.666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776.991626666667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766.730942288557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688.730942288557</v>
      </c>
      <c r="B177" s="355" t="n">
        <f aca="false">IF(A111="YES", B95, 0)</f>
        <v>78</v>
      </c>
      <c r="C177" s="357"/>
      <c r="D177" s="355" t="n">
        <f aca="false">A177+B177</f>
        <v>766.730942288557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688.730942288557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766.730942288557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688.730942288557</v>
      </c>
      <c r="B186" s="103" t="n">
        <f aca="false">IF(A111="YES", B95, 0)</f>
        <v>78</v>
      </c>
      <c r="C186" s="353"/>
      <c r="D186" s="103" t="n">
        <f aca="false">B97</f>
        <v>766.730942288557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258.99996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776.991626666667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2618.28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258.99996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2879.27170666667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2618.28</v>
      </c>
      <c r="C217" s="375" t="s">
        <v>221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258.99996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2879.27170666667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57.9345074626866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165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235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237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238</v>
      </c>
      <c r="B29" s="223" t="n">
        <v>12345</v>
      </c>
      <c r="C29" s="223"/>
      <c r="D29" s="390" t="n">
        <f aca="true">TODAY()+1</f>
        <v>45196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4316.666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337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276.388833333333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223.611166666667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226.277833333333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226.277833333333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226.277833333333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25899.996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2618.28</v>
      </c>
      <c r="C70" s="317" t="n">
        <v>10000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258.99996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165</v>
      </c>
      <c r="C80" s="317"/>
      <c r="D80" s="317"/>
      <c r="E80" s="404" t="n">
        <f aca="false">E79+D82</f>
        <v>838.75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69.8958333333333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178.75</v>
      </c>
      <c r="C82" s="317"/>
      <c r="D82" s="32" t="n">
        <f aca="false">IF(A50="YES", 0, B82)</f>
        <v>178.75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4123.69666666667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343.641388888889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226.277833333333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6839.03066666667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57.9345074626866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6896.96517412935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574.747097844113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574.747097844113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262</v>
      </c>
    </row>
    <row r="105" customFormat="false" ht="18.75" hidden="false" customHeight="true" outlineLevel="0" collapsed="false">
      <c r="A105" s="374"/>
      <c r="B105" s="312" t="s">
        <v>287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263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264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265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s">
        <v>291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574.747097844113</v>
      </c>
      <c r="B134" s="321" t="n">
        <f aca="false">IF(A111="YES", B95, 0)</f>
        <v>0</v>
      </c>
      <c r="C134" s="326"/>
      <c r="D134" s="321" t="n">
        <f aca="false">B97</f>
        <v>574.747097844113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251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5172.72388059701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240</v>
      </c>
      <c r="O138" s="317"/>
      <c r="P138" s="317" t="s">
        <v>244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5172.72388059701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253</v>
      </c>
      <c r="N141" s="317" t="s">
        <v>254</v>
      </c>
      <c r="O141" s="317"/>
      <c r="P141" s="317" t="s">
        <v>258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574.747097844113</v>
      </c>
      <c r="B143" s="38" t="n">
        <f aca="false">IF(A111="YES", B95, 0)</f>
        <v>0</v>
      </c>
      <c r="C143" s="317"/>
      <c r="D143" s="38" t="n">
        <f aca="false">B97</f>
        <v>574.747097844113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258.99996</v>
      </c>
      <c r="B154" s="103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4316.666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758.98996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574.747097844113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574.747097844113</v>
      </c>
      <c r="B177" s="355" t="n">
        <f aca="false">IF(A111="YES", B95, 0)</f>
        <v>0</v>
      </c>
      <c r="C177" s="358"/>
      <c r="D177" s="355" t="n">
        <f aca="false">B91</f>
        <v>6839.03066666667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5172.72388059701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5172.72388059701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574.747097844113</v>
      </c>
      <c r="B186" s="103" t="n">
        <f aca="false">IF(A111="YES", B95, 0)</f>
        <v>0</v>
      </c>
      <c r="C186" s="353"/>
      <c r="D186" s="103" t="n">
        <f aca="false">B97</f>
        <v>574.747097844113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258.99996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758.98996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2618.28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258.99996</v>
      </c>
      <c r="C211" s="320" t="s">
        <v>217</v>
      </c>
      <c r="D211" s="370" t="n">
        <f aca="false">B225+E221+B221+B223</f>
        <v>339.99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2699.27004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2618.28</v>
      </c>
      <c r="C217" s="375" t="s">
        <v>221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258.99996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2699.27004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57.9345074626866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165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238</v>
      </c>
      <c r="B29" s="223" t="n">
        <v>12345</v>
      </c>
      <c r="C29" s="223"/>
      <c r="D29" s="224" t="n">
        <f aca="true">TODAY()+1</f>
        <v>45196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242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394</v>
      </c>
      <c r="C38" s="223"/>
      <c r="D38" s="104" t="s">
        <v>390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396</v>
      </c>
      <c r="B41" s="241" t="str">
        <f aca="false">IF(B38="YES", D38+A41, D38)</f>
        <v>500</v>
      </c>
      <c r="C41" s="241"/>
      <c r="D41" s="104" t="s">
        <v>397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387</v>
      </c>
      <c r="B44" s="104" t="s">
        <v>398</v>
      </c>
      <c r="C44" s="104"/>
      <c r="D44" s="104" t="s">
        <v>399</v>
      </c>
      <c r="E44" s="104"/>
      <c r="F44" s="63"/>
      <c r="G44" s="63" t="s">
        <v>256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400</v>
      </c>
      <c r="C47" s="429"/>
      <c r="D47" s="104" t="s">
        <v>400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25899.996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1812.99972</v>
      </c>
      <c r="C70" s="215" t="n">
        <v>10000</v>
      </c>
      <c r="D70" s="291" t="n">
        <f aca="false">B70-A149</f>
        <v>1812.99972</v>
      </c>
      <c r="E70" s="216" t="n">
        <f aca="false">D70/12</f>
        <v>151.08331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374.04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0.0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0.0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3139.66638666667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261.638865555556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9151.66638666667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77.525209407019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9229.19159607369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769.099299672807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769.099299672807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262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263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264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265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401</v>
      </c>
      <c r="B111" s="314" t="n">
        <v>20.0</v>
      </c>
      <c r="C111" s="314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401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769.099299672807</v>
      </c>
      <c r="B134" s="321" t="n">
        <f aca="false">IF(A111="YES", B95, 0)</f>
        <v>0</v>
      </c>
      <c r="C134" s="326"/>
      <c r="D134" s="321" t="n">
        <f aca="false">B97</f>
        <v>769.099299672807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251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6921.89369705527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240</v>
      </c>
      <c r="O138" s="215"/>
      <c r="P138" s="215" t="s">
        <v>244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6921.89369705527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253</v>
      </c>
      <c r="N141" s="215" t="s">
        <v>254</v>
      </c>
      <c r="O141" s="215"/>
      <c r="P141" s="215" t="s">
        <v>258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769.099299672807</v>
      </c>
      <c r="B143" s="38" t="n">
        <f aca="false">IF(A111="YES", B95, 0)</f>
        <v>0</v>
      </c>
      <c r="C143" s="317"/>
      <c r="D143" s="38" t="n">
        <f aca="false">B97</f>
        <v>769.099299672807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374.04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769.099299672807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769.099299672807</v>
      </c>
      <c r="B177" s="355" t="n">
        <f aca="false">IF(A111="YES", B95, 0)</f>
        <v>0</v>
      </c>
      <c r="C177" s="358"/>
      <c r="D177" s="355" t="n">
        <f aca="false">B91</f>
        <v>9151.66638666667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6921.89369705527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6921.89369705527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769.099299672807</v>
      </c>
      <c r="B186" s="103" t="n">
        <f aca="false">IF(A111="YES", B95, 0)</f>
        <v>0</v>
      </c>
      <c r="C186" s="353"/>
      <c r="D186" s="103" t="n">
        <f aca="false">B97</f>
        <v>769.099299672807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374.04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874.03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1812.99972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374.04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1778.94972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1812.99972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374.04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1778.94972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77.525209407019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238</v>
      </c>
      <c r="B29" s="223" t="n">
        <v>12345</v>
      </c>
      <c r="C29" s="223"/>
      <c r="D29" s="224" t="n">
        <f aca="true">TODAY()+1</f>
        <v>45196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242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349</v>
      </c>
      <c r="E44" s="104"/>
      <c r="F44" s="63"/>
      <c r="G44" s="63" t="s">
        <v>256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25899.996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1812.99972</v>
      </c>
      <c r="C70" s="215" t="n">
        <v>10000</v>
      </c>
      <c r="D70" s="291" t="n">
        <f aca="false">B70-A149</f>
        <v>1812.99972</v>
      </c>
      <c r="E70" s="216" t="n">
        <f aca="false">D70/12</f>
        <v>151.08331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258.99996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</v>
      </c>
      <c r="C80" s="215"/>
      <c r="D80" s="215"/>
      <c r="E80" s="430" t="n">
        <f aca="false">E79+D82</f>
        <v>838.75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69.8958333333333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3318.41638666667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276.534698888889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11196.499664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79.0394288503429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11275.5390928503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939.628257737529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939.628257737529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262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263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264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265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939.628257737529</v>
      </c>
      <c r="B134" s="321" t="n">
        <f aca="false">IF(A111="YES", B95, 0)</f>
        <v>0</v>
      </c>
      <c r="C134" s="326"/>
      <c r="D134" s="321" t="n">
        <f aca="false">B97</f>
        <v>939.628257737529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251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939.628257737529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240</v>
      </c>
      <c r="O138" s="215"/>
      <c r="P138" s="215" t="s">
        <v>244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939.628257737529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253</v>
      </c>
      <c r="N141" s="215" t="s">
        <v>254</v>
      </c>
      <c r="O141" s="215"/>
      <c r="P141" s="215" t="s">
        <v>258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939.628257737529</v>
      </c>
      <c r="B143" s="38" t="n">
        <f aca="false">IF(A111="YES", B95, 0)</f>
        <v>0</v>
      </c>
      <c r="C143" s="317"/>
      <c r="D143" s="38" t="n">
        <f aca="false">B97</f>
        <v>939.628257737529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258.99996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758.991626666667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939.628257737529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939.628257737529</v>
      </c>
      <c r="B177" s="355" t="n">
        <f aca="false">IF(A111="YES", B95, 0)</f>
        <v>0</v>
      </c>
      <c r="C177" s="358"/>
      <c r="D177" s="355" t="n">
        <f aca="false">B97</f>
        <v>939.628257737529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939.628257737529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939.628257737529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939.628257737529</v>
      </c>
      <c r="B186" s="103" t="n">
        <f aca="false">IF(A111="YES", B95, 0)</f>
        <v>0</v>
      </c>
      <c r="C186" s="353"/>
      <c r="D186" s="103" t="n">
        <f aca="false">B97</f>
        <v>939.628257737529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258.99996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758.991626666667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1812.99972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258.99996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1893.99142666667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1812.99972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258.99996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1893.99142666667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79.0394288503429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238</v>
      </c>
      <c r="B29" s="223" t="n">
        <v>12345</v>
      </c>
      <c r="C29" s="223"/>
      <c r="D29" s="224" t="n">
        <f aca="true">TODAY()+1</f>
        <v>45196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242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348</v>
      </c>
      <c r="B41" s="241" t="n">
        <f aca="false">IF(B38="YES", D38+A41, D38)</f>
        <v>550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350</v>
      </c>
      <c r="E44" s="104"/>
      <c r="F44" s="63"/>
      <c r="G44" s="63" t="s">
        <v>256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25899.996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1812.99972</v>
      </c>
      <c r="C70" s="215" t="n">
        <v>10000</v>
      </c>
      <c r="D70" s="291" t="n">
        <f aca="false">B70-A149</f>
        <v>1812.99972</v>
      </c>
      <c r="E70" s="216" t="n">
        <f aca="false">D70/12</f>
        <v>151.08331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258.99996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</v>
      </c>
      <c r="C80" s="215"/>
      <c r="D80" s="215"/>
      <c r="E80" s="430" t="n">
        <f aca="false">E79+D82</f>
        <v>838.75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69.8958333333333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3318.41638666667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276.534698888889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9330.41638666667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79.0394288503429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9409.45581551701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784.121317959751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784.121317959751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262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263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264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265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784.121317959751</v>
      </c>
      <c r="B134" s="321" t="n">
        <f aca="false">IF(A111="YES", B95, 0)</f>
        <v>0</v>
      </c>
      <c r="C134" s="326"/>
      <c r="D134" s="321" t="n">
        <f aca="false">B97</f>
        <v>784.121317959751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251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784.121317959751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240</v>
      </c>
      <c r="O138" s="215"/>
      <c r="P138" s="215" t="s">
        <v>244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784.121317959751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253</v>
      </c>
      <c r="N141" s="215" t="s">
        <v>254</v>
      </c>
      <c r="O141" s="215"/>
      <c r="P141" s="215" t="s">
        <v>258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784.121317959751</v>
      </c>
      <c r="B143" s="38" t="n">
        <f aca="false">IF(A111="YES", B95, 0)</f>
        <v>0</v>
      </c>
      <c r="C143" s="317"/>
      <c r="D143" s="38" t="n">
        <f aca="false">B97</f>
        <v>784.121317959751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258.99996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758.98996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784.121317959751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784.121317959751</v>
      </c>
      <c r="B177" s="355" t="n">
        <f aca="false">IF(A111="YES", B95, 0)</f>
        <v>0</v>
      </c>
      <c r="C177" s="358"/>
      <c r="D177" s="355" t="n">
        <f aca="false">B91</f>
        <v>9330.41638666667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784.121317959751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784.121317959751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784.121317959751</v>
      </c>
      <c r="B186" s="103" t="n">
        <f aca="false">IF(A111="YES", B95, 0)</f>
        <v>0</v>
      </c>
      <c r="C186" s="353"/>
      <c r="D186" s="103" t="n">
        <f aca="false">B97</f>
        <v>784.121317959751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258.99996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758.98996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1812.99972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258.99996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1893.98976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1812.99972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258.99996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1893.98976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79.0394288503429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238</v>
      </c>
      <c r="B29" s="223" t="n">
        <v>12345</v>
      </c>
      <c r="C29" s="223"/>
      <c r="D29" s="224" t="n">
        <f aca="true">TODAY()+1</f>
        <v>45196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242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248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256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25899.996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1812.99972</v>
      </c>
      <c r="C70" s="215" t="n">
        <v>10000</v>
      </c>
      <c r="D70" s="291" t="n">
        <f aca="false">B70-A149</f>
        <v>1812.99972</v>
      </c>
      <c r="E70" s="216" t="n">
        <f aca="false">D70/12</f>
        <v>151.08331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374.04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3139.66638666667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261.638865555556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9151.66638666667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77.525209407019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9229.19159607369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769.099299672807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769.099299672807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262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263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264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265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769.099299672807</v>
      </c>
      <c r="B134" s="321" t="n">
        <f aca="false">IF(A111="YES", B95, 0)</f>
        <v>0</v>
      </c>
      <c r="C134" s="326"/>
      <c r="D134" s="321" t="n">
        <f aca="false">B97</f>
        <v>769.099299672807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251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769.099299672807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240</v>
      </c>
      <c r="O138" s="215"/>
      <c r="P138" s="215" t="s">
        <v>244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769.099299672807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253</v>
      </c>
      <c r="N141" s="215" t="s">
        <v>254</v>
      </c>
      <c r="O141" s="215"/>
      <c r="P141" s="215" t="s">
        <v>258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769.099299672807</v>
      </c>
      <c r="B143" s="38" t="n">
        <f aca="false">IF(A111="YES", B95, 0)</f>
        <v>0</v>
      </c>
      <c r="C143" s="317"/>
      <c r="D143" s="38" t="n">
        <f aca="false">B97</f>
        <v>769.099299672807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769.099299672807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769.099299672807</v>
      </c>
      <c r="B177" s="355" t="n">
        <f aca="false">IF(A111="YES", B95, 0)</f>
        <v>0</v>
      </c>
      <c r="C177" s="358"/>
      <c r="D177" s="355" t="n">
        <f aca="false">B91</f>
        <v>9151.66638666667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769.099299672807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769.099299672807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769.099299672807</v>
      </c>
      <c r="B186" s="103" t="n">
        <f aca="false">IF(A111="YES", B95, 0)</f>
        <v>0</v>
      </c>
      <c r="C186" s="353"/>
      <c r="D186" s="103" t="n">
        <f aca="false">B97</f>
        <v>769.099299672807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374.04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874.03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1812.99972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374.04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1778.94972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1812.99972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374.04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1778.94972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77.525209407019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238</v>
      </c>
      <c r="B29" s="223" t="n">
        <v>12345</v>
      </c>
      <c r="C29" s="223"/>
      <c r="D29" s="224" t="n">
        <f aca="true">TODAY()+1</f>
        <v>45196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242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256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25899.996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1812.99972</v>
      </c>
      <c r="C70" s="215" t="n">
        <v>10000</v>
      </c>
      <c r="D70" s="291" t="n">
        <f aca="false">B70-A149</f>
        <v>1812.99972</v>
      </c>
      <c r="E70" s="216" t="n">
        <f aca="false">D70/12</f>
        <v>151.08331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258.99996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</v>
      </c>
      <c r="C80" s="215"/>
      <c r="D80" s="215"/>
      <c r="E80" s="430" t="n">
        <f aca="false">E79+D82</f>
        <v>838.75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69.8958333333333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2651.74972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220.979143333333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10396.499664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73.3919903670835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10469.8916543671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872.490971197257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872.490971197257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262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263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264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265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872.490971197257</v>
      </c>
      <c r="B134" s="321" t="n">
        <f aca="false">IF(A111="YES", B95, 0)</f>
        <v>0</v>
      </c>
      <c r="C134" s="326"/>
      <c r="D134" s="321" t="n">
        <f aca="false">B97</f>
        <v>872.490971197257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251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872.490971197257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240</v>
      </c>
      <c r="O138" s="215"/>
      <c r="P138" s="215" t="s">
        <v>244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872.490971197257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253</v>
      </c>
      <c r="N141" s="215" t="s">
        <v>254</v>
      </c>
      <c r="O141" s="215"/>
      <c r="P141" s="215" t="s">
        <v>258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872.490971197257</v>
      </c>
      <c r="B143" s="38" t="n">
        <f aca="false">IF(A111="YES", B95, 0)</f>
        <v>0</v>
      </c>
      <c r="C143" s="317"/>
      <c r="D143" s="38" t="n">
        <f aca="false">B97</f>
        <v>872.490971197257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258.99996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358.991626666667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872.490971197257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872.490971197257</v>
      </c>
      <c r="B177" s="355" t="n">
        <f aca="false">IF(A111="YES", B95, 0)</f>
        <v>0</v>
      </c>
      <c r="C177" s="358"/>
      <c r="D177" s="355" t="n">
        <f aca="false">B91</f>
        <v>10396.499664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872.490971197257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872.490971197257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872.490971197257</v>
      </c>
      <c r="B186" s="103" t="n">
        <f aca="false">IF(A111="YES", B95, 0)</f>
        <v>0</v>
      </c>
      <c r="C186" s="353"/>
      <c r="D186" s="103" t="n">
        <f aca="false">B97</f>
        <v>872.490971197257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258.99996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358.991626666667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1812.99972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258.99996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1653.99142666667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1812.99972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258.99996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1653.99142666667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73.3919903670835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</v>
      </c>
      <c r="C9" s="14" t="n">
        <f aca="false">B9*0.2</f>
        <v>12000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238</v>
      </c>
      <c r="B29" s="223" t="n">
        <v>12345</v>
      </c>
      <c r="C29" s="223"/>
      <c r="D29" s="224" t="n">
        <f aca="true">TODAY()+1</f>
        <v>45196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242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248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256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72000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5040</v>
      </c>
      <c r="C70" s="215" t="n">
        <v>10000</v>
      </c>
      <c r="D70" s="291" t="n">
        <f aca="false">B70-A149</f>
        <v>5040</v>
      </c>
      <c r="E70" s="216" t="n">
        <f aca="false">D70/12</f>
        <v>420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720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</v>
      </c>
      <c r="C80" s="215"/>
      <c r="D80" s="215"/>
      <c r="E80" s="430" t="n">
        <f aca="false">E79+D82</f>
        <v>838.75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69.8958333333333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6545.41666666667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545.451388888889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12557.4166666667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106.375857200484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12663.7925238672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1055.3160436556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1055.3160436556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262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263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264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265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1055.3160436556</v>
      </c>
      <c r="B134" s="321" t="n">
        <f aca="false">IF(A111="YES", B95, 0)</f>
        <v>0</v>
      </c>
      <c r="C134" s="326"/>
      <c r="D134" s="321" t="n">
        <f aca="false">B97</f>
        <v>1055.3160436556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251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1055.3160436556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240</v>
      </c>
      <c r="O138" s="215"/>
      <c r="P138" s="215" t="s">
        <v>244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1055.3160436556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253</v>
      </c>
      <c r="N141" s="215" t="s">
        <v>254</v>
      </c>
      <c r="O141" s="215"/>
      <c r="P141" s="215" t="s">
        <v>258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1055.3160436556</v>
      </c>
      <c r="B143" s="38" t="n">
        <f aca="false">IF(A111="YES", B95, 0)</f>
        <v>0</v>
      </c>
      <c r="C143" s="317"/>
      <c r="D143" s="38" t="n">
        <f aca="false">B97</f>
        <v>1055.3160436556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720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1219.99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1055.3160436556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1055.3160436556</v>
      </c>
      <c r="B177" s="355" t="n">
        <f aca="false">IF(A111="YES", B95, 0)</f>
        <v>0</v>
      </c>
      <c r="C177" s="358"/>
      <c r="D177" s="355" t="n">
        <f aca="false">B91</f>
        <v>12557.4166666667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1055.3160436556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1055.3160436556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1055.3160436556</v>
      </c>
      <c r="B186" s="103" t="n">
        <f aca="false">IF(A111="YES", B95, 0)</f>
        <v>0</v>
      </c>
      <c r="C186" s="353"/>
      <c r="D186" s="103" t="n">
        <f aca="false">B97</f>
        <v>1055.3160436556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720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1219.99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5040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720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4659.99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5040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720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4659.99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106.375857200484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18400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354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276.696116598123</v>
      </c>
      <c r="F33" s="232"/>
      <c r="G33" s="232"/>
      <c r="H33" s="47"/>
      <c r="I33" s="2"/>
      <c r="J33" s="34" t="s">
        <v>355</v>
      </c>
      <c r="K33" s="48" t="n">
        <f aca="false">E21</f>
        <v>21583.33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276.696116598123</v>
      </c>
      <c r="B36" s="232" t="str">
        <f aca="false">IF(B26="YES", K42, "0.00")</f>
        <v>0.00</v>
      </c>
      <c r="C36" s="232"/>
      <c r="D36" s="232"/>
      <c r="E36" s="232" t="n">
        <f aca="false">K31</f>
        <v>18400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84</v>
      </c>
      <c r="K39" s="2" t="n">
        <f aca="false">K33</f>
        <v>21583.33</v>
      </c>
      <c r="L39" s="2" t="n">
        <f aca="false">(L47*K46)+K44</f>
        <v>38657.4216273967</v>
      </c>
      <c r="N39" s="1" t="n">
        <f aca="false">K39-L39</f>
        <v>-17074.0916273967</v>
      </c>
      <c r="P39" s="212"/>
    </row>
    <row r="40" customFormat="false" ht="17.35" hidden="false" customHeight="false" outlineLevel="0" collapsed="false">
      <c r="A40" s="107" t="n">
        <f aca="false">E36*A45/100</f>
        <v>18400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15333.3333333333</v>
      </c>
      <c r="L40" s="2" t="n">
        <f aca="false">K39-L39</f>
        <v>-17074.0916273967</v>
      </c>
      <c r="N40" s="1" t="n">
        <f aca="false">N38-N39</f>
        <v>19985.7716273967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12555.4305373983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366</v>
      </c>
      <c r="K45" s="2" t="n">
        <f aca="false">(K39-K44)</f>
        <v>9027.89946260172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276.696116598123</v>
      </c>
      <c r="L47" s="2" t="n">
        <f aca="false">L49-K42</f>
        <v>800</v>
      </c>
      <c r="M47" s="1" t="n">
        <f aca="false">K47-L47</f>
        <v>-523.303883401877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276.696116598123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276.696116598123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-24862.4019046484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0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276.696116598123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276.696116598123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276.696116598123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276.696116598123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0</v>
      </c>
      <c r="C81" s="93"/>
      <c r="D81" s="93"/>
      <c r="E81" s="113"/>
      <c r="F81" s="25" t="s">
        <v>105</v>
      </c>
      <c r="G81" s="27" t="n">
        <f aca="false">G158</f>
        <v>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18400</v>
      </c>
      <c r="C82" s="93"/>
      <c r="D82" s="93"/>
      <c r="E82" s="113"/>
      <c r="F82" s="31" t="s">
        <v>106</v>
      </c>
      <c r="G82" s="33" t="n">
        <f aca="false">IF(A111 = "Yes", A40, 0)</f>
        <v>18400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18400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18400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0.137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0.0114166666666667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12227.3969358089</v>
      </c>
      <c r="C86" s="93"/>
      <c r="D86" s="93"/>
      <c r="E86" s="113"/>
      <c r="F86" s="31" t="s">
        <v>110</v>
      </c>
      <c r="G86" s="33" t="n">
        <f aca="false">(G82/((1+G84)^(G85+1)))</f>
        <v>15148.126943371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12447.0083963501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12447.0083963501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28.719487222345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-12227.3969358089</v>
      </c>
      <c r="C88" s="93"/>
      <c r="D88" s="93"/>
      <c r="E88" s="113"/>
      <c r="F88" s="31" t="s">
        <v>112</v>
      </c>
      <c r="G88" s="33" t="n">
        <f aca="false">G81-G86</f>
        <v>-15148.126943371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-425.752620203313</v>
      </c>
      <c r="C89" s="93"/>
      <c r="D89" s="93"/>
      <c r="E89" s="113"/>
      <c r="F89" s="31" t="s">
        <v>113</v>
      </c>
      <c r="G89" s="33" t="n">
        <f aca="false">(G88/G87)</f>
        <v>-476.29297063045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-14901.3417071159</v>
      </c>
      <c r="C90" s="93"/>
      <c r="D90" s="93"/>
      <c r="E90" s="113"/>
      <c r="F90" s="31" t="s">
        <v>114</v>
      </c>
      <c r="G90" s="33" t="n">
        <f aca="false">((G89*(G85))+G77)</f>
        <v>-16670.2539720657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-0</v>
      </c>
      <c r="C91" s="93"/>
      <c r="D91" s="93"/>
      <c r="E91" s="113"/>
      <c r="F91" s="31" t="s">
        <v>115</v>
      </c>
      <c r="G91" s="33" t="n">
        <f aca="false">(((G89*(G85))+G77)/(1-G71))*G71</f>
        <v>-0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-14901.3417071159</v>
      </c>
      <c r="C92" s="93"/>
      <c r="D92" s="93"/>
      <c r="E92" s="113"/>
      <c r="F92" s="56" t="s">
        <v>116</v>
      </c>
      <c r="G92" s="65" t="n">
        <f aca="false">(G90+G91)</f>
        <v>-16670.2539720657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-425.752620203313</v>
      </c>
      <c r="C95" s="93"/>
      <c r="D95" s="93"/>
      <c r="E95" s="113"/>
      <c r="F95" s="95" t="s">
        <v>118</v>
      </c>
      <c r="G95" s="96" t="n">
        <f aca="false">G92/(G85)</f>
        <v>-476.29297063045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-425.752620203313</v>
      </c>
      <c r="C96" s="93"/>
      <c r="D96" s="93"/>
      <c r="E96" s="113"/>
      <c r="F96" s="97" t="s">
        <v>119</v>
      </c>
      <c r="G96" s="98" t="n">
        <f aca="false">G94+G95</f>
        <v>-476.29297063045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0.137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21583.33</v>
      </c>
      <c r="C121" s="121" t="n">
        <v>0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21583.33</v>
      </c>
      <c r="C125" s="133" t="n">
        <f aca="false">C121-C124</f>
        <v>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21583.33</v>
      </c>
      <c r="H135" s="153" t="n">
        <f aca="false">C125+E125+G125+H128</f>
        <v>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4316.666</v>
      </c>
      <c r="H137" s="33" t="n">
        <f aca="false">(H135+H136)*20%</f>
        <v>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25899.996</v>
      </c>
      <c r="H141" s="157" t="n">
        <f aca="false">(H135+H136+H139+H140+H137)-H138</f>
        <v>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25899.996</v>
      </c>
      <c r="H147" s="164" t="n">
        <f aca="false">H141-((H144*1.2)+(H145*1.2)+(H146*1.2)+(H142*1.2))</f>
        <v>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-21583.33</v>
      </c>
      <c r="I148" s="1" t="n">
        <f aca="false">(H148-G81)/1.2</f>
        <v>-17986.1083333333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-425.752620203313</v>
      </c>
      <c r="B167" s="177" t="str">
        <f aca="false">B94</f>
        <v>0</v>
      </c>
      <c r="C167" s="174"/>
      <c r="D167" s="174"/>
      <c r="E167" s="177" t="n">
        <f aca="false">B96</f>
        <v>-425.752620203313</v>
      </c>
      <c r="F167" s="23"/>
      <c r="G167" s="23" t="n">
        <f aca="false">ROUND(G95, 2)</f>
        <v>-476.29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18400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18400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18400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18400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0</v>
      </c>
      <c r="B173" s="103" t="n">
        <f aca="false">H137</f>
        <v>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3498.65829288406</v>
      </c>
      <c r="B182" s="103" t="str">
        <f aca="false">B114</f>
        <v>239.99</v>
      </c>
      <c r="C182" s="103"/>
      <c r="D182" s="23"/>
      <c r="E182" s="103" t="n">
        <f aca="false">E179+A182+B182+A185</f>
        <v>3748.64829288406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IF(A40=0,(E167),(E170+A185))</f>
        <v>18410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18420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18410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18410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0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99.9916666666667</v>
      </c>
      <c r="C191" s="93"/>
      <c r="D191" s="93"/>
      <c r="E191" s="103" t="n">
        <f aca="false">H148</f>
        <v>-21583.33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-425.752620203313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1729.85</v>
      </c>
      <c r="B201" s="186" t="n">
        <f aca="false">E179+A201+B182+A185</f>
        <v>1979.84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-425.752620203313</v>
      </c>
      <c r="B212" s="177" t="str">
        <f aca="false">B167</f>
        <v>0</v>
      </c>
      <c r="C212" s="174"/>
      <c r="D212" s="174"/>
      <c r="E212" s="177" t="n">
        <f aca="false">E167</f>
        <v>-425.752620203313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0</v>
      </c>
      <c r="B215" s="103" t="n">
        <f aca="false">B173</f>
        <v>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3498.65829288406</v>
      </c>
      <c r="B224" s="103" t="str">
        <f aca="false">B182</f>
        <v>239.99</v>
      </c>
      <c r="C224" s="103"/>
      <c r="D224" s="113"/>
      <c r="E224" s="103" t="n">
        <f aca="false">E182</f>
        <v>3748.64829288406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-425.752620203313</v>
      </c>
      <c r="B230" s="103" t="str">
        <f aca="false">B167</f>
        <v>0</v>
      </c>
      <c r="C230" s="186"/>
      <c r="D230" s="186"/>
      <c r="E230" s="103" t="n">
        <f aca="false">E167</f>
        <v>-425.752620203313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18400</v>
      </c>
      <c r="B233" s="103" t="n">
        <f aca="false">E185</f>
        <v>18410</v>
      </c>
      <c r="C233" s="93"/>
      <c r="D233" s="93"/>
      <c r="E233" s="103" t="n">
        <f aca="false">J18*0.000006*100*1.2</f>
        <v>26.9316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26.9316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-21583.33</v>
      </c>
      <c r="B240" s="103" t="n">
        <f aca="false">B68</f>
        <v>0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-21483.3383333333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1778.80829288406</v>
      </c>
      <c r="C254" s="197"/>
      <c r="D254" s="198" t="s">
        <v>216</v>
      </c>
      <c r="E254" s="198"/>
      <c r="F254" s="200" t="n">
        <f aca="false">F261+F267+F269+B270+B271</f>
        <v>0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1878.79995955073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0.137</v>
      </c>
      <c r="C260" s="43"/>
      <c r="D260" s="166" t="s">
        <v>215</v>
      </c>
      <c r="E260" s="166"/>
      <c r="F260" s="146" t="n">
        <f aca="false">B254</f>
        <v>1778.80829288406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0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1878.79995955073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-0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18400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354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276.696116598123</v>
      </c>
      <c r="F33" s="232"/>
      <c r="G33" s="232"/>
      <c r="H33" s="47"/>
      <c r="I33" s="2"/>
      <c r="J33" s="34" t="s">
        <v>355</v>
      </c>
      <c r="K33" s="48" t="n">
        <f aca="false">E21</f>
        <v>21583.33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276.696116598123</v>
      </c>
      <c r="B36" s="232" t="str">
        <f aca="false">IF(B26="YES", K42, "0.00")</f>
        <v>0.00</v>
      </c>
      <c r="C36" s="232"/>
      <c r="D36" s="232"/>
      <c r="E36" s="232" t="n">
        <f aca="false">K31</f>
        <v>18400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84</v>
      </c>
      <c r="K39" s="2" t="n">
        <f aca="false">K33</f>
        <v>21583.33</v>
      </c>
      <c r="L39" s="2" t="n">
        <f aca="false">(L47*K46)+K44</f>
        <v>38657.4216273967</v>
      </c>
      <c r="N39" s="1" t="n">
        <f aca="false">K39-L39</f>
        <v>-17074.0916273967</v>
      </c>
      <c r="P39" s="212"/>
    </row>
    <row r="40" customFormat="false" ht="17.35" hidden="false" customHeight="false" outlineLevel="0" collapsed="false">
      <c r="A40" s="107" t="n">
        <f aca="false">E36*A45/100</f>
        <v>18400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15333.3333333333</v>
      </c>
      <c r="L40" s="2" t="n">
        <f aca="false">K39-L39</f>
        <v>-17074.0916273967</v>
      </c>
      <c r="N40" s="1" t="n">
        <f aca="false">N38-N39</f>
        <v>19985.7716273967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12555.4305373983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366</v>
      </c>
      <c r="K45" s="2" t="n">
        <f aca="false">(K39-K44)</f>
        <v>9027.89946260172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276.696116598123</v>
      </c>
      <c r="L47" s="2" t="n">
        <f aca="false">L49-K42</f>
        <v>800</v>
      </c>
      <c r="M47" s="1" t="n">
        <f aca="false">K47-L47</f>
        <v>-523.303883401877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276.696116598123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276.696116598123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3021.90227984685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212.499966666667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276.696116598123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276.696116598123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276.696116598123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276.696116598123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25499.996</v>
      </c>
      <c r="C81" s="93"/>
      <c r="D81" s="93"/>
      <c r="E81" s="113"/>
      <c r="F81" s="25" t="s">
        <v>105</v>
      </c>
      <c r="G81" s="27" t="n">
        <f aca="false">G158</f>
        <v>25499.996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18400</v>
      </c>
      <c r="C82" s="93"/>
      <c r="D82" s="93"/>
      <c r="E82" s="113"/>
      <c r="F82" s="31" t="s">
        <v>106</v>
      </c>
      <c r="G82" s="33" t="n">
        <f aca="false">IF(A111 = "Yes", A40, 0)</f>
        <v>18400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18400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18400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14102.2720269789</v>
      </c>
      <c r="C86" s="93"/>
      <c r="D86" s="93"/>
      <c r="E86" s="113"/>
      <c r="F86" s="31" t="s">
        <v>110</v>
      </c>
      <c r="G86" s="33" t="n">
        <f aca="false">(G82/((1+G84)^(G85+1)))</f>
        <v>15148.126943371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12447.0083963501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12447.0083963501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30.7264493562845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11397.7239730211</v>
      </c>
      <c r="C88" s="93"/>
      <c r="D88" s="93"/>
      <c r="E88" s="113"/>
      <c r="F88" s="31" t="s">
        <v>112</v>
      </c>
      <c r="G88" s="33" t="n">
        <f aca="false">G81-G86</f>
        <v>10351.869056629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370.94178506798</v>
      </c>
      <c r="C89" s="93"/>
      <c r="D89" s="93"/>
      <c r="E89" s="113"/>
      <c r="F89" s="31" t="s">
        <v>113</v>
      </c>
      <c r="G89" s="33" t="n">
        <f aca="false">(G88/G87)</f>
        <v>325.487268689473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12982.9624773793</v>
      </c>
      <c r="C90" s="93"/>
      <c r="D90" s="93"/>
      <c r="E90" s="113"/>
      <c r="F90" s="31" t="s">
        <v>114</v>
      </c>
      <c r="G90" s="33" t="n">
        <f aca="false">((G89*(G85))+G77)</f>
        <v>11392.0544041315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12982.9624773793</v>
      </c>
      <c r="C92" s="93"/>
      <c r="D92" s="93"/>
      <c r="E92" s="113"/>
      <c r="F92" s="56" t="s">
        <v>116</v>
      </c>
      <c r="G92" s="65" t="n">
        <f aca="false">(G90+G91)</f>
        <v>11392.0544041315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370.94178506798</v>
      </c>
      <c r="C95" s="93"/>
      <c r="D95" s="93"/>
      <c r="E95" s="113"/>
      <c r="F95" s="95" t="s">
        <v>118</v>
      </c>
      <c r="G95" s="96" t="n">
        <f aca="false">G92/(G85)</f>
        <v>325.487268689473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370.94178506798</v>
      </c>
      <c r="C96" s="93"/>
      <c r="D96" s="93"/>
      <c r="E96" s="113"/>
      <c r="F96" s="97" t="s">
        <v>119</v>
      </c>
      <c r="G96" s="98" t="n">
        <f aca="false">G94+G95</f>
        <v>325.487268689473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234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21583.33</v>
      </c>
      <c r="C121" s="121" t="n">
        <v>23333.33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21583.33</v>
      </c>
      <c r="C125" s="133" t="n">
        <f aca="false">C121-C124</f>
        <v>23333.33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21583.33</v>
      </c>
      <c r="H135" s="153" t="n">
        <f aca="false">C125+E125+G125+H128</f>
        <v>23333.33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4316.666</v>
      </c>
      <c r="H137" s="33" t="n">
        <f aca="false">(H135+H136)*20%</f>
        <v>4666.666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25899.996</v>
      </c>
      <c r="H141" s="157" t="n">
        <f aca="false">(H135+H136+H139+H140+H137)-H138</f>
        <v>27999.996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25899.996</v>
      </c>
      <c r="H147" s="164" t="n">
        <f aca="false">H141-((H144*1.2)+(H145*1.2)+(H146*1.2)+(H142*1.2))</f>
        <v>27999.996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-19791.6633333333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25499.996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370.94178506798</v>
      </c>
      <c r="B167" s="177" t="str">
        <f aca="false">B94</f>
        <v>0</v>
      </c>
      <c r="C167" s="174"/>
      <c r="D167" s="174"/>
      <c r="E167" s="177" t="n">
        <f aca="false">B96</f>
        <v>370.94178506798</v>
      </c>
      <c r="F167" s="23"/>
      <c r="G167" s="23" t="n">
        <f aca="false">ROUND(G95, 2)</f>
        <v>325.49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18400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18400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18400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18400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23333.33</v>
      </c>
      <c r="B173" s="103" t="n">
        <f aca="false">H137</f>
        <v>4666.666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27999.996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25499.996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5882.96647737928</v>
      </c>
      <c r="B182" s="103" t="str">
        <f aca="false">B114</f>
        <v>199.99</v>
      </c>
      <c r="C182" s="103"/>
      <c r="D182" s="23"/>
      <c r="E182" s="103" t="n">
        <f aca="false">E179+A182+(B182*1.2)+A185</f>
        <v>31632.9504773793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IF(A40=0,(E167),(E170+A185))</f>
        <v>18410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18420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18410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18410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212.499966666667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312.489966666667</v>
      </c>
      <c r="C191" s="93"/>
      <c r="D191" s="93"/>
      <c r="E191" s="103" t="n">
        <f aca="false">H148</f>
        <v>1750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370.94178506798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4292.154</v>
      </c>
      <c r="B201" s="186" t="n">
        <f aca="false">E179+A201+(B182*1.2)+A185</f>
        <v>30042.138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370.94178506798</v>
      </c>
      <c r="B212" s="177" t="str">
        <f aca="false">B167</f>
        <v>0</v>
      </c>
      <c r="C212" s="174"/>
      <c r="D212" s="174"/>
      <c r="E212" s="177" t="n">
        <f aca="false">E167</f>
        <v>370.94178506798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23333.33</v>
      </c>
      <c r="B215" s="103" t="n">
        <f aca="false">B173</f>
        <v>4666.666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27999.996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25499.996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5882.96647737928</v>
      </c>
      <c r="B224" s="103" t="str">
        <f aca="false">B182</f>
        <v>199.99</v>
      </c>
      <c r="C224" s="103"/>
      <c r="D224" s="113"/>
      <c r="E224" s="103" t="n">
        <f aca="false">E182</f>
        <v>31632.9504773793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370.94178506798</v>
      </c>
      <c r="B230" s="103" t="str">
        <f aca="false">B167</f>
        <v>0</v>
      </c>
      <c r="C230" s="186"/>
      <c r="D230" s="186"/>
      <c r="E230" s="103" t="n">
        <f aca="false">E167</f>
        <v>370.94178506798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18400</v>
      </c>
      <c r="B233" s="103" t="n">
        <f aca="false">E185</f>
        <v>18410</v>
      </c>
      <c r="C233" s="93"/>
      <c r="D233" s="93"/>
      <c r="E233" s="103" t="n">
        <f aca="false">J18*0.000006*100</f>
        <v>22.443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22.443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B68</f>
        <v>212.499966666667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2062.48996666667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1600.81247737928</v>
      </c>
      <c r="C254" s="197"/>
      <c r="D254" s="198" t="s">
        <v>216</v>
      </c>
      <c r="E254" s="198"/>
      <c r="F254" s="200" t="n">
        <f aca="false">F261+F267+F269+B270+B271</f>
        <v>254.99996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1445.80251737928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1600.81247737928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254.99996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1445.80251737928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401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18400.0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354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284.653231410808</v>
      </c>
      <c r="F33" s="232"/>
      <c r="G33" s="232"/>
      <c r="H33" s="47"/>
      <c r="I33" s="2"/>
      <c r="J33" s="34" t="s">
        <v>355</v>
      </c>
      <c r="K33" s="48" t="n">
        <f aca="false">E21</f>
        <v>21583.33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284.653231410808</v>
      </c>
      <c r="B36" s="232" t="str">
        <f aca="false">IF(B26="YES", K42, "0.00")</f>
        <v>0.00</v>
      </c>
      <c r="C36" s="232"/>
      <c r="D36" s="232"/>
      <c r="E36" s="232" t="n">
        <f aca="false">K31</f>
        <v>18400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84</v>
      </c>
      <c r="K39" s="2" t="n">
        <f aca="false">K33</f>
        <v>21583.33</v>
      </c>
      <c r="L39" s="2" t="n">
        <f aca="false">(L47*K46)+K44</f>
        <v>38273.5898011779</v>
      </c>
      <c r="N39" s="1" t="n">
        <f aca="false">K39-L39</f>
        <v>-16690.2598011779</v>
      </c>
      <c r="P39" s="212"/>
    </row>
    <row r="40" customFormat="false" ht="17.35" hidden="false" customHeight="false" outlineLevel="0" collapsed="false">
      <c r="A40" s="107" t="n">
        <f aca="false">E36*A45/100</f>
        <v>18400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15333.3333333333</v>
      </c>
      <c r="L40" s="2" t="n">
        <f aca="false">K39-L39</f>
        <v>-16690.2598011779</v>
      </c>
      <c r="N40" s="1" t="n">
        <f aca="false">N38-N39</f>
        <v>19601.9398011779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12364.4182398713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40</v>
      </c>
      <c r="D45" s="62"/>
      <c r="E45" s="62"/>
      <c r="F45" s="93"/>
      <c r="G45" s="93"/>
      <c r="H45" s="33"/>
      <c r="J45" s="2" t="s">
        <v>366</v>
      </c>
      <c r="K45" s="2" t="n">
        <f aca="false">(K39-K44)</f>
        <v>9218.91176012867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284.653231410808</v>
      </c>
      <c r="L47" s="2" t="n">
        <f aca="false">L49-K42</f>
        <v>800</v>
      </c>
      <c r="M47" s="1" t="n">
        <f aca="false">K47-L47</f>
        <v>-515.346768589192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284.653231410808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284.653231410808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4795.44701941607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212.499966666667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284.653231410808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284.653231410808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284.653231410808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284.653231410808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25499.996</v>
      </c>
      <c r="C81" s="93"/>
      <c r="D81" s="93"/>
      <c r="E81" s="113"/>
      <c r="F81" s="25" t="s">
        <v>105</v>
      </c>
      <c r="G81" s="27" t="n">
        <f aca="false">G158</f>
        <v>25499.996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18400</v>
      </c>
      <c r="C82" s="93"/>
      <c r="D82" s="93"/>
      <c r="E82" s="113"/>
      <c r="F82" s="31" t="s">
        <v>106</v>
      </c>
      <c r="G82" s="33" t="n">
        <f aca="false">IF(A111 = "Yes", A40, 0)</f>
        <v>18400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18400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18400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12860.2190731416</v>
      </c>
      <c r="C86" s="93"/>
      <c r="D86" s="93"/>
      <c r="E86" s="113"/>
      <c r="F86" s="31" t="s">
        <v>110</v>
      </c>
      <c r="G86" s="33" t="n">
        <f aca="false">(G82/((1+G84)^(G85+1)))</f>
        <v>14923.8528155247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12447.0083963501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12447.0083963501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12639.7769268584</v>
      </c>
      <c r="C88" s="93"/>
      <c r="D88" s="93"/>
      <c r="E88" s="113"/>
      <c r="F88" s="31" t="s">
        <v>112</v>
      </c>
      <c r="G88" s="33" t="n">
        <f aca="false">G81-G86</f>
        <v>10576.1431844753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429.798952863005</v>
      </c>
      <c r="C89" s="93"/>
      <c r="D89" s="93"/>
      <c r="E89" s="113"/>
      <c r="F89" s="31" t="s">
        <v>113</v>
      </c>
      <c r="G89" s="33" t="n">
        <f aca="false">(G88/G87)</f>
        <v>334.948980635417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15042.9633502052</v>
      </c>
      <c r="C90" s="93"/>
      <c r="D90" s="93"/>
      <c r="E90" s="113"/>
      <c r="F90" s="31" t="s">
        <v>114</v>
      </c>
      <c r="G90" s="33" t="n">
        <f aca="false">((G89*(G85))+G77)</f>
        <v>11723.2143222396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15042.9633502052</v>
      </c>
      <c r="C92" s="93"/>
      <c r="D92" s="93"/>
      <c r="E92" s="113"/>
      <c r="F92" s="56" t="s">
        <v>116</v>
      </c>
      <c r="G92" s="65" t="n">
        <f aca="false">(G90+G91)</f>
        <v>11723.2143222396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429.798952863005</v>
      </c>
      <c r="C95" s="93"/>
      <c r="D95" s="93"/>
      <c r="E95" s="113"/>
      <c r="F95" s="95" t="s">
        <v>118</v>
      </c>
      <c r="G95" s="96" t="n">
        <f aca="false">G92/(G85)</f>
        <v>334.948980635417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429.798952863005</v>
      </c>
      <c r="C96" s="93"/>
      <c r="D96" s="93"/>
      <c r="E96" s="113"/>
      <c r="F96" s="97" t="s">
        <v>119</v>
      </c>
      <c r="G96" s="98" t="n">
        <f aca="false">G94+G95</f>
        <v>334.948980635417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401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394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393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21583.33</v>
      </c>
      <c r="C121" s="121" t="n">
        <v>23333.33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21583.33</v>
      </c>
      <c r="C125" s="133" t="n">
        <f aca="false">C121-C124</f>
        <v>23333.33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21583.33</v>
      </c>
      <c r="H135" s="153" t="n">
        <f aca="false">C125+E125+G125+H128</f>
        <v>23333.33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4316.666</v>
      </c>
      <c r="H137" s="33" t="n">
        <f aca="false">(H135+H136)*20%</f>
        <v>4666.666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25899.996</v>
      </c>
      <c r="H141" s="157" t="n">
        <f aca="false">(H135+H136+H139+H140+H137)-H138</f>
        <v>27999.996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25899.996</v>
      </c>
      <c r="H147" s="164" t="n">
        <f aca="false">H141-((H144*1.2)+(H145*1.2)+(H146*1.2)+(H142*1.2))</f>
        <v>27999.996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-19791.6633333333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25499.996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429.798952863005</v>
      </c>
      <c r="B167" s="177" t="str">
        <f aca="false">B94</f>
        <v>0</v>
      </c>
      <c r="C167" s="174"/>
      <c r="D167" s="174"/>
      <c r="E167" s="177" t="n">
        <f aca="false">B96</f>
        <v>429.798952863005</v>
      </c>
      <c r="F167" s="23"/>
      <c r="G167" s="23" t="n">
        <f aca="false">ROUND(G95, 2)</f>
        <v>334.95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18400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18400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18400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18400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23333.33</v>
      </c>
      <c r="B173" s="103" t="n">
        <f aca="false">H137</f>
        <v>4666.666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27999.996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25499.996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7942.96735020517</v>
      </c>
      <c r="B182" s="103" t="str">
        <f aca="false">B114</f>
        <v>239.99</v>
      </c>
      <c r="C182" s="103"/>
      <c r="D182" s="23"/>
      <c r="E182" s="103" t="n">
        <f aca="false">E179+A182+B182+A185</f>
        <v>33692.9533502052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IF(A40=0,(E167+A185),(E170+A185))</f>
        <v>18410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18420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18410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18410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0)*100*1.2</f>
        <v>0</v>
      </c>
      <c r="B188" s="103" t="n">
        <f aca="false">(G158*B67)/1.2</f>
        <v>212.499966666667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312.491633333333</v>
      </c>
      <c r="C191" s="93"/>
      <c r="D191" s="93"/>
      <c r="E191" s="103" t="n">
        <f aca="false">H148</f>
        <v>1750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429.798952863005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4623.254</v>
      </c>
      <c r="B201" s="186" t="n">
        <f aca="false">E179+A201+B182+A185</f>
        <v>30373.24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429.798952863005</v>
      </c>
      <c r="B212" s="177" t="str">
        <f aca="false">B167</f>
        <v>0</v>
      </c>
      <c r="C212" s="174"/>
      <c r="D212" s="174"/>
      <c r="E212" s="177" t="n">
        <f aca="false">E167</f>
        <v>429.798952863005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23333.33</v>
      </c>
      <c r="B215" s="103" t="n">
        <f aca="false">B173</f>
        <v>4666.666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27999.996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25499.996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7942.96735020517</v>
      </c>
      <c r="B224" s="103" t="str">
        <f aca="false">B182</f>
        <v>239.99</v>
      </c>
      <c r="C224" s="103"/>
      <c r="D224" s="113"/>
      <c r="E224" s="103" t="n">
        <f aca="false">E182</f>
        <v>33692.9533502052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429.798952863005</v>
      </c>
      <c r="B230" s="103" t="str">
        <f aca="false">B167</f>
        <v>0</v>
      </c>
      <c r="C230" s="186"/>
      <c r="D230" s="186"/>
      <c r="E230" s="103" t="n">
        <f aca="false">E167</f>
        <v>429.798952863005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18400</v>
      </c>
      <c r="B233" s="103" t="n">
        <f aca="false">E185</f>
        <v>18410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B68</f>
        <v>212.499966666667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2062.49163333333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3329.71335020517</v>
      </c>
      <c r="C254" s="197"/>
      <c r="D254" s="198" t="s">
        <v>216</v>
      </c>
      <c r="E254" s="198"/>
      <c r="F254" s="200" t="n">
        <f aca="false">F261+F267+F269+B270+B271</f>
        <v>254.99996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3174.70505687184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3329.71335020517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254.99996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3174.70505687184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 t="s">
        <v>4</v>
      </c>
      <c r="C3" s="267" t="n">
        <v>0</v>
      </c>
      <c r="D3" s="267" t="s">
        <v>4</v>
      </c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25899.996</v>
      </c>
      <c r="C4" s="269" t="n">
        <v>0</v>
      </c>
      <c r="D4" s="269" t="n">
        <v>0</v>
      </c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7729.17</v>
      </c>
      <c r="C9" s="14" t="n">
        <f aca="false">B9*0.2</f>
        <v>4316.666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18400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354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284.653231410808</v>
      </c>
      <c r="F33" s="232"/>
      <c r="G33" s="232"/>
      <c r="H33" s="47"/>
      <c r="I33" s="2"/>
      <c r="J33" s="34" t="s">
        <v>355</v>
      </c>
      <c r="K33" s="48" t="n">
        <f aca="false">E21</f>
        <v>21583.33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284.653231410808</v>
      </c>
      <c r="B36" s="232" t="str">
        <f aca="false">IF(B26="YES", K42, "0.00")</f>
        <v>0.00</v>
      </c>
      <c r="C36" s="232"/>
      <c r="D36" s="232"/>
      <c r="E36" s="232" t="n">
        <f aca="false">K31</f>
        <v>18400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84</v>
      </c>
      <c r="K39" s="2" t="n">
        <f aca="false">K33</f>
        <v>21583.33</v>
      </c>
      <c r="L39" s="2" t="n">
        <f aca="false">(L47*K46)+K44</f>
        <v>38273.5898011779</v>
      </c>
      <c r="N39" s="1" t="n">
        <f aca="false">K39-L39</f>
        <v>-16690.2598011779</v>
      </c>
      <c r="P39" s="212"/>
    </row>
    <row r="40" customFormat="false" ht="17.35" hidden="false" customHeight="false" outlineLevel="0" collapsed="false">
      <c r="A40" s="107" t="n">
        <f aca="false">E36*A45/100</f>
        <v>18400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15333.3333333333</v>
      </c>
      <c r="L40" s="2" t="n">
        <f aca="false">K39-L39</f>
        <v>-16690.2598011779</v>
      </c>
      <c r="N40" s="1" t="n">
        <f aca="false">N38-N39</f>
        <v>19601.9398011779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12364.4182398713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366</v>
      </c>
      <c r="K45" s="2" t="n">
        <f aca="false">(K39-K44)</f>
        <v>9218.91176012867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284.653231410808</v>
      </c>
      <c r="L47" s="2" t="n">
        <f aca="false">L49-K42</f>
        <v>800</v>
      </c>
      <c r="M47" s="1" t="n">
        <f aca="false">K47-L47</f>
        <v>-515.346768589192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284.653231410808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284.653231410808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4795.44701941607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212.499966666667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284.653231410808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284.653231410808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284.653231410808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284.653231410808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25499.996</v>
      </c>
      <c r="C81" s="93"/>
      <c r="D81" s="93"/>
      <c r="E81" s="113"/>
      <c r="F81" s="25" t="s">
        <v>105</v>
      </c>
      <c r="G81" s="27" t="n">
        <f aca="false">G158</f>
        <v>25499.996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18400</v>
      </c>
      <c r="C82" s="93"/>
      <c r="D82" s="93"/>
      <c r="E82" s="113"/>
      <c r="F82" s="31" t="s">
        <v>106</v>
      </c>
      <c r="G82" s="33" t="n">
        <f aca="false">IF(A111 = "Yes", A40, 0)</f>
        <v>18400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18400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18400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12860.2190731416</v>
      </c>
      <c r="C86" s="93"/>
      <c r="D86" s="93"/>
      <c r="E86" s="113"/>
      <c r="F86" s="31" t="s">
        <v>110</v>
      </c>
      <c r="G86" s="33" t="n">
        <f aca="false">(G82/((1+G84)^(G85+1)))</f>
        <v>14923.8528155247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12447.0083963501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12447.0083963501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12639.7769268584</v>
      </c>
      <c r="C88" s="93"/>
      <c r="D88" s="93"/>
      <c r="E88" s="113"/>
      <c r="F88" s="31" t="s">
        <v>112</v>
      </c>
      <c r="G88" s="33" t="n">
        <f aca="false">G81-G86</f>
        <v>10576.1431844753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429.798952863005</v>
      </c>
      <c r="C89" s="93"/>
      <c r="D89" s="93"/>
      <c r="E89" s="113"/>
      <c r="F89" s="31" t="s">
        <v>113</v>
      </c>
      <c r="G89" s="33" t="n">
        <f aca="false">(G88/G87)</f>
        <v>334.948980635417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15042.9633502052</v>
      </c>
      <c r="C90" s="93"/>
      <c r="D90" s="93"/>
      <c r="E90" s="113"/>
      <c r="F90" s="31" t="s">
        <v>114</v>
      </c>
      <c r="G90" s="33" t="n">
        <f aca="false">((G89*(G85))+G77)</f>
        <v>11723.2143222396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15042.9633502052</v>
      </c>
      <c r="C92" s="93"/>
      <c r="D92" s="93"/>
      <c r="E92" s="113"/>
      <c r="F92" s="56" t="s">
        <v>116</v>
      </c>
      <c r="G92" s="65" t="n">
        <f aca="false">(G90+G91)</f>
        <v>11723.2143222396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429.798952863005</v>
      </c>
      <c r="C95" s="93"/>
      <c r="D95" s="93"/>
      <c r="E95" s="113"/>
      <c r="F95" s="95" t="s">
        <v>118</v>
      </c>
      <c r="G95" s="96" t="n">
        <f aca="false">G92/(G85)</f>
        <v>334.948980635417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429.798952863005</v>
      </c>
      <c r="C96" s="93"/>
      <c r="D96" s="93"/>
      <c r="E96" s="113"/>
      <c r="F96" s="97" t="s">
        <v>119</v>
      </c>
      <c r="G96" s="98" t="n">
        <f aca="false">G94+G95</f>
        <v>334.948980635417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234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21583.33</v>
      </c>
      <c r="C121" s="121" t="n">
        <v>23333.33</v>
      </c>
      <c r="D121" s="120" t="n"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str">
        <f aca="false">B3</f>
        <v> </v>
      </c>
      <c r="L121" s="121" t="n">
        <v>28629.17</v>
      </c>
      <c r="M121" s="120" t="str">
        <f aca="false">D3</f>
        <v> </v>
      </c>
      <c r="N121" s="121" t="str">
        <f aca="false">M121</f>
        <v> 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str">
        <f aca="false">B3</f>
        <v> </v>
      </c>
      <c r="U121" s="121" t="str">
        <f aca="false">T121</f>
        <v> </v>
      </c>
      <c r="V121" s="120" t="str">
        <f aca="false">D3</f>
        <v> </v>
      </c>
      <c r="W121" s="121" t="str">
        <f aca="false">V121</f>
        <v> 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str">
        <f aca="false">B3</f>
        <v> </v>
      </c>
      <c r="AD121" s="121" t="str">
        <f aca="false">AC121</f>
        <v> </v>
      </c>
      <c r="AE121" s="120" t="str">
        <f aca="false">D3</f>
        <v> </v>
      </c>
      <c r="AF121" s="121" t="str">
        <f aca="false">AE121</f>
        <v> 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e">
        <f aca="false">(K121*K122)+K123</f>
        <v>#VALUE!</v>
      </c>
      <c r="L124" s="131" t="n">
        <f aca="false">(L121*L122)+L123</f>
        <v>0</v>
      </c>
      <c r="M124" s="130" t="e">
        <f aca="false">(M121*M122)+M123</f>
        <v>#VALUE!</v>
      </c>
      <c r="N124" s="131" t="e">
        <f aca="false">(N121*N122)+N123</f>
        <v>#VALUE!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e">
        <f aca="false">(T121*T122)+T123</f>
        <v>#VALUE!</v>
      </c>
      <c r="U124" s="131" t="e">
        <f aca="false">(U121*U122)+U123</f>
        <v>#VALUE!</v>
      </c>
      <c r="V124" s="130" t="e">
        <f aca="false">(V121*V122)+V123</f>
        <v>#VALUE!</v>
      </c>
      <c r="W124" s="131" t="e">
        <f aca="false">(W121*W122)+W123</f>
        <v>#VALUE!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e">
        <f aca="false">(AC121*AC122)+AC123</f>
        <v>#VALUE!</v>
      </c>
      <c r="AD124" s="131" t="e">
        <f aca="false">(AD121*AD122)+AD123</f>
        <v>#VALUE!</v>
      </c>
      <c r="AE124" s="130" t="e">
        <f aca="false">(AE121*AE122)+AE123</f>
        <v>#VALUE!</v>
      </c>
      <c r="AF124" s="131" t="e">
        <f aca="false">(AF121*AF122)+AF123</f>
        <v>#VALUE!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21583.33</v>
      </c>
      <c r="C125" s="133" t="n">
        <f aca="false">C121-C124</f>
        <v>23333.33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e">
        <f aca="false">K121-K124</f>
        <v>#VALUE!</v>
      </c>
      <c r="L125" s="133" t="n">
        <f aca="false">L121-L124</f>
        <v>28629.17</v>
      </c>
      <c r="M125" s="132" t="e">
        <f aca="false">M121-M124</f>
        <v>#VALUE!</v>
      </c>
      <c r="N125" s="133" t="e">
        <f aca="false">N121-N124</f>
        <v>#VALUE!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e">
        <f aca="false">T121-T124</f>
        <v>#VALUE!</v>
      </c>
      <c r="U125" s="133" t="e">
        <f aca="false">U121-U124</f>
        <v>#VALUE!</v>
      </c>
      <c r="V125" s="132" t="e">
        <f aca="false">V121-V124</f>
        <v>#VALUE!</v>
      </c>
      <c r="W125" s="133" t="e">
        <f aca="false">W121-W124</f>
        <v>#VALUE!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e">
        <f aca="false">AC121-AC124</f>
        <v>#VALUE!</v>
      </c>
      <c r="AD125" s="133" t="e">
        <f aca="false">AD121-AD124</f>
        <v>#VALUE!</v>
      </c>
      <c r="AE125" s="132" t="e">
        <f aca="false">AE121-AE124</f>
        <v>#VALUE!</v>
      </c>
      <c r="AF125" s="133" t="e">
        <f aca="false">AF121-AF124</f>
        <v>#VALUE!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21583.33</v>
      </c>
      <c r="H135" s="153" t="n">
        <f aca="false">C125+E125+G125+H128</f>
        <v>23333.33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4316.666</v>
      </c>
      <c r="H137" s="33" t="n">
        <f aca="false">(H135+H136)*20%</f>
        <v>4666.666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25899.996</v>
      </c>
      <c r="H141" s="157" t="n">
        <f aca="false">(H135+H136+H139+H140+H137)-H138</f>
        <v>27999.996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25899.996</v>
      </c>
      <c r="H147" s="164" t="n">
        <f aca="false">H141-((H144*1.2)+(H145*1.2)+(H146*1.2)+(H142*1.2))</f>
        <v>27999.996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-19791.6633333333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25499.996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429.798952863005</v>
      </c>
      <c r="B167" s="177" t="str">
        <f aca="false">B94</f>
        <v>0</v>
      </c>
      <c r="C167" s="174"/>
      <c r="D167" s="174"/>
      <c r="E167" s="177" t="n">
        <f aca="false">B96</f>
        <v>429.798952863005</v>
      </c>
      <c r="F167" s="23"/>
      <c r="G167" s="23" t="n">
        <f aca="false">ROUND(G95, 2)</f>
        <v>334.95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18400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18400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18400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18400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23333.33</v>
      </c>
      <c r="B173" s="103" t="n">
        <f aca="false">H137</f>
        <v>4666.666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27999.996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25499.996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7942.96735020517</v>
      </c>
      <c r="B182" s="103" t="str">
        <f aca="false">B114</f>
        <v>199.99</v>
      </c>
      <c r="C182" s="103"/>
      <c r="D182" s="23"/>
      <c r="E182" s="103" t="n">
        <f aca="false">E179+A182+(B182*1.2)+A185</f>
        <v>33692.9513502052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IF(A40=0,(E167+A185),(E170+A185))</f>
        <v>18410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18420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18410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18410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212.499966666667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312.489966666667</v>
      </c>
      <c r="C191" s="93"/>
      <c r="D191" s="93"/>
      <c r="E191" s="103" t="n">
        <f aca="false">H148</f>
        <v>1750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429.798952863005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4623.254</v>
      </c>
      <c r="B201" s="186" t="n">
        <f aca="false">E179+A201+(B182*1.2)+A185</f>
        <v>30373.238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429.798952863005</v>
      </c>
      <c r="B212" s="177" t="str">
        <f aca="false">B167</f>
        <v>0</v>
      </c>
      <c r="C212" s="174"/>
      <c r="D212" s="174"/>
      <c r="E212" s="177" t="n">
        <f aca="false">E167</f>
        <v>429.798952863005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23333.33</v>
      </c>
      <c r="B215" s="103" t="n">
        <f aca="false">B173</f>
        <v>4666.666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27999.996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25499.996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7942.96735020517</v>
      </c>
      <c r="B224" s="103" t="str">
        <f aca="false">B182</f>
        <v>199.99</v>
      </c>
      <c r="C224" s="103"/>
      <c r="D224" s="113"/>
      <c r="E224" s="103" t="n">
        <f aca="false">E182</f>
        <v>33692.9513502052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429.798952863005</v>
      </c>
      <c r="B230" s="103" t="str">
        <f aca="false">B167</f>
        <v>0</v>
      </c>
      <c r="C230" s="186"/>
      <c r="D230" s="186"/>
      <c r="E230" s="103" t="n">
        <f aca="false">E167</f>
        <v>429.798952863005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18400</v>
      </c>
      <c r="B233" s="103" t="n">
        <f aca="false">E185</f>
        <v>18410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B68</f>
        <v>212.499966666667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2062.48996666667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3329.71335020517</v>
      </c>
      <c r="C254" s="197"/>
      <c r="D254" s="198" t="s">
        <v>216</v>
      </c>
      <c r="E254" s="198"/>
      <c r="F254" s="200" t="n">
        <f aca="false">F261+F267+F269+B270+B271</f>
        <v>254.99996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3174.70339020517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3329.71335020517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254.99996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3174.70339020517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238</v>
      </c>
      <c r="B29" s="223" t="n">
        <v>12345</v>
      </c>
      <c r="C29" s="223"/>
      <c r="D29" s="224" t="n">
        <f aca="true">TODAY()+1</f>
        <v>45196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242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251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n">
        <f aca="false">IF(B38="YES", D38+A41, D38)</f>
        <v>500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253</v>
      </c>
      <c r="B43" s="240" t="s">
        <v>254</v>
      </c>
      <c r="C43" s="230"/>
      <c r="D43" s="240" t="s">
        <v>258</v>
      </c>
      <c r="E43" s="243"/>
      <c r="F43" s="63"/>
      <c r="G43" s="63" t="s">
        <v>255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0</v>
      </c>
      <c r="C44" s="104"/>
      <c r="D44" s="279" t="n">
        <f aca="false">A44+B44</f>
        <v>1</v>
      </c>
      <c r="E44" s="279"/>
      <c r="F44" s="63"/>
      <c r="G44" s="63" t="s">
        <v>256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261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25899.996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1812.99972</v>
      </c>
      <c r="C64" s="215" t="n">
        <v>10000</v>
      </c>
      <c r="D64" s="291" t="n">
        <f aca="false">B64</f>
        <v>1812.99972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258.99996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 t="n">
        <f aca="false">IF(G18&gt;40000, 325, 0)</f>
        <v>0</v>
      </c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0</v>
      </c>
      <c r="C77" s="215"/>
      <c r="D77" s="291" t="n">
        <f aca="false">B77</f>
        <v>0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215"/>
      <c r="D78" s="291" t="n">
        <f aca="false">B78</f>
        <v>0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2472.99972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206.08331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10181.999664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71.8777709237596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10253.8774349238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854.489786243647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854.489786243647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1024.59311617588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0</v>
      </c>
      <c r="C102" s="107"/>
      <c r="D102" s="107" t="n">
        <v>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262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263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264</v>
      </c>
      <c r="AA104" s="63"/>
    </row>
    <row r="105" customFormat="false" ht="18.75" hidden="false" customHeight="true" outlineLevel="0" collapsed="false">
      <c r="A105" s="222" t="s">
        <v>19</v>
      </c>
      <c r="B105" s="312" t="n">
        <v>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265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(E118+E117)-D115</f>
        <v>7239.988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854.489786243647</v>
      </c>
      <c r="B128" s="321" t="n">
        <f aca="false">IF(A105="YES", B89, 0)</f>
        <v>0</v>
      </c>
      <c r="C128" s="326"/>
      <c r="D128" s="321" t="n">
        <f aca="false">B91</f>
        <v>854.489786243647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1024.59311617588</v>
      </c>
      <c r="H130" s="177" t="n">
        <f aca="false">IF(G105="YES", H89*H57, 0)</f>
        <v>0</v>
      </c>
      <c r="I130" s="177"/>
      <c r="J130" s="334" t="n">
        <f aca="false">H91</f>
        <v>1024.59311617588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7690.40807619282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0</v>
      </c>
      <c r="I133" s="221"/>
      <c r="J133" s="184" t="n">
        <f aca="false">H91*H57</f>
        <v>1024.59311617588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7690.40807619282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854.489786243647</v>
      </c>
      <c r="B137" s="38" t="n">
        <f aca="false">IF(A105="YES", B89, 0)</f>
        <v>0</v>
      </c>
      <c r="C137" s="317"/>
      <c r="D137" s="38" t="n">
        <f aca="false">B91</f>
        <v>854.489786243647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1407.013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258.99996</v>
      </c>
      <c r="B148" s="38" t="n">
        <f aca="false">B102</f>
        <v>0</v>
      </c>
      <c r="C148" s="38"/>
      <c r="D148" s="38" t="n">
        <f aca="false">IF(A105="YES", (A38/100*B105)*B125, 0)*0.001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358.98996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1024.59311617588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854.489786243647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854.489786243647</v>
      </c>
      <c r="B171" s="355" t="n">
        <f aca="false">IF(A105="YES", B89, 0)</f>
        <v>0</v>
      </c>
      <c r="C171" s="358"/>
      <c r="D171" s="355" t="n">
        <f aca="false">B91</f>
        <v>854.489786243647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7690.40807619282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7690.40807619282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854.489786243647</v>
      </c>
      <c r="B180" s="103" t="n">
        <f aca="false">IF(A105="YES", B89, 0)</f>
        <v>0</v>
      </c>
      <c r="C180" s="353"/>
      <c r="D180" s="103" t="n">
        <f aca="false">B91</f>
        <v>854.489786243647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258.99996</v>
      </c>
      <c r="B191" s="103" t="n">
        <f aca="false">B102</f>
        <v>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358.98996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1812.99972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258.99996</v>
      </c>
      <c r="C205" s="320" t="s">
        <v>217</v>
      </c>
      <c r="D205" s="370" t="n">
        <f aca="false">B219+E215+B215+B217</f>
        <v>99.99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1653.98976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1812.99972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258.99996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0</v>
      </c>
      <c r="C217" s="336" t="s">
        <v>218</v>
      </c>
      <c r="D217" s="317"/>
      <c r="E217" s="33" t="n">
        <f aca="false">(B211-B205+D205)</f>
        <v>1653.98976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71.8777709237596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238</v>
      </c>
      <c r="B29" s="223" t="n">
        <v>12345</v>
      </c>
      <c r="C29" s="223"/>
      <c r="D29" s="224" t="n">
        <f aca="true">TODAY()+1</f>
        <v>45196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242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251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253</v>
      </c>
      <c r="B43" s="240" t="s">
        <v>254</v>
      </c>
      <c r="C43" s="230"/>
      <c r="D43" s="240" t="s">
        <v>258</v>
      </c>
      <c r="E43" s="243"/>
      <c r="F43" s="63"/>
      <c r="G43" s="63" t="s">
        <v>255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256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261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25899.996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1812.99972</v>
      </c>
      <c r="C64" s="215" t="n">
        <v>10000</v>
      </c>
      <c r="D64" s="291" t="n">
        <f aca="false">B64</f>
        <v>1812.99972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258.99996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3139.66638666667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261.638865555556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9151.66638666667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77.525209407019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9229.19159607369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65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769.099299672807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834.099299672807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1096.59311617588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262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263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264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30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265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-3760.012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769.099299672807</v>
      </c>
      <c r="B128" s="321" t="n">
        <f aca="false">IF(A105="YES", B89, 0)</f>
        <v>65</v>
      </c>
      <c r="C128" s="326"/>
      <c r="D128" s="321" t="n">
        <f aca="false">B91</f>
        <v>834.099299672807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1024.59311617588</v>
      </c>
      <c r="H130" s="177" t="n">
        <f aca="false">IF(G105="YES", H89*H57, 0)</f>
        <v>72</v>
      </c>
      <c r="I130" s="177"/>
      <c r="J130" s="334" t="n">
        <f aca="false">H91</f>
        <v>1096.59311617588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6921.89369705527</v>
      </c>
      <c r="C131" s="317"/>
      <c r="D131" s="38" t="n">
        <f aca="false">IF(A105="YES", B89*B57, 0)</f>
        <v>585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72</v>
      </c>
      <c r="I133" s="221"/>
      <c r="J133" s="184" t="n">
        <f aca="false">H91*H57</f>
        <v>1096.59311617588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7506.89369705527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769.099299672807</v>
      </c>
      <c r="B137" s="38" t="n">
        <f aca="false">IF(A105="YES", B89, 0)</f>
        <v>65</v>
      </c>
      <c r="C137" s="317"/>
      <c r="D137" s="38" t="n">
        <f aca="false">B91</f>
        <v>834.099299672807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1414.213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258.99996</v>
      </c>
      <c r="B148" s="38" t="n">
        <f aca="false">B102</f>
        <v>400</v>
      </c>
      <c r="C148" s="38"/>
      <c r="D148" s="38" t="n">
        <f aca="false">IF(A105="YES", (A38/100*B105)*B125, 0)*0.001</f>
        <v>18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776.98996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1096.59311617588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834.099299672807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769.099299672807</v>
      </c>
      <c r="B171" s="355" t="n">
        <f aca="false">IF(A105="YES", B89, 0)</f>
        <v>65</v>
      </c>
      <c r="C171" s="358"/>
      <c r="D171" s="355" t="n">
        <f aca="false">B91</f>
        <v>834.099299672807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6921.89369705527</v>
      </c>
      <c r="C174" s="353"/>
      <c r="D174" s="103" t="n">
        <f aca="false">IF(A105="YES", B89*B57, 0)</f>
        <v>585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7506.89369705527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769.099299672807</v>
      </c>
      <c r="B180" s="103" t="n">
        <f aca="false">IF(A105="YES", B89, 0)</f>
        <v>65</v>
      </c>
      <c r="C180" s="353"/>
      <c r="D180" s="103" t="n">
        <f aca="false">B91</f>
        <v>834.099299672807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258.99996</v>
      </c>
      <c r="B191" s="103" t="n">
        <f aca="false">B102</f>
        <v>400</v>
      </c>
      <c r="C191" s="103"/>
      <c r="D191" s="103" t="n">
        <f aca="false">IF(A105="YES", (A38/100*B105)*B125, 0)*0.001</f>
        <v>18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776.98996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1812.99972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258.99996</v>
      </c>
      <c r="C205" s="320" t="s">
        <v>217</v>
      </c>
      <c r="D205" s="370" t="n">
        <f aca="false">B219+E215+B215+B217</f>
        <v>519.99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2073.98976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1812.99972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258.99996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2073.98976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180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77.525209407019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353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66666.6666666667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354</v>
      </c>
      <c r="E32" s="216"/>
      <c r="F32" s="63"/>
      <c r="G32" s="218" t="s">
        <v>36</v>
      </c>
      <c r="I32" s="449" t="n">
        <v>6000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301.455201873723</v>
      </c>
      <c r="E33" s="216"/>
      <c r="F33" s="63"/>
      <c r="G33" s="219" t="s">
        <v>355</v>
      </c>
      <c r="H33" s="460" t="n">
        <f aca="false">E21-E11</f>
        <v>21583.33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371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356</v>
      </c>
      <c r="B35" s="215" t="s">
        <v>357</v>
      </c>
      <c r="C35" s="215"/>
      <c r="D35" s="215" t="s">
        <v>358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251.455201873723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359</v>
      </c>
      <c r="B39" s="215" t="s">
        <v>360</v>
      </c>
      <c r="C39" s="215"/>
      <c r="D39" s="215" t="s">
        <v>361</v>
      </c>
      <c r="E39" s="216"/>
      <c r="F39" s="63"/>
      <c r="G39" s="63" t="s">
        <v>84</v>
      </c>
      <c r="H39" s="238" t="n">
        <f aca="false">H33</f>
        <v>21583.33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-35577.9820530432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362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363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364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372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373</v>
      </c>
      <c r="H45" s="238" t="n">
        <f aca="false">(H39-H44)</f>
        <v>8143.74495666159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374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368</v>
      </c>
      <c r="H47" s="238" t="n">
        <f aca="false">H45/H46</f>
        <v>251.455201873723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369</v>
      </c>
      <c r="H48" s="238" t="n">
        <f aca="false">IF(B26="YES", H47+H42, H47)</f>
        <v>301.455201873723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370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301.455201873723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375</v>
      </c>
      <c r="B60" s="215" t="n">
        <f aca="false">E19</f>
        <v>25899.996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0.02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517.99992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21.6666666666667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10780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299.444444444444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251.455201873723</v>
      </c>
      <c r="C83" s="473"/>
      <c r="D83" s="215"/>
      <c r="E83" s="466" t="n">
        <f aca="false">B83+E80+E77+E64</f>
        <v>550.899646318168</v>
      </c>
      <c r="F83" s="63"/>
      <c r="G83" s="305" t="s">
        <v>104</v>
      </c>
      <c r="H83" s="306" t="n">
        <f aca="false">H47</f>
        <v>251.455201873723</v>
      </c>
      <c r="I83" s="215"/>
      <c r="J83" s="215"/>
      <c r="K83" s="216"/>
      <c r="L83" s="63"/>
      <c r="M83" s="305" t="s">
        <v>104</v>
      </c>
      <c r="N83" s="306" t="n">
        <f aca="false">H47</f>
        <v>251.455201873723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19832.387267454</v>
      </c>
      <c r="C85" s="473"/>
      <c r="D85" s="473"/>
      <c r="E85" s="466" t="n">
        <f aca="false">B85/(B58+B57)</f>
        <v>550.899646318168</v>
      </c>
      <c r="F85" s="63"/>
      <c r="G85" s="288" t="s">
        <v>114</v>
      </c>
      <c r="H85" s="131" t="n">
        <f aca="false">((H83*H29)+H81)*1.2</f>
        <v>12141.7647209448</v>
      </c>
      <c r="I85" s="215"/>
      <c r="J85" s="215"/>
      <c r="K85" s="216"/>
      <c r="L85" s="63"/>
      <c r="M85" s="288" t="s">
        <v>114</v>
      </c>
      <c r="N85" s="131" t="n">
        <f aca="false">((N83*H29)+N81)</f>
        <v>9774.38726745404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168.003280603685</v>
      </c>
      <c r="C86" s="473" t="s">
        <v>230</v>
      </c>
      <c r="D86" s="215"/>
      <c r="E86" s="466" t="n">
        <f aca="false">B86/(B58+B57)</f>
        <v>4.6667577945468</v>
      </c>
      <c r="F86" s="63"/>
      <c r="G86" s="214" t="s">
        <v>115</v>
      </c>
      <c r="H86" s="300" t="n">
        <f aca="false">((((H83*H29)+H81))/(1-H70))*H70</f>
        <v>85.7123366746812</v>
      </c>
      <c r="I86" s="215"/>
      <c r="J86" s="215"/>
      <c r="K86" s="216"/>
      <c r="L86" s="63"/>
      <c r="M86" s="214" t="s">
        <v>115</v>
      </c>
      <c r="N86" s="300" t="n">
        <f aca="false">(N85/(1-N70))*N70</f>
        <v>82.8003762067506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20000.3905480577</v>
      </c>
      <c r="C87" s="473"/>
      <c r="D87" s="475"/>
      <c r="E87" s="466" t="n">
        <f aca="false">E86+E85</f>
        <v>555.566404112715</v>
      </c>
      <c r="F87" s="63"/>
      <c r="G87" s="285" t="s">
        <v>116</v>
      </c>
      <c r="H87" s="133" t="n">
        <f aca="false">IF(H110="YES",((H85+H86)-K114),(H85+H86))</f>
        <v>12227.4770576195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9857.18764366079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555.566404112715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298.231147746818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240.419210820995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620.566404112715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508.962855063891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416.028966918556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376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262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0</v>
      </c>
      <c r="E99" s="107"/>
      <c r="F99" s="63"/>
      <c r="G99" s="220" t="s">
        <v>286</v>
      </c>
      <c r="H99" s="312" t="s">
        <v>264</v>
      </c>
      <c r="I99" s="312"/>
      <c r="J99" s="107" t="n">
        <v>0</v>
      </c>
      <c r="K99" s="107"/>
      <c r="L99" s="63"/>
      <c r="M99" s="220" t="s">
        <v>286</v>
      </c>
      <c r="N99" s="312" t="s">
        <v>264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263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264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377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265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251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298.231147746818</v>
      </c>
      <c r="H127" s="177" t="n">
        <f aca="false">IF(G105="YES", H89*H57, 0)</f>
        <v>1264.39024390244</v>
      </c>
      <c r="I127" s="177"/>
      <c r="J127" s="334" t="n">
        <f aca="false">H91</f>
        <v>508.962855063891</v>
      </c>
      <c r="K127" s="216"/>
      <c r="L127" s="63"/>
      <c r="M127" s="333" t="n">
        <f aca="false">N90</f>
        <v>240.419210820995</v>
      </c>
      <c r="N127" s="177" t="n">
        <f aca="false">IF(M105="YES", N89*N57, 0)</f>
        <v>1053.65853658537</v>
      </c>
      <c r="O127" s="177"/>
      <c r="P127" s="177" t="n">
        <f aca="false">N91</f>
        <v>416.028966918556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555.566404112715</v>
      </c>
      <c r="B128" s="321" t="n">
        <f aca="false">IF(A105="YES", B89, 0)</f>
        <v>65</v>
      </c>
      <c r="C128" s="325"/>
      <c r="D128" s="321" t="n">
        <f aca="false">B91</f>
        <v>620.566404112715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555.566404112715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240</v>
      </c>
      <c r="O132" s="215"/>
      <c r="P132" s="215" t="s">
        <v>244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1789.38688648091</v>
      </c>
      <c r="H133" s="103" t="n">
        <f aca="false">IF(G105="YES", H89*H57, 0)</f>
        <v>1264.39024390244</v>
      </c>
      <c r="I133" s="221"/>
      <c r="J133" s="184" t="n">
        <f aca="false">H91*H57</f>
        <v>3053.77713038335</v>
      </c>
      <c r="K133" s="216"/>
      <c r="L133" s="63"/>
      <c r="M133" s="185" t="n">
        <f aca="false">N90*N57</f>
        <v>1442.51526492597</v>
      </c>
      <c r="N133" s="103" t="n">
        <f aca="false">IF(M105="YES", N89*N57, 0)</f>
        <v>1053.65853658537</v>
      </c>
      <c r="O133" s="221"/>
      <c r="P133" s="184" t="n">
        <f aca="false">N91*N57</f>
        <v>2496.17380151134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620.566404112715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253</v>
      </c>
      <c r="N135" s="215" t="s">
        <v>254</v>
      </c>
      <c r="O135" s="215"/>
      <c r="P135" s="215" t="s">
        <v>258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555.566404112715</v>
      </c>
      <c r="B137" s="38" t="n">
        <f aca="false">IF(A105="YES", B89, 0)</f>
        <v>65</v>
      </c>
      <c r="C137" s="317"/>
      <c r="D137" s="38" t="n">
        <f aca="false">B91</f>
        <v>620.566404112715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517.99992</v>
      </c>
      <c r="B148" s="103" t="n">
        <f aca="false">B102</f>
        <v>0</v>
      </c>
      <c r="C148" s="38"/>
      <c r="D148" s="38" t="n">
        <f aca="false">IF(A105="YES", (B40*B105)*B125, 0)*0.1</f>
        <v>54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671.98992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508.962855063891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416.028966918556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620.566404112715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555.566404112715</v>
      </c>
      <c r="B177" s="355" t="n">
        <f aca="false">IF(A105="YES", B89, 0)</f>
        <v>65</v>
      </c>
      <c r="C177" s="357"/>
      <c r="D177" s="355" t="n">
        <f aca="false">B91</f>
        <v>620.566404112715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555.566404112715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620.566404112715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555.566404112715</v>
      </c>
      <c r="B186" s="103" t="n">
        <f aca="false">IF(A105="YES", B89, 0)</f>
        <v>65</v>
      </c>
      <c r="C186" s="353"/>
      <c r="D186" s="103" t="n">
        <f aca="false">B91</f>
        <v>620.566404112715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517.99992</v>
      </c>
      <c r="B197" s="103" t="n">
        <f aca="false">B102</f>
        <v>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671.98992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517.99992</v>
      </c>
      <c r="C211" s="320" t="s">
        <v>217</v>
      </c>
      <c r="D211" s="370" t="n">
        <f aca="false">B225+E221+B221+B223</f>
        <v>639.99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10121.99008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517.99992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10121.99008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168.003280603685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true" showOutlineSymbols="true" defaultGridColor="true" view="normal" topLeftCell="A181" colorId="64" zoomScale="85" zoomScaleNormal="85" zoomScalePageLayoutView="100" workbookViewId="0">
      <selection pane="topLeft" activeCell="A152" activeCellId="0" sqref="A152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353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66666.6666666667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354</v>
      </c>
      <c r="E32" s="216"/>
      <c r="F32" s="63"/>
      <c r="G32" s="218" t="s">
        <v>36</v>
      </c>
      <c r="I32" s="449" t="n">
        <v>6000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301.455201873723</v>
      </c>
      <c r="E33" s="216"/>
      <c r="F33" s="63"/>
      <c r="G33" s="219" t="s">
        <v>355</v>
      </c>
      <c r="H33" s="460" t="n">
        <f aca="false">E21-E11</f>
        <v>21583.33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371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356</v>
      </c>
      <c r="B35" s="215" t="s">
        <v>357</v>
      </c>
      <c r="C35" s="215"/>
      <c r="D35" s="215" t="s">
        <v>358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251.455201873723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359</v>
      </c>
      <c r="B39" s="215" t="s">
        <v>360</v>
      </c>
      <c r="C39" s="215"/>
      <c r="D39" s="215" t="s">
        <v>361</v>
      </c>
      <c r="E39" s="216"/>
      <c r="F39" s="63"/>
      <c r="G39" s="63" t="s">
        <v>84</v>
      </c>
      <c r="H39" s="238" t="n">
        <f aca="false">H33</f>
        <v>21583.33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-35577.9820530432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362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363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364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372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373</v>
      </c>
      <c r="H45" s="238" t="n">
        <f aca="false">(H39-H44)</f>
        <v>8143.74495666159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374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368</v>
      </c>
      <c r="H47" s="238" t="n">
        <f aca="false">H45/H46</f>
        <v>251.455201873723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369</v>
      </c>
      <c r="H48" s="238" t="n">
        <f aca="false">IF(B26="YES", H47+H42, H47)</f>
        <v>301.455201873723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370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301.455201873723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375</v>
      </c>
      <c r="B60" s="215" t="n">
        <f aca="false">E19</f>
        <v>25899.996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0.02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517.99992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165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508.75</v>
      </c>
      <c r="C76" s="215"/>
      <c r="D76" s="291" t="n">
        <f aca="false">B76</f>
        <v>508.75</v>
      </c>
      <c r="E76" s="216"/>
      <c r="F76" s="63"/>
      <c r="G76" s="285" t="s">
        <v>281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12.3456790123457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35.7986111111111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11955.4166666667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332.094907407407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251.455201873723</v>
      </c>
      <c r="C83" s="473"/>
      <c r="D83" s="215"/>
      <c r="E83" s="466" t="n">
        <f aca="false">B83+E80+E77+E64</f>
        <v>577.377269774958</v>
      </c>
      <c r="F83" s="63"/>
      <c r="G83" s="305" t="s">
        <v>104</v>
      </c>
      <c r="H83" s="306" t="n">
        <f aca="false">H47</f>
        <v>251.455201873723</v>
      </c>
      <c r="I83" s="215"/>
      <c r="J83" s="215"/>
      <c r="K83" s="216"/>
      <c r="L83" s="63"/>
      <c r="M83" s="305" t="s">
        <v>104</v>
      </c>
      <c r="N83" s="306" t="n">
        <f aca="false">H47</f>
        <v>251.455201873723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25209.3647209448</v>
      </c>
      <c r="C85" s="473"/>
      <c r="D85" s="473"/>
      <c r="E85" s="466" t="n">
        <f aca="false">B85/(B58+B57)</f>
        <v>700.260131137357</v>
      </c>
      <c r="F85" s="63"/>
      <c r="G85" s="288" t="s">
        <v>114</v>
      </c>
      <c r="H85" s="131" t="n">
        <f aca="false">((H83*H29)+H81)*1.2</f>
        <v>12141.7647209448</v>
      </c>
      <c r="I85" s="215"/>
      <c r="J85" s="215"/>
      <c r="K85" s="216"/>
      <c r="L85" s="63"/>
      <c r="M85" s="288" t="s">
        <v>114</v>
      </c>
      <c r="N85" s="131" t="n">
        <f aca="false">((N83*H29)+N81)</f>
        <v>9774.38726745404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177.960420579482</v>
      </c>
      <c r="C86" s="473" t="s">
        <v>230</v>
      </c>
      <c r="D86" s="215"/>
      <c r="E86" s="466" t="n">
        <f aca="false">B86/(B58+B57)</f>
        <v>4.94334501609671</v>
      </c>
      <c r="F86" s="63"/>
      <c r="G86" s="214" t="s">
        <v>115</v>
      </c>
      <c r="H86" s="300" t="n">
        <f aca="false">((((H83*H29)+H81))/(1-H70))*H70</f>
        <v>85.7123366746812</v>
      </c>
      <c r="I86" s="215"/>
      <c r="J86" s="215"/>
      <c r="K86" s="216"/>
      <c r="L86" s="63"/>
      <c r="M86" s="214" t="s">
        <v>115</v>
      </c>
      <c r="N86" s="300" t="n">
        <f aca="false">(N85/(1-N70))*N70</f>
        <v>82.8003762067506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25387.3251415243</v>
      </c>
      <c r="C87" s="473"/>
      <c r="D87" s="475"/>
      <c r="E87" s="466" t="n">
        <f aca="false">E86+E85</f>
        <v>705.203476153454</v>
      </c>
      <c r="F87" s="63"/>
      <c r="G87" s="285" t="s">
        <v>116</v>
      </c>
      <c r="H87" s="133" t="n">
        <f aca="false">IF(H110="YES",((H85+H86)-K114),(H85+H86))</f>
        <v>12227.4770576195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9857.18764366079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78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705.203476153454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298.231147746818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240.419210820995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783.203476153454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508.962855063891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416.028966918556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376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262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264</v>
      </c>
      <c r="I99" s="312"/>
      <c r="J99" s="107" t="n">
        <v>0</v>
      </c>
      <c r="K99" s="107"/>
      <c r="L99" s="63"/>
      <c r="M99" s="220" t="s">
        <v>286</v>
      </c>
      <c r="N99" s="312" t="s">
        <v>264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263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264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377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265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((E118)+E117)-E114</f>
        <v>-2760.01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251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298.231147746818</v>
      </c>
      <c r="H127" s="177" t="n">
        <f aca="false">IF(G105="YES", H89*H57, 0)</f>
        <v>1264.39024390244</v>
      </c>
      <c r="I127" s="177"/>
      <c r="J127" s="334" t="n">
        <f aca="false">H91</f>
        <v>508.962855063891</v>
      </c>
      <c r="K127" s="216"/>
      <c r="L127" s="63"/>
      <c r="M127" s="333" t="n">
        <f aca="false">N90</f>
        <v>240.419210820995</v>
      </c>
      <c r="N127" s="177" t="n">
        <f aca="false">IF(M105="YES", N89*N57, 0)</f>
        <v>1053.65853658537</v>
      </c>
      <c r="O127" s="177"/>
      <c r="P127" s="177" t="n">
        <f aca="false">N91</f>
        <v>416.028966918556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705.203476153454</v>
      </c>
      <c r="B128" s="321" t="n">
        <f aca="false">IF(A105="YES", B89, 0)</f>
        <v>78</v>
      </c>
      <c r="C128" s="325"/>
      <c r="D128" s="321" t="n">
        <f aca="false">B91</f>
        <v>783.203476153454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705.203476153454</v>
      </c>
      <c r="C131" s="317"/>
      <c r="D131" s="38" t="n">
        <f aca="false">IF(A105="YES", B89*B57, 0)</f>
        <v>78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240</v>
      </c>
      <c r="O132" s="215"/>
      <c r="P132" s="215" t="s">
        <v>244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1789.38688648091</v>
      </c>
      <c r="H133" s="103" t="n">
        <f aca="false">IF(G105="YES", H89*H57, 0)</f>
        <v>1264.39024390244</v>
      </c>
      <c r="I133" s="221"/>
      <c r="J133" s="184" t="n">
        <f aca="false">H91*H57</f>
        <v>3053.77713038335</v>
      </c>
      <c r="K133" s="216"/>
      <c r="L133" s="63"/>
      <c r="M133" s="185" t="n">
        <f aca="false">N90*N57</f>
        <v>1442.51526492597</v>
      </c>
      <c r="N133" s="103" t="n">
        <f aca="false">IF(M105="YES", N89*N57, 0)</f>
        <v>1053.65853658537</v>
      </c>
      <c r="O133" s="221"/>
      <c r="P133" s="184" t="n">
        <f aca="false">N91*N57</f>
        <v>2496.17380151134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783.203476153454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253</v>
      </c>
      <c r="N135" s="215" t="s">
        <v>254</v>
      </c>
      <c r="O135" s="215"/>
      <c r="P135" s="215" t="s">
        <v>258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705.203476153454</v>
      </c>
      <c r="B137" s="38" t="n">
        <f aca="false">IF(A105="YES", B89, 0)</f>
        <v>78</v>
      </c>
      <c r="C137" s="317"/>
      <c r="D137" s="38" t="n">
        <f aca="false">B91</f>
        <v>783.203476153454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517.99992</v>
      </c>
      <c r="B148" s="103" t="n">
        <f aca="false">B102</f>
        <v>400</v>
      </c>
      <c r="C148" s="38"/>
      <c r="D148" s="38" t="n">
        <f aca="false">IF(A105="YES", (B40*B105)*B125, 0)*0.1</f>
        <v>54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1071.99158666667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508.962855063891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416.028966918556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783.203476153454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705.203476153454</v>
      </c>
      <c r="B177" s="355" t="n">
        <f aca="false">IF(A105="YES", B89, 0)</f>
        <v>78</v>
      </c>
      <c r="C177" s="357"/>
      <c r="D177" s="355" t="n">
        <f aca="false">B91</f>
        <v>783.203476153454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705.203476153454</v>
      </c>
      <c r="C180" s="353"/>
      <c r="D180" s="103" t="n">
        <f aca="false">IF(A105="YES", B89*B57, 0)</f>
        <v>78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783.203476153454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705.203476153454</v>
      </c>
      <c r="B186" s="103" t="n">
        <f aca="false">IF(A105="YES", B89, 0)</f>
        <v>78</v>
      </c>
      <c r="C186" s="353"/>
      <c r="D186" s="103" t="n">
        <f aca="false">B91</f>
        <v>783.203476153454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517.99992</v>
      </c>
      <c r="B197" s="103" t="n">
        <f aca="false">B102</f>
        <v>400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1071.99158666667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517.99992</v>
      </c>
      <c r="C211" s="320" t="s">
        <v>217</v>
      </c>
      <c r="D211" s="370" t="n">
        <f aca="false">B225+E221+B221+B223</f>
        <v>879.991666666667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10361.9917466667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517.99992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10361.9917466667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177.960420579482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16745</v>
      </c>
      <c r="C3" s="484" t="n">
        <v>0</v>
      </c>
      <c r="D3" s="484" t="n">
        <v>0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</v>
      </c>
      <c r="C4" s="485" t="n">
        <v>0</v>
      </c>
      <c r="D4" s="485" t="n">
        <v>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</v>
      </c>
      <c r="C5" s="484" t="n">
        <v>0</v>
      </c>
      <c r="D5" s="484" t="n">
        <v>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16745</v>
      </c>
      <c r="C7" s="32" t="n">
        <f aca="false">C3-C6</f>
        <v>0</v>
      </c>
      <c r="D7" s="32" t="n">
        <f aca="false">D3-D6</f>
        <v>0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340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16745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695</v>
      </c>
      <c r="F10" s="388"/>
      <c r="G10" s="388"/>
      <c r="H10" s="388"/>
      <c r="I10" s="16" t="s">
        <v>1</v>
      </c>
      <c r="J10" s="14" t="n">
        <f aca="false">E15-E11-J8</f>
        <v>17440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3488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275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65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21268</v>
      </c>
      <c r="F15" s="388"/>
      <c r="G15" s="17" t="n">
        <f aca="false">E15</f>
        <v>21268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20928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21268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235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237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238</v>
      </c>
      <c r="B29" s="223" t="n">
        <v>12345</v>
      </c>
      <c r="C29" s="223"/>
      <c r="D29" s="390" t="n">
        <f aca="true">TODAY()+1</f>
        <v>45196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17780</v>
      </c>
      <c r="B35" s="223" t="s">
        <v>45</v>
      </c>
      <c r="C35" s="223"/>
      <c r="D35" s="279" t="n">
        <f aca="false">A35-B35</f>
        <v>16780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E11</f>
        <v>3488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348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207.333333333333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342.666666666667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345.333333333333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295.333333333333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345.333333333333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345.333333333333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20928</v>
      </c>
      <c r="C67" s="317"/>
      <c r="D67" s="317"/>
      <c r="E67" s="318"/>
      <c r="F67" s="388"/>
      <c r="G67" s="316" t="s">
        <v>14</v>
      </c>
      <c r="H67" s="32" t="n">
        <f aca="false">G18</f>
        <v>20928</v>
      </c>
      <c r="I67" s="317"/>
      <c r="J67" s="317"/>
      <c r="K67" s="318"/>
      <c r="L67" s="388"/>
      <c r="M67" s="316" t="s">
        <v>14</v>
      </c>
      <c r="N67" s="32" t="n">
        <f aca="false">G18</f>
        <v>20928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277</v>
      </c>
      <c r="B68" s="400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278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1464.96</v>
      </c>
      <c r="C70" s="317" t="n">
        <v>10000</v>
      </c>
      <c r="D70" s="32" t="n">
        <f aca="false">B70-A149</f>
        <v>1464.96</v>
      </c>
      <c r="E70" s="318" t="n">
        <f aca="false">D70/12</f>
        <v>122.08</v>
      </c>
      <c r="F70" s="388"/>
      <c r="G70" s="366" t="s">
        <v>90</v>
      </c>
      <c r="H70" s="65" t="n">
        <f aca="false">H67*H69</f>
        <v>1464.96</v>
      </c>
      <c r="I70" s="317"/>
      <c r="J70" s="32" t="n">
        <f aca="false">H70-G151</f>
        <v>1464.96</v>
      </c>
      <c r="K70" s="318"/>
      <c r="L70" s="388"/>
      <c r="M70" s="366" t="s">
        <v>90</v>
      </c>
      <c r="N70" s="65" t="n">
        <f aca="false">N67*N69</f>
        <v>1464.96</v>
      </c>
      <c r="O70" s="317"/>
      <c r="P70" s="32" t="n">
        <f aca="false">N70-M151</f>
        <v>1464.96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209.28</v>
      </c>
      <c r="C73" s="317"/>
      <c r="D73" s="32"/>
      <c r="E73" s="318"/>
      <c r="F73" s="388"/>
      <c r="G73" s="366" t="s">
        <v>93</v>
      </c>
      <c r="H73" s="65" t="n">
        <f aca="false">H67*H72</f>
        <v>104.64</v>
      </c>
      <c r="I73" s="317"/>
      <c r="J73" s="32"/>
      <c r="K73" s="318"/>
      <c r="L73" s="388"/>
      <c r="M73" s="366" t="s">
        <v>93</v>
      </c>
      <c r="N73" s="65" t="n">
        <f aca="false">N67*N72</f>
        <v>104.64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0</v>
      </c>
      <c r="C80" s="317"/>
      <c r="D80" s="317"/>
      <c r="E80" s="404" t="n">
        <f aca="false">E79+D82</f>
        <v>660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55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((B80+B81)/12)*(H29-11)</f>
        <v>0</v>
      </c>
      <c r="C82" s="317"/>
      <c r="D82" s="32" t="n">
        <f aca="false">IF(A50="YES", 0, B82)</f>
        <v>0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2791.62666666667</v>
      </c>
      <c r="C87" s="317"/>
      <c r="D87" s="317"/>
      <c r="E87" s="318"/>
      <c r="F87" s="388"/>
      <c r="G87" s="412" t="s">
        <v>102</v>
      </c>
      <c r="H87" s="413" t="n">
        <f aca="false">SUM(J70:J86)</f>
        <v>4591.46</v>
      </c>
      <c r="I87" s="317"/>
      <c r="J87" s="317"/>
      <c r="K87" s="318"/>
      <c r="L87" s="388"/>
      <c r="M87" s="412" t="s">
        <v>102</v>
      </c>
      <c r="N87" s="413" t="n">
        <f aca="false">SUM(P70:P86)</f>
        <v>4578.96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232.635555555556</v>
      </c>
      <c r="C88" s="317"/>
      <c r="D88" s="317"/>
      <c r="E88" s="318"/>
      <c r="F88" s="388"/>
      <c r="G88" s="316" t="s">
        <v>103</v>
      </c>
      <c r="H88" s="33" t="n">
        <f aca="false">H87/H29</f>
        <v>382.621666666667</v>
      </c>
      <c r="I88" s="317"/>
      <c r="J88" s="317"/>
      <c r="K88" s="318"/>
      <c r="L88" s="388"/>
      <c r="M88" s="316" t="s">
        <v>103</v>
      </c>
      <c r="N88" s="33" t="n">
        <f aca="false">N87/H29</f>
        <v>381.58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295.333333333333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7602.752</v>
      </c>
      <c r="C91" s="317"/>
      <c r="D91" s="317"/>
      <c r="E91" s="318"/>
      <c r="F91" s="388"/>
      <c r="G91" s="396" t="s">
        <v>114</v>
      </c>
      <c r="H91" s="27" t="n">
        <f aca="false">((H89*H29)+H87)*1.2</f>
        <v>5509.752</v>
      </c>
      <c r="I91" s="317"/>
      <c r="J91" s="317"/>
      <c r="K91" s="318"/>
      <c r="L91" s="388"/>
      <c r="M91" s="396" t="s">
        <v>114</v>
      </c>
      <c r="N91" s="27" t="n">
        <f aca="false">((N89*H29)+N87)</f>
        <v>4578.96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53.6700927793465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38.8949818475192</v>
      </c>
      <c r="I92" s="317"/>
      <c r="J92" s="317"/>
      <c r="K92" s="318"/>
      <c r="L92" s="388"/>
      <c r="M92" s="316" t="s">
        <v>115</v>
      </c>
      <c r="N92" s="33" t="n">
        <f aca="false">(N91/(1-N76))*N76</f>
        <v>38.789092375958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7656.42209277935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7548.64698184752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6617.74909237596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638.035174398279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716.035174398279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262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263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264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265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638.035174398279</v>
      </c>
      <c r="B134" s="321" t="n">
        <f aca="false">IF(A111="YES", B95, 0)</f>
        <v>78</v>
      </c>
      <c r="C134" s="325"/>
      <c r="D134" s="321" t="n">
        <f aca="false">B97</f>
        <v>716.035174398279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251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638.035174398279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240</v>
      </c>
      <c r="O138" s="317"/>
      <c r="P138" s="317" t="s">
        <v>244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716.035174398279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253</v>
      </c>
      <c r="N141" s="317" t="s">
        <v>254</v>
      </c>
      <c r="O141" s="317"/>
      <c r="P141" s="317" t="s">
        <v>258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0.127608</v>
      </c>
      <c r="H142" s="38" t="n">
        <f aca="false">IF(G111="YES", E15*0.000002, 0)</f>
        <v>0.042536</v>
      </c>
      <c r="I142" s="38"/>
      <c r="J142" s="38" t="n">
        <f aca="false">G142+H142</f>
        <v>0.170144</v>
      </c>
      <c r="K142" s="105"/>
      <c r="L142" s="388"/>
      <c r="M142" s="111" t="n">
        <f aca="false">E15*0.000006</f>
        <v>0.127608</v>
      </c>
      <c r="N142" s="38" t="n">
        <f aca="false">IF(M111="YES", E15*0.000002, 0)</f>
        <v>0.042536</v>
      </c>
      <c r="O142" s="38"/>
      <c r="P142" s="38" t="n">
        <f aca="false">M142+N142</f>
        <v>0.170144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638.035174398279</v>
      </c>
      <c r="B143" s="38" t="n">
        <f aca="false">IF(A111="YES", B95, 0)</f>
        <v>78</v>
      </c>
      <c r="C143" s="317"/>
      <c r="D143" s="38" t="n">
        <f aca="false">B97</f>
        <v>716.035174398279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87.2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87.2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2747.188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2707.19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3488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727.271666666667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716.035174398279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638.035174398279</v>
      </c>
      <c r="B177" s="355" t="n">
        <f aca="false">IF(A111="YES", B95, 0)</f>
        <v>78</v>
      </c>
      <c r="C177" s="357"/>
      <c r="D177" s="355" t="n">
        <f aca="false">A177+B177</f>
        <v>716.035174398279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638.035174398279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716.035174398279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638.035174398279</v>
      </c>
      <c r="B186" s="103" t="n">
        <f aca="false">IF(A111="YES", B95, 0)</f>
        <v>78</v>
      </c>
      <c r="C186" s="353"/>
      <c r="D186" s="103" t="n">
        <f aca="false">B97</f>
        <v>716.035174398279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727.271666666667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1464.96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1775.67166666667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1775.67166666667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53.6700927793465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27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16745</v>
      </c>
      <c r="C3" s="484" t="n">
        <v>0</v>
      </c>
      <c r="D3" s="484" t="n">
        <v>0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</v>
      </c>
      <c r="C4" s="485" t="n">
        <v>0</v>
      </c>
      <c r="D4" s="485" t="n">
        <v>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</v>
      </c>
      <c r="C5" s="484" t="n">
        <v>0</v>
      </c>
      <c r="D5" s="484" t="n">
        <v>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16745</v>
      </c>
      <c r="C7" s="32" t="n">
        <f aca="false">C3-C6</f>
        <v>0</v>
      </c>
      <c r="D7" s="32" t="n">
        <f aca="false">D3-D6</f>
        <v>0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340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16745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695</v>
      </c>
      <c r="F10" s="388"/>
      <c r="G10" s="388"/>
      <c r="H10" s="388"/>
      <c r="I10" s="16" t="s">
        <v>1</v>
      </c>
      <c r="J10" s="14" t="n">
        <f aca="false">E15-E11-J8</f>
        <v>17440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3488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275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65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21268</v>
      </c>
      <c r="F15" s="388"/>
      <c r="G15" s="17" t="n">
        <f aca="false">E15</f>
        <v>21268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20928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21268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235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237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238</v>
      </c>
      <c r="B29" s="223" t="n">
        <v>12345</v>
      </c>
      <c r="C29" s="223"/>
      <c r="D29" s="390" t="n">
        <f aca="true">TODAY()+1</f>
        <v>45196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17780</v>
      </c>
      <c r="B35" s="223" t="s">
        <v>45</v>
      </c>
      <c r="C35" s="223"/>
      <c r="D35" s="279" t="n">
        <f aca="false">A35-B35</f>
        <v>16780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E11</f>
        <v>3488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348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207.333333333333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342.666666666667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345.333333333333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295.333333333333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345.333333333333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20928</v>
      </c>
      <c r="C67" s="317"/>
      <c r="D67" s="317"/>
      <c r="E67" s="318"/>
      <c r="F67" s="388"/>
      <c r="G67" s="316" t="s">
        <v>14</v>
      </c>
      <c r="H67" s="32" t="n">
        <f aca="false">G18</f>
        <v>20928</v>
      </c>
      <c r="I67" s="317"/>
      <c r="J67" s="317"/>
      <c r="K67" s="318"/>
      <c r="L67" s="388"/>
      <c r="M67" s="316" t="s">
        <v>14</v>
      </c>
      <c r="N67" s="32" t="n">
        <f aca="false">G18</f>
        <v>20928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277</v>
      </c>
      <c r="B68" s="400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278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1464.96</v>
      </c>
      <c r="C70" s="317" t="n">
        <v>10000</v>
      </c>
      <c r="D70" s="32" t="n">
        <f aca="false">B70-A149</f>
        <v>1464.96</v>
      </c>
      <c r="E70" s="318" t="n">
        <f aca="false">D70/12</f>
        <v>122.08</v>
      </c>
      <c r="F70" s="388"/>
      <c r="G70" s="366" t="s">
        <v>90</v>
      </c>
      <c r="H70" s="65" t="n">
        <f aca="false">H67*H69</f>
        <v>1464.96</v>
      </c>
      <c r="I70" s="317"/>
      <c r="J70" s="32" t="n">
        <f aca="false">H70-G151</f>
        <v>1464.96</v>
      </c>
      <c r="K70" s="318"/>
      <c r="L70" s="388"/>
      <c r="M70" s="366" t="s">
        <v>90</v>
      </c>
      <c r="N70" s="65" t="n">
        <f aca="false">N67*N69</f>
        <v>1464.96</v>
      </c>
      <c r="O70" s="317"/>
      <c r="P70" s="32" t="n">
        <f aca="false">N70-M151</f>
        <v>1464.96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209.28</v>
      </c>
      <c r="C73" s="317"/>
      <c r="D73" s="32"/>
      <c r="E73" s="318"/>
      <c r="F73" s="388"/>
      <c r="G73" s="366" t="s">
        <v>93</v>
      </c>
      <c r="H73" s="65" t="n">
        <f aca="false">H67*H72</f>
        <v>104.64</v>
      </c>
      <c r="I73" s="317"/>
      <c r="J73" s="32"/>
      <c r="K73" s="318"/>
      <c r="L73" s="388"/>
      <c r="M73" s="366" t="s">
        <v>93</v>
      </c>
      <c r="N73" s="65" t="n">
        <f aca="false">N67*N72</f>
        <v>104.64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0</v>
      </c>
      <c r="C80" s="317"/>
      <c r="D80" s="317"/>
      <c r="E80" s="404" t="n">
        <f aca="false">E79+D82</f>
        <v>660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55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((B80+B81)/12)*(H29-11)</f>
        <v>0</v>
      </c>
      <c r="C82" s="317"/>
      <c r="D82" s="32" t="n">
        <f aca="false">IF(A50="YES", 0, B82)</f>
        <v>0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2791.62666666667</v>
      </c>
      <c r="C87" s="317"/>
      <c r="D87" s="317"/>
      <c r="E87" s="318"/>
      <c r="F87" s="388"/>
      <c r="G87" s="412" t="s">
        <v>102</v>
      </c>
      <c r="H87" s="413" t="n">
        <f aca="false">SUM(J70:J86)</f>
        <v>4591.46</v>
      </c>
      <c r="I87" s="317"/>
      <c r="J87" s="317"/>
      <c r="K87" s="318"/>
      <c r="L87" s="388"/>
      <c r="M87" s="412" t="s">
        <v>102</v>
      </c>
      <c r="N87" s="413" t="n">
        <f aca="false">SUM(P70:P86)</f>
        <v>4578.96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232.635555555556</v>
      </c>
      <c r="C88" s="317"/>
      <c r="D88" s="317"/>
      <c r="E88" s="318"/>
      <c r="F88" s="388"/>
      <c r="G88" s="316" t="s">
        <v>103</v>
      </c>
      <c r="H88" s="33" t="n">
        <f aca="false">H87/H29</f>
        <v>382.621666666667</v>
      </c>
      <c r="I88" s="317"/>
      <c r="J88" s="317"/>
      <c r="K88" s="318"/>
      <c r="L88" s="388"/>
      <c r="M88" s="316" t="s">
        <v>103</v>
      </c>
      <c r="N88" s="33" t="n">
        <f aca="false">N87/H29</f>
        <v>381.58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295.333333333333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6335.62666666667</v>
      </c>
      <c r="C91" s="317"/>
      <c r="D91" s="317"/>
      <c r="E91" s="318"/>
      <c r="F91" s="388"/>
      <c r="G91" s="396" t="s">
        <v>114</v>
      </c>
      <c r="H91" s="27" t="n">
        <f aca="false">((H89*H29)+H87)*1.2</f>
        <v>5509.752</v>
      </c>
      <c r="I91" s="317"/>
      <c r="J91" s="317"/>
      <c r="K91" s="318"/>
      <c r="L91" s="388"/>
      <c r="M91" s="396" t="s">
        <v>114</v>
      </c>
      <c r="N91" s="27" t="n">
        <f aca="false">((N89*H29)+N87)</f>
        <v>4578.96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53.6700927793465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38.8949818475192</v>
      </c>
      <c r="I92" s="317"/>
      <c r="J92" s="317"/>
      <c r="K92" s="318"/>
      <c r="L92" s="388"/>
      <c r="M92" s="316" t="s">
        <v>115</v>
      </c>
      <c r="N92" s="33" t="n">
        <f aca="false">(N91/(1-N76))*N76</f>
        <v>38.789092375958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6389.29675944601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7548.64698184752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6617.74909237596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65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532.441396620501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597.441396620501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262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263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264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265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532.441396620501</v>
      </c>
      <c r="B134" s="321" t="n">
        <f aca="false">IF(A111="YES", B95, 0)</f>
        <v>65</v>
      </c>
      <c r="C134" s="326"/>
      <c r="D134" s="321" t="n">
        <f aca="false">B97</f>
        <v>597.441396620501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251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532.441396620501</v>
      </c>
      <c r="C137" s="317"/>
      <c r="D137" s="38" t="n">
        <f aca="false">IF(A111="YES", B95*B63, 0)</f>
        <v>65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240</v>
      </c>
      <c r="O138" s="317"/>
      <c r="P138" s="317" t="s">
        <v>244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597.441396620501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253</v>
      </c>
      <c r="N141" s="317" t="s">
        <v>254</v>
      </c>
      <c r="O141" s="317"/>
      <c r="P141" s="317" t="s">
        <v>258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0.127608</v>
      </c>
      <c r="H142" s="38" t="n">
        <f aca="false">IF(G111="YES", E15*0.000002, 0)</f>
        <v>0.042536</v>
      </c>
      <c r="I142" s="38"/>
      <c r="J142" s="38" t="n">
        <f aca="false">G142+H142</f>
        <v>0.170144</v>
      </c>
      <c r="K142" s="105"/>
      <c r="L142" s="388"/>
      <c r="M142" s="111" t="n">
        <f aca="false">E15*0.000006</f>
        <v>0.127608</v>
      </c>
      <c r="N142" s="38" t="n">
        <f aca="false">IF(M111="YES", E15*0.000002, 0)</f>
        <v>0.042536</v>
      </c>
      <c r="O142" s="38"/>
      <c r="P142" s="38" t="n">
        <f aca="false">M142+N142</f>
        <v>0.170144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532.441396620501</v>
      </c>
      <c r="B143" s="38" t="n">
        <f aca="false">IF(A111="YES", B95, 0)</f>
        <v>65</v>
      </c>
      <c r="C143" s="317"/>
      <c r="D143" s="38" t="n">
        <f aca="false">B97</f>
        <v>597.441396620501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87.2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87.2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2747.188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2707.19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209.28</v>
      </c>
      <c r="B154" s="103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3488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727.27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597.441396620501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532.441396620501</v>
      </c>
      <c r="B177" s="355" t="n">
        <f aca="false">IF(A111="YES", B95, 0)</f>
        <v>65</v>
      </c>
      <c r="C177" s="358"/>
      <c r="D177" s="355" t="n">
        <f aca="false">B91</f>
        <v>6335.62666666667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532.441396620501</v>
      </c>
      <c r="C180" s="353"/>
      <c r="D180" s="103" t="n">
        <f aca="false">IF(A111="YES", B95*B63, 0)</f>
        <v>65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597.441396620501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532.441396620501</v>
      </c>
      <c r="B186" s="103" t="n">
        <f aca="false">IF(A111="YES", B95, 0)</f>
        <v>65</v>
      </c>
      <c r="C186" s="353"/>
      <c r="D186" s="103" t="n">
        <f aca="false">B97</f>
        <v>597.441396620501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727.27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1464.96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519.99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1775.67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1775.67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53.6700927793465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60" colorId="64" zoomScale="85" zoomScaleNormal="85" zoomScalePageLayoutView="100" workbookViewId="0">
      <selection pane="topLeft" activeCell="F271" activeCellId="0" sqref="F271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/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/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/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/>
      <c r="F9" s="152"/>
      <c r="G9" s="139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6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/>
      <c r="F13" s="154"/>
      <c r="G13" s="156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247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17780</v>
      </c>
      <c r="B37" s="32"/>
      <c r="C37" s="41" t="s">
        <v>45</v>
      </c>
      <c r="D37" s="41"/>
      <c r="E37" s="32"/>
      <c r="F37" s="43" t="n">
        <f aca="false">A37-C37</f>
        <v>16780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424.606060606061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425.575757575758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381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425.575757575758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13424.0947932947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48703.2190424278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20293.5917615192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20293.5917615192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199.3875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161.5734375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425.575757575758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425.575757575758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425.575757575758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16780</v>
      </c>
      <c r="C90" s="32"/>
      <c r="D90" s="32"/>
      <c r="E90" s="23"/>
      <c r="F90" s="25" t="s">
        <v>105</v>
      </c>
      <c r="G90" s="27" t="n">
        <f aca="false">F37</f>
        <v>16780</v>
      </c>
      <c r="H90" s="33"/>
      <c r="J90" s="25" t="s">
        <v>105</v>
      </c>
      <c r="K90" s="27" t="n">
        <f aca="false">P167</f>
        <v>36519.004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17234.5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17234.5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5255.82391109543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11524.1760889046</v>
      </c>
      <c r="C97" s="32"/>
      <c r="D97" s="32"/>
      <c r="E97" s="23"/>
      <c r="F97" s="31" t="s">
        <v>112</v>
      </c>
      <c r="G97" s="33" t="n">
        <f aca="false">G90-G95</f>
        <v>11759.689207262</v>
      </c>
      <c r="H97" s="33"/>
      <c r="J97" s="31" t="s">
        <v>112</v>
      </c>
      <c r="K97" s="33" t="n">
        <f aca="false">K90-K95</f>
        <v>36519.004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17225.9407086168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17225.9407086168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419.87796229046</v>
      </c>
      <c r="C98" s="32"/>
      <c r="D98" s="32"/>
      <c r="E98" s="23"/>
      <c r="F98" s="31" t="s">
        <v>113</v>
      </c>
      <c r="G98" s="33" t="n">
        <f aca="false">(G97/G96)</f>
        <v>401.250983270151</v>
      </c>
      <c r="H98" s="33"/>
      <c r="J98" s="31" t="s">
        <v>113</v>
      </c>
      <c r="K98" s="33" t="n">
        <f aca="false">(K97/K96)</f>
        <v>1522.35059507587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634.549742547474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634.549742547474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13436.0947932947</v>
      </c>
      <c r="C99" s="32"/>
      <c r="D99" s="32"/>
      <c r="E99" s="23"/>
      <c r="F99" s="31" t="s">
        <v>114</v>
      </c>
      <c r="G99" s="33" t="n">
        <f aca="false">((G98*(G94))+G86)</f>
        <v>12840.0314646448</v>
      </c>
      <c r="H99" s="33"/>
      <c r="J99" s="31" t="s">
        <v>114</v>
      </c>
      <c r="K99" s="33" t="n">
        <f aca="false">((K98*(K94))+K86)</f>
        <v>50237.5696375037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20305.5917615192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20305.5917615192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13436.0947932947</v>
      </c>
      <c r="C101" s="32"/>
      <c r="D101" s="32"/>
      <c r="E101" s="23"/>
      <c r="F101" s="56" t="s">
        <v>116</v>
      </c>
      <c r="G101" s="65" t="n">
        <f aca="false">(G99+G100)</f>
        <v>12840.0314646448</v>
      </c>
      <c r="H101" s="33"/>
      <c r="J101" s="56" t="s">
        <v>116</v>
      </c>
      <c r="K101" s="65" t="n">
        <f aca="false">(K99+K100)</f>
        <v>50237.5696375037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20305.5917615192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20305.5917615192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419.87796229046</v>
      </c>
      <c r="C104" s="32"/>
      <c r="D104" s="32"/>
      <c r="E104" s="23"/>
      <c r="F104" s="95" t="s">
        <v>118</v>
      </c>
      <c r="G104" s="96" t="n">
        <f aca="false">G101/(G94)</f>
        <v>401.250983270151</v>
      </c>
      <c r="H104" s="33"/>
      <c r="J104" s="95" t="s">
        <v>118</v>
      </c>
      <c r="K104" s="96" t="n">
        <f aca="false">K101/(K94)</f>
        <v>1522.35059507587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634.549742547474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634.549742547474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419.87796229046</v>
      </c>
      <c r="C105" s="32"/>
      <c r="D105" s="32"/>
      <c r="E105" s="23" t="s">
        <v>18</v>
      </c>
      <c r="F105" s="97" t="s">
        <v>119</v>
      </c>
      <c r="G105" s="98" t="n">
        <f aca="false">G103+G104</f>
        <v>401.250983270151</v>
      </c>
      <c r="H105" s="33"/>
      <c r="J105" s="97" t="s">
        <v>119</v>
      </c>
      <c r="K105" s="98" t="n">
        <f aca="false">(K103+K104)</f>
        <v>1522.35059507587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634.549742547474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634.549742547474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266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/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234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22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22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22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16745</v>
      </c>
      <c r="H144" s="153" t="n">
        <f aca="false">C134+E134+G134+H137</f>
        <v>16745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16745</v>
      </c>
      <c r="Q144" s="153" t="n">
        <f aca="false">L134+N134+P134+Q137</f>
        <v>28629.17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16745</v>
      </c>
      <c r="Z144" s="153" t="n">
        <f aca="false">U134+W134+Y134+Z137</f>
        <v>12558.75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16745</v>
      </c>
      <c r="AI144" s="153" t="n">
        <f aca="false">AD134+AF134+AH134+AI137</f>
        <v>12558.75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695</v>
      </c>
      <c r="H145" s="33" t="n">
        <f aca="false">G145</f>
        <v>695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695</v>
      </c>
      <c r="Q145" s="33" t="n">
        <f aca="false">P145</f>
        <v>695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695</v>
      </c>
      <c r="Z145" s="33" t="n">
        <f aca="false">Y145</f>
        <v>695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3488</v>
      </c>
      <c r="H146" s="33" t="n">
        <f aca="false">(H144+H145)*20%</f>
        <v>3488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3488</v>
      </c>
      <c r="Q146" s="33" t="n">
        <f aca="false">(Q144+Q145)*20%</f>
        <v>5864.834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3488</v>
      </c>
      <c r="Z146" s="33" t="n">
        <f aca="false">(Z144+Z145)*20%</f>
        <v>2650.75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275</v>
      </c>
      <c r="H148" s="33" t="n">
        <f aca="false">G148</f>
        <v>275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275</v>
      </c>
      <c r="Q148" s="33" t="n">
        <f aca="false">P148</f>
        <v>275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275</v>
      </c>
      <c r="Z148" s="33" t="n">
        <f aca="false">Y148</f>
        <v>275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275</v>
      </c>
      <c r="AI148" s="33" t="n">
        <f aca="false">AH148</f>
        <v>275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65</v>
      </c>
      <c r="H149" s="33" t="n">
        <f aca="false">G149</f>
        <v>65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65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65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65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21268</v>
      </c>
      <c r="H150" s="157" t="n">
        <f aca="false">(H144+H145+H148+H149+H146)-H147</f>
        <v>21268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21268</v>
      </c>
      <c r="Q150" s="157" t="n">
        <f aca="false">(Q144+Q145+Q148+Q149+Q146)-Q147</f>
        <v>35519.004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21268</v>
      </c>
      <c r="Z150" s="157" t="n">
        <f aca="false">(Z144+Z145+Z148+Z149+Z146)-Z147</f>
        <v>16234.5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21268</v>
      </c>
      <c r="AI150" s="157" t="n">
        <f aca="false">(AI144+AI145+AI148+AI149+AI146)-AI147</f>
        <v>16234.5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21268</v>
      </c>
      <c r="H156" s="164" t="n">
        <f aca="false">H150-((H153*1.2)+(H154*1.2)+(H155*1.2)+(H151*1.2))</f>
        <v>21268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21268</v>
      </c>
      <c r="Q156" s="164" t="n">
        <f aca="false">Q150-((Q153*1.2)+(Q154*1.2)+(Q155*1.2)+(Q151*1.2))</f>
        <v>35519.004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21268</v>
      </c>
      <c r="Z156" s="164" t="n">
        <f aca="false">Z150-((Z153*1.2)+(Z154*1.2)+(Z155*1.2)+(Z151*1.2))</f>
        <v>16234.5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21268</v>
      </c>
      <c r="AI156" s="164" t="n">
        <f aca="false">AI150-((AI153*1.2)+(AI154*1.2)+(AI155*1.2)+(AI151*1.2))</f>
        <v>16234.5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-13983.3333333333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14251.004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-5033.5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-5033.5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21268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36519.004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17234.5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17234.5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419.87796229046</v>
      </c>
      <c r="B176" s="177" t="n">
        <f aca="false">B103</f>
        <v>0</v>
      </c>
      <c r="C176" s="174"/>
      <c r="D176" s="174"/>
      <c r="E176" s="177" t="n">
        <f aca="false">B105</f>
        <v>419.87796229046</v>
      </c>
      <c r="F176" s="23"/>
      <c r="G176" s="23" t="n">
        <f aca="false">ROUND(G104, 2)</f>
        <v>401.25</v>
      </c>
      <c r="H176" s="33"/>
      <c r="J176" s="176" t="n">
        <f aca="false">K104</f>
        <v>1522.35059507587</v>
      </c>
      <c r="K176" s="178" t="n">
        <f aca="false">K103</f>
        <v>0</v>
      </c>
      <c r="L176" s="175"/>
      <c r="M176" s="175"/>
      <c r="N176" s="178" t="n">
        <f aca="false">K105</f>
        <v>1522.35059507587</v>
      </c>
      <c r="O176" s="23"/>
      <c r="P176" s="23"/>
      <c r="Q176" s="33"/>
      <c r="S176" s="176" t="n">
        <f aca="false">T104</f>
        <v>634.549742547474</v>
      </c>
      <c r="T176" s="178" t="n">
        <f aca="false">T103</f>
        <v>0</v>
      </c>
      <c r="U176" s="175"/>
      <c r="V176" s="175"/>
      <c r="W176" s="178" t="n">
        <f aca="false">T105</f>
        <v>634.549742547474</v>
      </c>
      <c r="X176" s="23"/>
      <c r="Y176" s="23"/>
      <c r="Z176" s="33"/>
      <c r="AB176" s="176" t="n">
        <f aca="false">AC104</f>
        <v>634.549742547474</v>
      </c>
      <c r="AC176" s="178" t="n">
        <f aca="false">AC103</f>
        <v>0</v>
      </c>
      <c r="AD176" s="175"/>
      <c r="AE176" s="175"/>
      <c r="AF176" s="178" t="n">
        <f aca="false">AC105</f>
        <v>634.549742547474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33</v>
      </c>
      <c r="B179" s="180" t="str">
        <f aca="false">K30</f>
        <v>5000</v>
      </c>
      <c r="C179" s="181"/>
      <c r="D179" s="23"/>
      <c r="E179" s="182" t="n">
        <f aca="false">B91</f>
        <v>7200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17440</v>
      </c>
      <c r="B182" s="103" t="n">
        <f aca="false">H146</f>
        <v>3488</v>
      </c>
      <c r="C182" s="186"/>
      <c r="D182" s="23"/>
      <c r="E182" s="182" t="n">
        <f aca="false">H148+H149</f>
        <v>340</v>
      </c>
      <c r="F182" s="23"/>
      <c r="G182" s="23"/>
      <c r="H182" s="33"/>
      <c r="J182" s="185" t="n">
        <f aca="false">Q150-Q146-Q148-Q149</f>
        <v>29324.17</v>
      </c>
      <c r="K182" s="38" t="n">
        <f aca="false">Q146</f>
        <v>5864.834</v>
      </c>
      <c r="L182" s="43"/>
      <c r="M182" s="23"/>
      <c r="N182" s="184" t="n">
        <f aca="false">Q148+Q149</f>
        <v>330</v>
      </c>
      <c r="O182" s="23"/>
      <c r="P182" s="23"/>
      <c r="Q182" s="33"/>
      <c r="S182" s="185" t="n">
        <f aca="false">Z150-Z146-Z148-Z149</f>
        <v>13253.75</v>
      </c>
      <c r="T182" s="38" t="n">
        <f aca="false">Z146</f>
        <v>2650.75</v>
      </c>
      <c r="U182" s="43"/>
      <c r="V182" s="23"/>
      <c r="W182" s="184" t="n">
        <f aca="false">Z148+Z149</f>
        <v>330</v>
      </c>
      <c r="X182" s="23"/>
      <c r="Y182" s="23"/>
      <c r="Z182" s="33"/>
      <c r="AB182" s="185" t="n">
        <f aca="false">AI150-AI146-AI148-AI149</f>
        <v>13253.75</v>
      </c>
      <c r="AC182" s="38" t="n">
        <f aca="false">AI146</f>
        <v>2650.75</v>
      </c>
      <c r="AD182" s="43"/>
      <c r="AE182" s="23"/>
      <c r="AF182" s="184" t="n">
        <f aca="false">AI148+AI149</f>
        <v>330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21268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35519.004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16234.5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16234.5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21268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36519.004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17234.5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17234.5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-631.905206705283</v>
      </c>
      <c r="B191" s="103" t="str">
        <f aca="false">B123</f>
        <v>199.99</v>
      </c>
      <c r="C191" s="103"/>
      <c r="D191" s="23"/>
      <c r="E191" s="103" t="n">
        <f aca="false">E188+A191+(B191*1.2)+A194</f>
        <v>20886.0827932947</v>
      </c>
      <c r="F191" s="23"/>
      <c r="G191" s="23"/>
      <c r="H191" s="105"/>
      <c r="J191" s="111" t="n">
        <f aca="false">(J176*K68)+N194-N188-J194</f>
        <v>12208.2150424278</v>
      </c>
      <c r="K191" s="38" t="n">
        <f aca="false">K123</f>
        <v>239.99</v>
      </c>
      <c r="L191" s="38"/>
      <c r="M191" s="23"/>
      <c r="N191" s="38" t="n">
        <f aca="false">N188+J191+K191+J194</f>
        <v>48987.2090424278</v>
      </c>
      <c r="O191" s="23"/>
      <c r="P191" s="23"/>
      <c r="Q191" s="105"/>
      <c r="S191" s="111" t="n">
        <f aca="false">(S176*T68)+W194-W188-S194</f>
        <v>3083.09176151916</v>
      </c>
      <c r="T191" s="38" t="n">
        <f aca="false">T123</f>
        <v>199.99</v>
      </c>
      <c r="U191" s="38"/>
      <c r="V191" s="23"/>
      <c r="W191" s="38" t="n">
        <f aca="false">W188+S191+T191+S194</f>
        <v>20527.5817615192</v>
      </c>
      <c r="X191" s="23"/>
      <c r="Y191" s="23"/>
      <c r="Z191" s="105"/>
      <c r="AB191" s="111" t="n">
        <f aca="false">(AB176*AC68)+AF194-AF188-AB194</f>
        <v>3083.09176151916</v>
      </c>
      <c r="AC191" s="38" t="n">
        <f aca="false">AC123</f>
        <v>239.99</v>
      </c>
      <c r="AD191" s="38"/>
      <c r="AE191" s="23"/>
      <c r="AF191" s="38" t="n">
        <f aca="false">AF188+AB191+AC191+AB194</f>
        <v>20567.5817615192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7210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4.1856</v>
      </c>
      <c r="B197" s="103" t="n">
        <f aca="false">(G167*B76)/1.2</f>
        <v>166.15625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0.042536</v>
      </c>
      <c r="K197" s="38" t="n">
        <f aca="false">(P167*K76)/1.2</f>
        <v>2187.33617708333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134.64453125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134.64453125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266.14625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3327.32617708333</v>
      </c>
      <c r="L200" s="32"/>
      <c r="M200" s="32"/>
      <c r="N200" s="38" t="n">
        <f aca="false">Q157</f>
        <v>14251.004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1234.63453125</v>
      </c>
      <c r="U200" s="32"/>
      <c r="V200" s="32"/>
      <c r="W200" s="38" t="n">
        <f aca="false">Z157</f>
        <v>-5033.5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1274.63453125</v>
      </c>
      <c r="AD200" s="32"/>
      <c r="AE200" s="32"/>
      <c r="AF200" s="38" t="n">
        <f aca="false">AI157</f>
        <v>-5033.5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419.87796229046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1522.35059507587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634.549742547474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634.549742547474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-1228</v>
      </c>
      <c r="B210" s="186" t="n">
        <f aca="false">E188+A210+(B191*1.2)+A194</f>
        <v>20289.988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419.87796229046</v>
      </c>
      <c r="B221" s="177" t="n">
        <f aca="false">B176</f>
        <v>0</v>
      </c>
      <c r="C221" s="174"/>
      <c r="D221" s="174"/>
      <c r="E221" s="177" t="n">
        <f aca="false">E176</f>
        <v>419.87796229046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17440</v>
      </c>
      <c r="B224" s="103" t="n">
        <f aca="false">B182</f>
        <v>3488</v>
      </c>
      <c r="C224" s="186"/>
      <c r="D224" s="113"/>
      <c r="E224" s="182" t="n">
        <f aca="false">E182</f>
        <v>340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21268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21268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-631.905206705283</v>
      </c>
      <c r="B233" s="103" t="str">
        <f aca="false">B191</f>
        <v>199.99</v>
      </c>
      <c r="C233" s="103"/>
      <c r="D233" s="113"/>
      <c r="E233" s="103" t="n">
        <f aca="false">E191</f>
        <v>20886.0827932947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419.87796229046</v>
      </c>
      <c r="B239" s="103" t="n">
        <f aca="false">B176</f>
        <v>0</v>
      </c>
      <c r="C239" s="186"/>
      <c r="D239" s="186"/>
      <c r="E239" s="103" t="n">
        <f aca="false">E176</f>
        <v>419.87796229046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7200</v>
      </c>
      <c r="B242" s="103" t="n">
        <f aca="false">E194</f>
        <v>7210</v>
      </c>
      <c r="C242" s="93"/>
      <c r="D242" s="93"/>
      <c r="E242" s="103" t="n">
        <f aca="false">J18*0.000006*100</f>
        <v>12.5568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4.1856</v>
      </c>
      <c r="B245" s="103" t="n">
        <f aca="false">E242+A245</f>
        <v>16.7424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166.15625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266.14625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606.094793294717</v>
      </c>
      <c r="C263" s="197"/>
      <c r="D263" s="198" t="s">
        <v>216</v>
      </c>
      <c r="E263" s="198"/>
      <c r="F263" s="200" t="n">
        <f aca="false">F270+F276+F278+B279+B280</f>
        <v>199.3875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506.697293294716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B263</f>
        <v>606.094793294717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199.3875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506.697293294716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/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/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/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/>
      <c r="F9" s="152"/>
      <c r="G9" s="139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6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/>
      <c r="F13" s="154"/>
      <c r="G13" s="156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247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17780</v>
      </c>
      <c r="B37" s="32"/>
      <c r="C37" s="41" t="s">
        <v>45</v>
      </c>
      <c r="D37" s="41"/>
      <c r="E37" s="32"/>
      <c r="F37" s="43" t="n">
        <f aca="false">A37-C37</f>
        <v>16780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424.606060606061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425.575757575758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425.575757575758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13424.0947932947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48703.2190424278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20293.5917615192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20293.5917615192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199.3875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161.5734375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425.575757575758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425.575757575758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425.575757575758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16780</v>
      </c>
      <c r="C90" s="32"/>
      <c r="D90" s="32"/>
      <c r="E90" s="23"/>
      <c r="F90" s="25" t="s">
        <v>105</v>
      </c>
      <c r="G90" s="27" t="n">
        <f aca="false">F37</f>
        <v>16780</v>
      </c>
      <c r="H90" s="33"/>
      <c r="J90" s="25" t="s">
        <v>105</v>
      </c>
      <c r="K90" s="27" t="n">
        <f aca="false">P167</f>
        <v>36519.004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17234.5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17234.5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5255.82391109543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11524.1760889046</v>
      </c>
      <c r="C97" s="32"/>
      <c r="D97" s="32"/>
      <c r="E97" s="23"/>
      <c r="F97" s="31" t="s">
        <v>112</v>
      </c>
      <c r="G97" s="33" t="n">
        <f aca="false">G90-G95</f>
        <v>11759.689207262</v>
      </c>
      <c r="H97" s="33"/>
      <c r="J97" s="31" t="s">
        <v>112</v>
      </c>
      <c r="K97" s="33" t="n">
        <f aca="false">K90-K95</f>
        <v>36519.004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17225.9407086168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17225.9407086168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419.87796229046</v>
      </c>
      <c r="C98" s="32"/>
      <c r="D98" s="32"/>
      <c r="E98" s="23"/>
      <c r="F98" s="31" t="s">
        <v>113</v>
      </c>
      <c r="G98" s="33" t="n">
        <f aca="false">(G97/G96)</f>
        <v>401.250983270151</v>
      </c>
      <c r="H98" s="33"/>
      <c r="J98" s="31" t="s">
        <v>113</v>
      </c>
      <c r="K98" s="33" t="n">
        <f aca="false">(K97/K96)</f>
        <v>1522.35059507587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634.549742547474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634.549742547474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13436.0947932947</v>
      </c>
      <c r="C99" s="32"/>
      <c r="D99" s="32"/>
      <c r="E99" s="23"/>
      <c r="F99" s="31" t="s">
        <v>114</v>
      </c>
      <c r="G99" s="33" t="n">
        <f aca="false">((G98*(G94))+G86)</f>
        <v>12840.0314646448</v>
      </c>
      <c r="H99" s="33"/>
      <c r="J99" s="31" t="s">
        <v>114</v>
      </c>
      <c r="K99" s="33" t="n">
        <f aca="false">((K98*(K94))+K86)</f>
        <v>50237.5696375037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20305.5917615192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20305.5917615192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13436.0947932947</v>
      </c>
      <c r="C101" s="32"/>
      <c r="D101" s="32"/>
      <c r="E101" s="23"/>
      <c r="F101" s="56" t="s">
        <v>116</v>
      </c>
      <c r="G101" s="65" t="n">
        <f aca="false">(G99+G100)</f>
        <v>12840.0314646448</v>
      </c>
      <c r="H101" s="33"/>
      <c r="J101" s="56" t="s">
        <v>116</v>
      </c>
      <c r="K101" s="65" t="n">
        <f aca="false">(K99+K100)</f>
        <v>50237.5696375037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20305.5917615192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20305.5917615192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419.87796229046</v>
      </c>
      <c r="C104" s="32"/>
      <c r="D104" s="32"/>
      <c r="E104" s="23"/>
      <c r="F104" s="95" t="s">
        <v>118</v>
      </c>
      <c r="G104" s="96" t="n">
        <f aca="false">G101/(G94)</f>
        <v>401.250983270151</v>
      </c>
      <c r="H104" s="33"/>
      <c r="J104" s="95" t="s">
        <v>118</v>
      </c>
      <c r="K104" s="96" t="n">
        <f aca="false">K101/(K94)</f>
        <v>1522.35059507587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634.549742547474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634.549742547474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419.87796229046</v>
      </c>
      <c r="C105" s="32"/>
      <c r="D105" s="32"/>
      <c r="E105" s="23" t="s">
        <v>19</v>
      </c>
      <c r="F105" s="97" t="s">
        <v>119</v>
      </c>
      <c r="G105" s="98" t="n">
        <f aca="false">G103+G104</f>
        <v>401.250983270151</v>
      </c>
      <c r="H105" s="33"/>
      <c r="J105" s="97" t="s">
        <v>119</v>
      </c>
      <c r="K105" s="98" t="n">
        <f aca="false">(K103+K104)</f>
        <v>1522.35059507587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634.549742547474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634.549742547474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22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22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22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16745</v>
      </c>
      <c r="H144" s="153" t="n">
        <f aca="false">C134+E134+G134+H137</f>
        <v>16745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16745</v>
      </c>
      <c r="Q144" s="153" t="n">
        <f aca="false">L134+N134+P134+Q137</f>
        <v>28629.17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16745</v>
      </c>
      <c r="Z144" s="153" t="n">
        <f aca="false">U134+W134+Y134+Z137</f>
        <v>12558.75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16745</v>
      </c>
      <c r="AI144" s="153" t="n">
        <f aca="false">AD134+AF134+AH134+AI137</f>
        <v>12558.75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695</v>
      </c>
      <c r="H145" s="33" t="n">
        <f aca="false">G145</f>
        <v>695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695</v>
      </c>
      <c r="Q145" s="33" t="n">
        <f aca="false">P145</f>
        <v>695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695</v>
      </c>
      <c r="Z145" s="33" t="n">
        <f aca="false">Y145</f>
        <v>695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3488</v>
      </c>
      <c r="H146" s="33" t="n">
        <f aca="false">(H144+H145)*20%</f>
        <v>3488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3488</v>
      </c>
      <c r="Q146" s="33" t="n">
        <f aca="false">(Q144+Q145)*20%</f>
        <v>5864.834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3488</v>
      </c>
      <c r="Z146" s="33" t="n">
        <f aca="false">(Z144+Z145)*20%</f>
        <v>2650.75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275</v>
      </c>
      <c r="H148" s="33" t="n">
        <f aca="false">G148</f>
        <v>275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275</v>
      </c>
      <c r="Q148" s="33" t="n">
        <f aca="false">P148</f>
        <v>275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275</v>
      </c>
      <c r="Z148" s="33" t="n">
        <f aca="false">Y148</f>
        <v>275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275</v>
      </c>
      <c r="AI148" s="33" t="n">
        <f aca="false">AH148</f>
        <v>275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65</v>
      </c>
      <c r="H149" s="33" t="n">
        <f aca="false">G149</f>
        <v>65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65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65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65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21268</v>
      </c>
      <c r="H150" s="157" t="n">
        <f aca="false">(H144+H145+H148+H149+H146)-H147</f>
        <v>21268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21268</v>
      </c>
      <c r="Q150" s="157" t="n">
        <f aca="false">(Q144+Q145+Q148+Q149+Q146)-Q147</f>
        <v>35519.004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21268</v>
      </c>
      <c r="Z150" s="157" t="n">
        <f aca="false">(Z144+Z145+Z148+Z149+Z146)-Z147</f>
        <v>16234.5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21268</v>
      </c>
      <c r="AI150" s="157" t="n">
        <f aca="false">(AI144+AI145+AI148+AI149+AI146)-AI147</f>
        <v>16234.5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21268</v>
      </c>
      <c r="H156" s="164" t="n">
        <f aca="false">H150-((H153*1.2)+(H154*1.2)+(H155*1.2)+(H151*1.2))</f>
        <v>21268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21268</v>
      </c>
      <c r="Q156" s="164" t="n">
        <f aca="false">Q150-((Q153*1.2)+(Q154*1.2)+(Q155*1.2)+(Q151*1.2))</f>
        <v>35519.004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21268</v>
      </c>
      <c r="Z156" s="164" t="n">
        <f aca="false">Z150-((Z153*1.2)+(Z154*1.2)+(Z155*1.2)+(Z151*1.2))</f>
        <v>16234.5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21268</v>
      </c>
      <c r="AI156" s="164" t="n">
        <f aca="false">AI150-((AI153*1.2)+(AI154*1.2)+(AI155*1.2)+(AI151*1.2))</f>
        <v>16234.5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-13983.3333333333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14251.004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-5033.5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-5033.5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21268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36519.004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17234.5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17234.5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419.87796229046</v>
      </c>
      <c r="B176" s="177" t="n">
        <f aca="false">B103</f>
        <v>0</v>
      </c>
      <c r="C176" s="174"/>
      <c r="D176" s="174"/>
      <c r="E176" s="177" t="n">
        <f aca="false">B105</f>
        <v>419.87796229046</v>
      </c>
      <c r="F176" s="23"/>
      <c r="G176" s="23" t="n">
        <f aca="false">ROUND(G104, 2)</f>
        <v>401.25</v>
      </c>
      <c r="H176" s="33"/>
      <c r="J176" s="176" t="n">
        <f aca="false">K104</f>
        <v>1522.35059507587</v>
      </c>
      <c r="K176" s="178" t="n">
        <f aca="false">K103</f>
        <v>0</v>
      </c>
      <c r="L176" s="175"/>
      <c r="M176" s="175"/>
      <c r="N176" s="178" t="n">
        <f aca="false">K105</f>
        <v>1522.35059507587</v>
      </c>
      <c r="O176" s="23"/>
      <c r="P176" s="23"/>
      <c r="Q176" s="33"/>
      <c r="S176" s="176" t="n">
        <f aca="false">T104</f>
        <v>634.549742547474</v>
      </c>
      <c r="T176" s="178" t="n">
        <f aca="false">T103</f>
        <v>0</v>
      </c>
      <c r="U176" s="175"/>
      <c r="V176" s="175"/>
      <c r="W176" s="178" t="n">
        <f aca="false">T105</f>
        <v>634.549742547474</v>
      </c>
      <c r="X176" s="23"/>
      <c r="Y176" s="23"/>
      <c r="Z176" s="33"/>
      <c r="AB176" s="176" t="n">
        <f aca="false">AC104</f>
        <v>634.549742547474</v>
      </c>
      <c r="AC176" s="178" t="n">
        <f aca="false">AC103</f>
        <v>0</v>
      </c>
      <c r="AD176" s="175"/>
      <c r="AE176" s="175"/>
      <c r="AF176" s="178" t="n">
        <f aca="false">AC105</f>
        <v>634.549742547474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f aca="false">B91</f>
        <v>7200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17440</v>
      </c>
      <c r="B182" s="103" t="n">
        <f aca="false">H146</f>
        <v>3488</v>
      </c>
      <c r="C182" s="186"/>
      <c r="D182" s="23"/>
      <c r="E182" s="182" t="n">
        <f aca="false">H148+H149</f>
        <v>340</v>
      </c>
      <c r="F182" s="23"/>
      <c r="G182" s="23"/>
      <c r="H182" s="33"/>
      <c r="J182" s="185" t="n">
        <f aca="false">Q150-Q146-Q148-Q149</f>
        <v>29324.17</v>
      </c>
      <c r="K182" s="38" t="n">
        <f aca="false">Q146</f>
        <v>5864.834</v>
      </c>
      <c r="L182" s="43"/>
      <c r="M182" s="23"/>
      <c r="N182" s="184" t="n">
        <f aca="false">Q148+Q149</f>
        <v>330</v>
      </c>
      <c r="O182" s="23"/>
      <c r="P182" s="23"/>
      <c r="Q182" s="33"/>
      <c r="S182" s="185" t="n">
        <f aca="false">Z150-Z146-Z148-Z149</f>
        <v>13253.75</v>
      </c>
      <c r="T182" s="38" t="n">
        <f aca="false">Z146</f>
        <v>2650.75</v>
      </c>
      <c r="U182" s="43"/>
      <c r="V182" s="23"/>
      <c r="W182" s="184" t="n">
        <f aca="false">Z148+Z149</f>
        <v>330</v>
      </c>
      <c r="X182" s="23"/>
      <c r="Y182" s="23"/>
      <c r="Z182" s="33"/>
      <c r="AB182" s="185" t="n">
        <f aca="false">AI150-AI146-AI148-AI149</f>
        <v>13253.75</v>
      </c>
      <c r="AC182" s="38" t="n">
        <f aca="false">AI146</f>
        <v>2650.75</v>
      </c>
      <c r="AD182" s="43"/>
      <c r="AE182" s="23"/>
      <c r="AF182" s="184" t="n">
        <f aca="false">AI148+AI149</f>
        <v>330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21268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35519.004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16234.5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16234.5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21268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36519.004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17234.5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17234.5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-631.905206705283</v>
      </c>
      <c r="B191" s="103" t="str">
        <f aca="false">B123</f>
        <v>239.99</v>
      </c>
      <c r="C191" s="103"/>
      <c r="D191" s="23"/>
      <c r="E191" s="103" t="n">
        <f aca="false">E188+A191+B191+A194</f>
        <v>20886.0847932947</v>
      </c>
      <c r="F191" s="23"/>
      <c r="G191" s="23"/>
      <c r="H191" s="105"/>
      <c r="J191" s="111" t="n">
        <f aca="false">(J176*K68)+N194-N188-J194</f>
        <v>12208.2150424278</v>
      </c>
      <c r="K191" s="38" t="n">
        <f aca="false">K123</f>
        <v>239.99</v>
      </c>
      <c r="L191" s="38"/>
      <c r="M191" s="23"/>
      <c r="N191" s="38" t="n">
        <f aca="false">N188+J191+K191+J194</f>
        <v>48987.2090424278</v>
      </c>
      <c r="O191" s="23"/>
      <c r="P191" s="23"/>
      <c r="Q191" s="105"/>
      <c r="S191" s="111" t="n">
        <f aca="false">(S176*T68)+W194-W188-S194</f>
        <v>3083.09176151916</v>
      </c>
      <c r="T191" s="38" t="n">
        <f aca="false">T123</f>
        <v>199.99</v>
      </c>
      <c r="U191" s="38"/>
      <c r="V191" s="23"/>
      <c r="W191" s="38" t="n">
        <f aca="false">W188+S191+T191+S194</f>
        <v>20527.5817615192</v>
      </c>
      <c r="X191" s="23"/>
      <c r="Y191" s="23"/>
      <c r="Z191" s="105"/>
      <c r="AB191" s="111" t="n">
        <f aca="false">(AB176*AC68)+AF194-AF188-AB194</f>
        <v>3083.09176151916</v>
      </c>
      <c r="AC191" s="38" t="n">
        <f aca="false">AC123</f>
        <v>239.99</v>
      </c>
      <c r="AD191" s="38"/>
      <c r="AE191" s="23"/>
      <c r="AF191" s="38" t="n">
        <f aca="false">AF188+AB191+AC191+AB194</f>
        <v>20567.5817615192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7210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5.02272</v>
      </c>
      <c r="B197" s="103" t="n">
        <f aca="false">(G167*B76)/1.2</f>
        <v>166.15625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0.042536</v>
      </c>
      <c r="K197" s="38" t="n">
        <f aca="false">(P167*K76)/1.2</f>
        <v>2187.33617708333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134.64453125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134.64453125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266.147916666667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3327.32617708333</v>
      </c>
      <c r="L200" s="32"/>
      <c r="M200" s="32"/>
      <c r="N200" s="38" t="n">
        <f aca="false">Q157</f>
        <v>14251.004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1234.63453125</v>
      </c>
      <c r="U200" s="32"/>
      <c r="V200" s="32"/>
      <c r="W200" s="38" t="n">
        <f aca="false">Z157</f>
        <v>-5033.5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1274.63453125</v>
      </c>
      <c r="AD200" s="32"/>
      <c r="AE200" s="32"/>
      <c r="AF200" s="38" t="n">
        <f aca="false">AI157</f>
        <v>-5033.5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419.87796229046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1522.35059507587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634.549742547474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634.549742547474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-1228</v>
      </c>
      <c r="B210" s="186" t="n">
        <f aca="false">E188+A210+B191+A194</f>
        <v>20289.99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419.87796229046</v>
      </c>
      <c r="B221" s="177" t="n">
        <f aca="false">B176</f>
        <v>0</v>
      </c>
      <c r="C221" s="174"/>
      <c r="D221" s="174"/>
      <c r="E221" s="177" t="n">
        <f aca="false">E176</f>
        <v>419.87796229046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17440</v>
      </c>
      <c r="B224" s="103" t="n">
        <f aca="false">B182</f>
        <v>3488</v>
      </c>
      <c r="C224" s="186"/>
      <c r="D224" s="113"/>
      <c r="E224" s="182" t="n">
        <f aca="false">E182</f>
        <v>340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21268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21268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-631.905206705283</v>
      </c>
      <c r="B233" s="103" t="str">
        <f aca="false">B191</f>
        <v>239.99</v>
      </c>
      <c r="C233" s="103"/>
      <c r="D233" s="113"/>
      <c r="E233" s="103" t="n">
        <f aca="false">E191</f>
        <v>20886.0847932947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419.87796229046</v>
      </c>
      <c r="B239" s="103" t="n">
        <f aca="false">B176</f>
        <v>0</v>
      </c>
      <c r="C239" s="186"/>
      <c r="D239" s="186"/>
      <c r="E239" s="103" t="n">
        <f aca="false">E176</f>
        <v>419.87796229046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7200</v>
      </c>
      <c r="B242" s="103" t="n">
        <f aca="false">E194</f>
        <v>7210</v>
      </c>
      <c r="C242" s="93"/>
      <c r="D242" s="93"/>
      <c r="E242" s="103" t="n">
        <f aca="false">J18*0.000006*100*1.2</f>
        <v>15.06816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5.02272</v>
      </c>
      <c r="B245" s="103" t="n">
        <f aca="false">E242+A245</f>
        <v>20.09088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166.15625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266.147916666667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606.094793294717</v>
      </c>
      <c r="C263" s="197"/>
      <c r="D263" s="198" t="s">
        <v>216</v>
      </c>
      <c r="E263" s="198"/>
      <c r="F263" s="200" t="n">
        <f aca="false">F270+F276+F278+B279+B280</f>
        <v>199.3875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506.698959961383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B263</f>
        <v>606.094793294717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199.3875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506.698959961383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353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66666.6666666667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354</v>
      </c>
      <c r="E32" s="216"/>
      <c r="F32" s="63"/>
      <c r="G32" s="218" t="s">
        <v>36</v>
      </c>
      <c r="I32" s="449" t="n">
        <v>6000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301.455201873723</v>
      </c>
      <c r="E33" s="216"/>
      <c r="F33" s="63"/>
      <c r="G33" s="219" t="s">
        <v>355</v>
      </c>
      <c r="H33" s="460" t="n">
        <f aca="false">E21-E11</f>
        <v>21583.33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371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356</v>
      </c>
      <c r="B35" s="215" t="s">
        <v>357</v>
      </c>
      <c r="C35" s="215"/>
      <c r="D35" s="215" t="s">
        <v>358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251.455201873723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359</v>
      </c>
      <c r="B39" s="215" t="s">
        <v>360</v>
      </c>
      <c r="C39" s="215"/>
      <c r="D39" s="215" t="s">
        <v>361</v>
      </c>
      <c r="E39" s="216"/>
      <c r="F39" s="63"/>
      <c r="G39" s="63" t="s">
        <v>84</v>
      </c>
      <c r="H39" s="238" t="n">
        <f aca="false">H33</f>
        <v>21583.33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-35577.9820530432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362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363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364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372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373</v>
      </c>
      <c r="H45" s="238" t="n">
        <f aca="false">(H39-H44)</f>
        <v>8143.74495666159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374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368</v>
      </c>
      <c r="H47" s="238" t="n">
        <f aca="false">H45/H46</f>
        <v>251.455201873723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369</v>
      </c>
      <c r="H48" s="238" t="n">
        <f aca="false">IF(B26="YES", H47+H42, H47)</f>
        <v>301.455201873723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370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301.455201873723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375</v>
      </c>
      <c r="B60" s="215" t="n">
        <f aca="false">E19</f>
        <v>25899.996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37405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0.02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517.99992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165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508.75</v>
      </c>
      <c r="C76" s="215"/>
      <c r="D76" s="291" t="n">
        <f aca="false">B76</f>
        <v>508.75</v>
      </c>
      <c r="E76" s="216"/>
      <c r="F76" s="63"/>
      <c r="G76" s="285" t="s">
        <v>281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12.3456790123457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35.7986111111111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11955.4166666667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332.094907407407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251.455201873723</v>
      </c>
      <c r="C83" s="473"/>
      <c r="D83" s="215"/>
      <c r="E83" s="466" t="n">
        <f aca="false">B83+E80+E77+E64</f>
        <v>577.377269774958</v>
      </c>
      <c r="F83" s="63"/>
      <c r="G83" s="305" t="s">
        <v>104</v>
      </c>
      <c r="H83" s="306" t="n">
        <f aca="false">H47</f>
        <v>251.455201873723</v>
      </c>
      <c r="I83" s="215"/>
      <c r="J83" s="215"/>
      <c r="K83" s="216"/>
      <c r="L83" s="63"/>
      <c r="M83" s="305" t="s">
        <v>104</v>
      </c>
      <c r="N83" s="306" t="n">
        <f aca="false">H47</f>
        <v>251.455201873723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21007.8039341207</v>
      </c>
      <c r="C85" s="473"/>
      <c r="D85" s="473"/>
      <c r="E85" s="466" t="n">
        <f aca="false">B85/(B58+B57)</f>
        <v>583.550109281131</v>
      </c>
      <c r="F85" s="63"/>
      <c r="G85" s="288" t="s">
        <v>114</v>
      </c>
      <c r="H85" s="131" t="n">
        <f aca="false">((H83*H29)+H81)*1.2</f>
        <v>12141.7647209448</v>
      </c>
      <c r="I85" s="215"/>
      <c r="J85" s="215"/>
      <c r="K85" s="216"/>
      <c r="L85" s="63"/>
      <c r="M85" s="288" t="s">
        <v>114</v>
      </c>
      <c r="N85" s="131" t="n">
        <f aca="false">((N83*H29)+N81)</f>
        <v>9774.38726745404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177.960420579482</v>
      </c>
      <c r="C86" s="473" t="s">
        <v>230</v>
      </c>
      <c r="D86" s="215"/>
      <c r="E86" s="466" t="n">
        <f aca="false">B86/(B58+B57)</f>
        <v>4.94334501609671</v>
      </c>
      <c r="F86" s="63"/>
      <c r="G86" s="214" t="s">
        <v>115</v>
      </c>
      <c r="H86" s="300" t="n">
        <f aca="false">((((H83*H29)+H81))/(1-H70))*H70</f>
        <v>85.7123366746812</v>
      </c>
      <c r="I86" s="215"/>
      <c r="J86" s="215"/>
      <c r="K86" s="216"/>
      <c r="L86" s="63"/>
      <c r="M86" s="214" t="s">
        <v>115</v>
      </c>
      <c r="N86" s="300" t="n">
        <f aca="false">(N85/(1-N70))*N70</f>
        <v>82.8003762067506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21185.7643547002</v>
      </c>
      <c r="C87" s="473"/>
      <c r="D87" s="475"/>
      <c r="E87" s="466" t="n">
        <f aca="false">E86+E85</f>
        <v>588.493454297227</v>
      </c>
      <c r="F87" s="63"/>
      <c r="G87" s="285" t="s">
        <v>116</v>
      </c>
      <c r="H87" s="133" t="n">
        <f aca="false">IF(H110="YES",((H85+H86)-K114),(H85+H86))</f>
        <v>12227.4770576195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9857.18764366079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588.493454297227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298.231147746818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240.419210820995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653.493454297227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508.962855063891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416.028966918556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376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262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264</v>
      </c>
      <c r="I99" s="312"/>
      <c r="J99" s="107" t="n">
        <v>0</v>
      </c>
      <c r="K99" s="107"/>
      <c r="L99" s="63"/>
      <c r="M99" s="220" t="s">
        <v>286</v>
      </c>
      <c r="N99" s="312" t="s">
        <v>264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263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264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377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265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251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298.231147746818</v>
      </c>
      <c r="H127" s="177" t="n">
        <f aca="false">IF(G105="YES", H89*H57, 0)</f>
        <v>1264.39024390244</v>
      </c>
      <c r="I127" s="177"/>
      <c r="J127" s="334" t="n">
        <f aca="false">H91</f>
        <v>508.962855063891</v>
      </c>
      <c r="K127" s="216"/>
      <c r="L127" s="63"/>
      <c r="M127" s="333" t="n">
        <f aca="false">N90</f>
        <v>240.419210820995</v>
      </c>
      <c r="N127" s="177" t="n">
        <f aca="false">IF(M105="YES", N89*N57, 0)</f>
        <v>1053.65853658537</v>
      </c>
      <c r="O127" s="177"/>
      <c r="P127" s="177" t="n">
        <f aca="false">N91</f>
        <v>416.028966918556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588.493454297227</v>
      </c>
      <c r="B128" s="321" t="n">
        <f aca="false">IF(A105="YES", B89, 0)</f>
        <v>65</v>
      </c>
      <c r="C128" s="325"/>
      <c r="D128" s="321" t="n">
        <f aca="false">B91</f>
        <v>653.493454297227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588.493454297227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240</v>
      </c>
      <c r="O132" s="215"/>
      <c r="P132" s="215" t="s">
        <v>244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1789.38688648091</v>
      </c>
      <c r="H133" s="103" t="n">
        <f aca="false">IF(G105="YES", H89*H57, 0)</f>
        <v>1264.39024390244</v>
      </c>
      <c r="I133" s="221"/>
      <c r="J133" s="184" t="n">
        <f aca="false">H91*H57</f>
        <v>3053.77713038335</v>
      </c>
      <c r="K133" s="216"/>
      <c r="L133" s="63"/>
      <c r="M133" s="185" t="n">
        <f aca="false">N90*N57</f>
        <v>1442.51526492597</v>
      </c>
      <c r="N133" s="103" t="n">
        <f aca="false">IF(M105="YES", N89*N57, 0)</f>
        <v>1053.65853658537</v>
      </c>
      <c r="O133" s="221"/>
      <c r="P133" s="184" t="n">
        <f aca="false">N91*N57</f>
        <v>2496.17380151134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653.493454297227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253</v>
      </c>
      <c r="N135" s="215" t="s">
        <v>254</v>
      </c>
      <c r="O135" s="215"/>
      <c r="P135" s="215" t="s">
        <v>258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588.493454297227</v>
      </c>
      <c r="B137" s="38" t="n">
        <f aca="false">IF(A105="YES", B89, 0)</f>
        <v>65</v>
      </c>
      <c r="C137" s="317"/>
      <c r="D137" s="38" t="n">
        <f aca="false">B91</f>
        <v>653.493454297227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26.9316</v>
      </c>
      <c r="B140" s="343" t="n">
        <f aca="false">IF(A105="YES", B61*0.000002, 0)*1.2*100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517.99992</v>
      </c>
      <c r="B148" s="103" t="n">
        <f aca="false">B102</f>
        <v>400</v>
      </c>
      <c r="C148" s="38"/>
      <c r="D148" s="38" t="n">
        <f aca="false">IF(A105="YES", (B40*B105)*B125, 0)*0.1</f>
        <v>54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1071.98992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508.962855063891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416.028966918556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653.493454297227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588.493454297227</v>
      </c>
      <c r="B177" s="355" t="n">
        <f aca="false">IF(A105="YES", B89, 0)</f>
        <v>65</v>
      </c>
      <c r="C177" s="357"/>
      <c r="D177" s="355" t="n">
        <f aca="false">B91</f>
        <v>653.493454297227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588.493454297227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653.493454297227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588.493454297227</v>
      </c>
      <c r="B186" s="103" t="n">
        <f aca="false">IF(A105="YES", B89, 0)</f>
        <v>65</v>
      </c>
      <c r="C186" s="353"/>
      <c r="D186" s="103" t="n">
        <f aca="false">B91</f>
        <v>653.493454297227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26.9316</v>
      </c>
      <c r="B189" s="365" t="n">
        <f aca="false">B140</f>
        <v>8.9772</v>
      </c>
      <c r="C189" s="353"/>
      <c r="D189" s="365" t="n">
        <f aca="false">A189+B189</f>
        <v>35.9088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517.99992</v>
      </c>
      <c r="B197" s="103" t="n">
        <f aca="false">B102</f>
        <v>400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1071.98992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517.99992</v>
      </c>
      <c r="C211" s="320" t="s">
        <v>217</v>
      </c>
      <c r="D211" s="370" t="n">
        <f aca="false">B225+E221+B221+B223</f>
        <v>879.99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10361.99008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517.99992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10361.99008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177.960420579482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238</v>
      </c>
      <c r="B29" s="223" t="n">
        <v>12345</v>
      </c>
      <c r="C29" s="223"/>
      <c r="D29" s="224" t="n">
        <f aca="true">TODAY()+1</f>
        <v>45196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8.96969696969697</v>
      </c>
      <c r="E32" s="226"/>
      <c r="F32" s="63"/>
      <c r="G32" s="227" t="s">
        <v>242</v>
      </c>
      <c r="H32" s="225" t="n">
        <f aca="false">A41</f>
        <v>8.96969696969697</v>
      </c>
      <c r="I32" s="0"/>
      <c r="J32" s="44" t="s">
        <v>37</v>
      </c>
      <c r="K32" s="45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508.969696969697</v>
      </c>
      <c r="B35" s="223" t="s">
        <v>247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381</v>
      </c>
      <c r="I36" s="0"/>
      <c r="J36" s="44" t="s">
        <v>51</v>
      </c>
      <c r="K36" s="52" t="n">
        <f aca="false">K32-K34</f>
        <v>16780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8.96969696969697</v>
      </c>
      <c r="B41" s="241" t="n">
        <f aca="false">IF(B38="YES", D38+A41, D38)</f>
        <v>508.969696969697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256</v>
      </c>
      <c r="H44" s="238" t="n">
        <f aca="false">H32</f>
        <v>8.96969696969697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509.333333333333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509.333333333333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12926.7614599614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199.3875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16780</v>
      </c>
      <c r="C81" s="93"/>
      <c r="D81" s="93"/>
      <c r="E81" s="113"/>
      <c r="F81" s="25" t="s">
        <v>105</v>
      </c>
      <c r="G81" s="27" t="n">
        <f aca="false">B81</f>
        <v>16780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11524.1760889046</v>
      </c>
      <c r="C88" s="93" t="n">
        <f aca="false">B81-B86</f>
        <v>11524.1760889046</v>
      </c>
      <c r="D88" s="93"/>
      <c r="E88" s="113"/>
      <c r="F88" s="31" t="s">
        <v>112</v>
      </c>
      <c r="G88" s="33" t="n">
        <f aca="false">G81-G86</f>
        <v>11759.689207262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419.87796229046</v>
      </c>
      <c r="C89" s="93" t="n">
        <f aca="false">(B88/B87)</f>
        <v>419.87796229046</v>
      </c>
      <c r="D89" s="93"/>
      <c r="E89" s="113"/>
      <c r="F89" s="31" t="s">
        <v>113</v>
      </c>
      <c r="G89" s="33" t="n">
        <f aca="false">(G88/G87)</f>
        <v>401.250983270151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13436.0947932947</v>
      </c>
      <c r="C90" s="93"/>
      <c r="D90" s="93"/>
      <c r="E90" s="113"/>
      <c r="F90" s="31" t="s">
        <v>114</v>
      </c>
      <c r="G90" s="33" t="n">
        <f aca="false">((G89*(G85))+G77)</f>
        <v>12840.0314646448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13436.0947932947</v>
      </c>
      <c r="C92" s="93"/>
      <c r="D92" s="93"/>
      <c r="E92" s="113"/>
      <c r="F92" s="56" t="s">
        <v>116</v>
      </c>
      <c r="G92" s="65" t="n">
        <f aca="false">(G90+G91)</f>
        <v>12840.0314646448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14.43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419.87796229046</v>
      </c>
      <c r="C95" s="93"/>
      <c r="D95" s="93"/>
      <c r="E95" s="113"/>
      <c r="F95" s="95" t="s">
        <v>118</v>
      </c>
      <c r="G95" s="96" t="n">
        <f aca="false">G92/(G85)</f>
        <v>401.250983270151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434.30796229046</v>
      </c>
      <c r="C96" s="93"/>
      <c r="D96" s="93"/>
      <c r="E96" s="113"/>
      <c r="F96" s="97" t="s">
        <v>119</v>
      </c>
      <c r="G96" s="98" t="n">
        <f aca="false">G94+G95</f>
        <v>401.250983270151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262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263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264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265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0.3</v>
      </c>
      <c r="B108" s="107" t="s">
        <v>266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-13983.3333333333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419.87796229046</v>
      </c>
      <c r="B167" s="177" t="n">
        <f aca="false">B94</f>
        <v>14.43</v>
      </c>
      <c r="C167" s="174"/>
      <c r="D167" s="174"/>
      <c r="E167" s="177" t="n">
        <f aca="false">B96</f>
        <v>434.30796229046</v>
      </c>
      <c r="F167" s="23"/>
      <c r="G167" s="23" t="n">
        <f aca="false">ROUND(G95, 2)</f>
        <v>401.25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-631.905206705283</v>
      </c>
      <c r="B182" s="103" t="str">
        <f aca="false">B114</f>
        <v>239.99</v>
      </c>
      <c r="C182" s="103"/>
      <c r="D182" s="23"/>
      <c r="E182" s="103" t="n">
        <f aca="false">E179+A182+B182+A185</f>
        <v>20886.0847932947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5.02272</v>
      </c>
      <c r="B188" s="103" t="n">
        <f aca="false">(G158*B67)/1.2</f>
        <v>166.15625</v>
      </c>
      <c r="C188" s="93"/>
      <c r="D188" s="93"/>
      <c r="E188" s="103" t="n">
        <f aca="false">IF(E105 = "YES" , (H36*A108)*0.1 , 0)</f>
        <v>8.88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275.027916666667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434.30796229046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-1228</v>
      </c>
      <c r="B201" s="186" t="n">
        <f aca="false">E179+A201+B182+A185</f>
        <v>20289.99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419.87796229046</v>
      </c>
      <c r="B212" s="177" t="n">
        <f aca="false">B167</f>
        <v>14.43</v>
      </c>
      <c r="C212" s="174"/>
      <c r="D212" s="174"/>
      <c r="E212" s="177" t="n">
        <f aca="false">E167</f>
        <v>434.30796229046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-631.905206705283</v>
      </c>
      <c r="B224" s="103" t="str">
        <f aca="false">B182</f>
        <v>239.99</v>
      </c>
      <c r="C224" s="103"/>
      <c r="D224" s="113"/>
      <c r="E224" s="103" t="n">
        <f aca="false">E182</f>
        <v>20886.0847932947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419.87796229046</v>
      </c>
      <c r="B230" s="103" t="n">
        <f aca="false">B167</f>
        <v>14.43</v>
      </c>
      <c r="C230" s="186"/>
      <c r="D230" s="186"/>
      <c r="E230" s="103" t="n">
        <f aca="false">E167</f>
        <v>434.30796229046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15.06816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5.02272</v>
      </c>
      <c r="B236" s="103" t="n">
        <f aca="false">E233+A236</f>
        <v>20.09088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166.15625</v>
      </c>
      <c r="C240" s="93"/>
      <c r="D240" s="93"/>
      <c r="E240" s="103" t="n">
        <f aca="false">IF(E105 = "YES" , (H36*A108)*0.1 , 0)</f>
        <v>8.88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275.027916666667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606.094793294717</v>
      </c>
      <c r="C254" s="197"/>
      <c r="D254" s="198" t="s">
        <v>216</v>
      </c>
      <c r="E254" s="198"/>
      <c r="F254" s="200" t="n">
        <f aca="false">F261+F267+F269+B270+B271</f>
        <v>199.3875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188.791666666667</v>
      </c>
      <c r="C255" s="197"/>
      <c r="D255" s="198" t="s">
        <v>218</v>
      </c>
      <c r="E255" s="198"/>
      <c r="F255" s="200" t="n">
        <f aca="false">(B254-F254)+B255</f>
        <v>595.498959961383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606.094793294717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199.3875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88.8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595.498959961383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238</v>
      </c>
      <c r="B29" s="223" t="n">
        <v>12345</v>
      </c>
      <c r="C29" s="223"/>
      <c r="D29" s="224" t="n">
        <f aca="true">TODAY()+1</f>
        <v>45196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242</v>
      </c>
      <c r="H32" s="225" t="n">
        <f aca="false">A41</f>
        <v>0</v>
      </c>
      <c r="I32" s="0"/>
      <c r="J32" s="44" t="s">
        <v>37</v>
      </c>
      <c r="K32" s="45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247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16780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256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12935.7311569311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199.3875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16780</v>
      </c>
      <c r="C81" s="93"/>
      <c r="D81" s="93"/>
      <c r="E81" s="113"/>
      <c r="F81" s="25" t="s">
        <v>105</v>
      </c>
      <c r="G81" s="27" t="n">
        <f aca="false">B81</f>
        <v>16780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11524.1760889046</v>
      </c>
      <c r="C88" s="93" t="n">
        <f aca="false">B81-B86</f>
        <v>11524.1760889046</v>
      </c>
      <c r="D88" s="93"/>
      <c r="E88" s="113"/>
      <c r="F88" s="31" t="s">
        <v>112</v>
      </c>
      <c r="G88" s="33" t="n">
        <f aca="false">G81-G86</f>
        <v>11759.689207262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419.87796229046</v>
      </c>
      <c r="C89" s="93" t="n">
        <f aca="false">(B88/B87)</f>
        <v>419.87796229046</v>
      </c>
      <c r="D89" s="93"/>
      <c r="E89" s="113"/>
      <c r="F89" s="31" t="s">
        <v>113</v>
      </c>
      <c r="G89" s="33" t="n">
        <f aca="false">(G88/G87)</f>
        <v>401.250983270151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13436.0947932947</v>
      </c>
      <c r="C90" s="93"/>
      <c r="D90" s="93"/>
      <c r="E90" s="113"/>
      <c r="F90" s="31" t="s">
        <v>114</v>
      </c>
      <c r="G90" s="33" t="n">
        <f aca="false">((G89*(G85))+G77)</f>
        <v>12840.0314646448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13436.0947932947</v>
      </c>
      <c r="C92" s="93"/>
      <c r="D92" s="93"/>
      <c r="E92" s="113"/>
      <c r="F92" s="56" t="s">
        <v>116</v>
      </c>
      <c r="G92" s="65" t="n">
        <f aca="false">(G90+G91)</f>
        <v>12840.0314646448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419.87796229046</v>
      </c>
      <c r="C95" s="93"/>
      <c r="D95" s="93"/>
      <c r="E95" s="113"/>
      <c r="F95" s="95" t="s">
        <v>118</v>
      </c>
      <c r="G95" s="96" t="n">
        <f aca="false">G92/(G85)</f>
        <v>401.250983270151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419.87796229046</v>
      </c>
      <c r="C96" s="93"/>
      <c r="D96" s="93"/>
      <c r="E96" s="113"/>
      <c r="F96" s="97" t="s">
        <v>119</v>
      </c>
      <c r="G96" s="98" t="n">
        <f aca="false">G94+G95</f>
        <v>401.250983270151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262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263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264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265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266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234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 t="s">
        <v>18</v>
      </c>
      <c r="B120" s="116" t="n">
        <v>0</v>
      </c>
      <c r="C120" s="117" t="s">
        <v>148</v>
      </c>
      <c r="D120" s="116" t="s">
        <v>147</v>
      </c>
      <c r="E120" s="118" t="n">
        <v>0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-13983.3333333333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419.87796229046</v>
      </c>
      <c r="B167" s="177" t="str">
        <f aca="false">B94</f>
        <v>0</v>
      </c>
      <c r="C167" s="174"/>
      <c r="D167" s="174"/>
      <c r="E167" s="177" t="n">
        <f aca="false">B96</f>
        <v>419.87796229046</v>
      </c>
      <c r="F167" s="23"/>
      <c r="G167" s="23" t="n">
        <f aca="false">ROUND(G95, 2)</f>
        <v>401.25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180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-631.905206705283</v>
      </c>
      <c r="B182" s="103" t="str">
        <f aca="false">B114</f>
        <v>199.99</v>
      </c>
      <c r="C182" s="103"/>
      <c r="D182" s="23"/>
      <c r="E182" s="103" t="n">
        <f aca="false">E179+A182+(B182*1.2)+A185</f>
        <v>20886.0827932947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4.1856</v>
      </c>
      <c r="B188" s="103" t="n">
        <f aca="false">(G158*B67)/1.2</f>
        <v>166.15625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266.14625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419.87796229046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-1228</v>
      </c>
      <c r="B201" s="186" t="n">
        <f aca="false">E179+A201+(B182*1.2)+A185</f>
        <v>20289.988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419.87796229046</v>
      </c>
      <c r="B212" s="177" t="str">
        <f aca="false">B167</f>
        <v>0</v>
      </c>
      <c r="C212" s="174"/>
      <c r="D212" s="174"/>
      <c r="E212" s="177" t="n">
        <f aca="false">E167</f>
        <v>419.87796229046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-631.905206705283</v>
      </c>
      <c r="B224" s="103" t="str">
        <f aca="false">B182</f>
        <v>199.99</v>
      </c>
      <c r="C224" s="103"/>
      <c r="D224" s="113"/>
      <c r="E224" s="103" t="n">
        <f aca="false">E182</f>
        <v>20886.0827932947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419.87796229046</v>
      </c>
      <c r="B230" s="103" t="str">
        <f aca="false">B167</f>
        <v>0</v>
      </c>
      <c r="C230" s="186"/>
      <c r="D230" s="186"/>
      <c r="E230" s="103" t="n">
        <f aca="false">E167</f>
        <v>419.87796229046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12.5568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4.1856</v>
      </c>
      <c r="B236" s="103" t="n">
        <f aca="false">E233+A236</f>
        <v>16.7424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166.15625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266.14625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606.094793294717</v>
      </c>
      <c r="C254" s="197"/>
      <c r="D254" s="198" t="s">
        <v>216</v>
      </c>
      <c r="E254" s="198"/>
      <c r="F254" s="200" t="n">
        <f aca="false">F261+F267+F269+B270+B271</f>
        <v>199.3875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506.697293294716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606.094793294717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199.3875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506.697293294716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238</v>
      </c>
      <c r="B29" s="223" t="n">
        <v>12345</v>
      </c>
      <c r="C29" s="223"/>
      <c r="D29" s="224" t="n">
        <f aca="true">TODAY()+1</f>
        <v>45196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8.96969696969697</v>
      </c>
      <c r="E32" s="226"/>
      <c r="F32" s="63"/>
      <c r="G32" s="227" t="s">
        <v>242</v>
      </c>
      <c r="H32" s="225" t="n">
        <f aca="false">A41</f>
        <v>8.96969696969697</v>
      </c>
      <c r="I32" s="0"/>
      <c r="J32" s="44" t="s">
        <v>37</v>
      </c>
      <c r="K32" s="45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508.969696969697</v>
      </c>
      <c r="B35" s="223" t="s">
        <v>247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381</v>
      </c>
      <c r="I36" s="0"/>
      <c r="J36" s="44" t="s">
        <v>51</v>
      </c>
      <c r="K36" s="52" t="n">
        <f aca="false">K32-K34</f>
        <v>16780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8.96969696969697</v>
      </c>
      <c r="B41" s="241" t="n">
        <f aca="false">IF(B38="YES", D38+A41, D38)</f>
        <v>508.969696969697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256</v>
      </c>
      <c r="H44" s="238" t="n">
        <f aca="false">H32</f>
        <v>8.96969696969697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509.333333333333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509.333333333333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12926.7614599614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199.3875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16780</v>
      </c>
      <c r="C81" s="93"/>
      <c r="D81" s="93"/>
      <c r="E81" s="113"/>
      <c r="F81" s="25" t="s">
        <v>105</v>
      </c>
      <c r="G81" s="27" t="n">
        <f aca="false">B81</f>
        <v>16780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11524.1760889046</v>
      </c>
      <c r="C88" s="93" t="n">
        <f aca="false">B81-B86</f>
        <v>11524.1760889046</v>
      </c>
      <c r="D88" s="93"/>
      <c r="E88" s="113"/>
      <c r="F88" s="31" t="s">
        <v>112</v>
      </c>
      <c r="G88" s="33" t="n">
        <f aca="false">G81-G86</f>
        <v>11759.689207262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419.87796229046</v>
      </c>
      <c r="C89" s="93" t="n">
        <f aca="false">(B88/B87)</f>
        <v>419.87796229046</v>
      </c>
      <c r="D89" s="93"/>
      <c r="E89" s="113"/>
      <c r="F89" s="31" t="s">
        <v>113</v>
      </c>
      <c r="G89" s="33" t="n">
        <f aca="false">(G88/G87)</f>
        <v>401.250983270151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13436.0947932947</v>
      </c>
      <c r="C90" s="93"/>
      <c r="D90" s="93"/>
      <c r="E90" s="113"/>
      <c r="F90" s="31" t="s">
        <v>114</v>
      </c>
      <c r="G90" s="33" t="n">
        <f aca="false">((G89*(G85))+G77)</f>
        <v>12840.0314646448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13436.0947932947</v>
      </c>
      <c r="C92" s="93"/>
      <c r="D92" s="93"/>
      <c r="E92" s="113"/>
      <c r="F92" s="56" t="s">
        <v>116</v>
      </c>
      <c r="G92" s="65" t="n">
        <f aca="false">(G90+G91)</f>
        <v>12840.0314646448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14.43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419.87796229046</v>
      </c>
      <c r="C95" s="93"/>
      <c r="D95" s="93"/>
      <c r="E95" s="113"/>
      <c r="F95" s="95" t="s">
        <v>118</v>
      </c>
      <c r="G95" s="96" t="n">
        <f aca="false">G92/(G85)</f>
        <v>401.250983270151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434.30796229046</v>
      </c>
      <c r="C96" s="93"/>
      <c r="D96" s="93"/>
      <c r="E96" s="113"/>
      <c r="F96" s="97" t="s">
        <v>119</v>
      </c>
      <c r="G96" s="98" t="n">
        <f aca="false">G94+G95</f>
        <v>401.250983270151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262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263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264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265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0.3</v>
      </c>
      <c r="B108" s="107" t="s">
        <v>266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-13983.3333333333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419.87796229046</v>
      </c>
      <c r="B167" s="177" t="n">
        <f aca="false">B94</f>
        <v>14.43</v>
      </c>
      <c r="C167" s="174"/>
      <c r="D167" s="174"/>
      <c r="E167" s="177" t="n">
        <f aca="false">B96</f>
        <v>434.30796229046</v>
      </c>
      <c r="F167" s="23"/>
      <c r="G167" s="23" t="n">
        <f aca="false">ROUND(G95, 2)</f>
        <v>401.25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-631.905206705283</v>
      </c>
      <c r="B182" s="103" t="str">
        <f aca="false">B114</f>
        <v>239.99</v>
      </c>
      <c r="C182" s="103"/>
      <c r="D182" s="23"/>
      <c r="E182" s="103" t="n">
        <f aca="false">E179+A182+B182+A185</f>
        <v>20886.0847932947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5.02272</v>
      </c>
      <c r="B188" s="103" t="n">
        <f aca="false">(G158*B67)/1.2</f>
        <v>166.15625</v>
      </c>
      <c r="C188" s="93"/>
      <c r="D188" s="93"/>
      <c r="E188" s="103" t="n">
        <f aca="false">IF(E105 = "YES" , (H36*A108)*0.1 , 0)</f>
        <v>8.88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275.027916666667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434.30796229046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-1228</v>
      </c>
      <c r="B201" s="186" t="n">
        <f aca="false">E179+A201+B182+A185</f>
        <v>20289.99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419.87796229046</v>
      </c>
      <c r="B212" s="177" t="n">
        <f aca="false">B167</f>
        <v>14.43</v>
      </c>
      <c r="C212" s="174"/>
      <c r="D212" s="174"/>
      <c r="E212" s="177" t="n">
        <f aca="false">E167</f>
        <v>434.30796229046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-631.905206705283</v>
      </c>
      <c r="B224" s="103" t="str">
        <f aca="false">B182</f>
        <v>239.99</v>
      </c>
      <c r="C224" s="103"/>
      <c r="D224" s="113"/>
      <c r="E224" s="103" t="n">
        <f aca="false">E182</f>
        <v>20886.0847932947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419.87796229046</v>
      </c>
      <c r="B230" s="103" t="n">
        <f aca="false">B167</f>
        <v>14.43</v>
      </c>
      <c r="C230" s="186"/>
      <c r="D230" s="186"/>
      <c r="E230" s="103" t="n">
        <f aca="false">E167</f>
        <v>434.30796229046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5.02272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166.15625</v>
      </c>
      <c r="C240" s="93"/>
      <c r="D240" s="93"/>
      <c r="E240" s="103" t="n">
        <f aca="false">E188</f>
        <v>8.88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275.027916666667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606.094793294717</v>
      </c>
      <c r="C254" s="197"/>
      <c r="D254" s="198" t="s">
        <v>216</v>
      </c>
      <c r="E254" s="198"/>
      <c r="F254" s="200" t="n">
        <f aca="false">F261+F267+F269+B270+B271</f>
        <v>199.3875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188.791666666667</v>
      </c>
      <c r="C255" s="197"/>
      <c r="D255" s="198" t="s">
        <v>218</v>
      </c>
      <c r="E255" s="198"/>
      <c r="F255" s="200" t="n">
        <f aca="false">(B254-F254)+B255</f>
        <v>595.498959961383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606.094793294717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199.3875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88.8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595.498959961383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238</v>
      </c>
      <c r="B29" s="223" t="n">
        <v>12345</v>
      </c>
      <c r="C29" s="223"/>
      <c r="D29" s="224" t="n">
        <f aca="true">TODAY()+1</f>
        <v>45196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242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248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256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n">
        <v>0.07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0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0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 t="n">
        <v>0.01</v>
      </c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B61*B66</f>
        <v>0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0.0075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0.0075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0</v>
      </c>
      <c r="C70" s="215" t="n">
        <v>10000</v>
      </c>
      <c r="D70" s="291" t="n">
        <f aca="false">B70-A149</f>
        <v>0</v>
      </c>
      <c r="E70" s="216" t="n">
        <f aca="false">D70/12</f>
        <v>0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200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200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0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200</v>
      </c>
      <c r="C80" s="215"/>
      <c r="D80" s="215"/>
      <c r="E80" s="430" t="n">
        <f aca="false">E79+D82</f>
        <v>676.666666666667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56.3888888888889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16.6666666666667</v>
      </c>
      <c r="C82" s="215"/>
      <c r="D82" s="291" t="n">
        <f aca="false">IF(A50="YES", 0, B82)</f>
        <v>16.6666666666667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676.666666666667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56.3888888888889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6688.66666666667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0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6688.66666666667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e">
        <f aca="false">IF(B105=Z104,(((H44*B35)+(H44*B35)*(B111/100))/(B64)),(((H44*B35)+(H44*B35)*(B111/100))/(B63+B64)))</f>
        <v>#DIV/0!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e">
        <f aca="false">IF(B105=Z104, (B93-D111)/(B64), B93/(B63+B64))</f>
        <v>#DIV/0!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e">
        <f aca="false">IF(A111="YES", B96+B95, B96)</f>
        <v>#DIV/0!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 t="s">
        <v>128</v>
      </c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n">
        <v>199.99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262</v>
      </c>
    </row>
    <row r="105" customFormat="false" ht="18.75" hidden="false" customHeight="true" outlineLevel="0" collapsed="false">
      <c r="A105" s="220" t="s">
        <v>18</v>
      </c>
      <c r="B105" s="312" t="n">
        <v>20</v>
      </c>
      <c r="C105" s="312"/>
      <c r="D105" s="421" t="n">
        <v>200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263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264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265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200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 t="n">
        <v>0</v>
      </c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-3560.012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e">
        <f aca="false">B157</f>
        <v>#DIV/0!</v>
      </c>
      <c r="I133" s="230"/>
      <c r="J133" s="229" t="n">
        <f aca="false">B64</f>
        <v>0</v>
      </c>
      <c r="K133" s="216"/>
      <c r="L133" s="63"/>
      <c r="M133" s="228" t="n">
        <f aca="false">M161</f>
        <v>12</v>
      </c>
      <c r="N133" s="229" t="e">
        <f aca="false">B157</f>
        <v>#DIV/0!</v>
      </c>
      <c r="O133" s="230"/>
      <c r="P133" s="229" t="n">
        <f aca="false">B64</f>
        <v>0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e">
        <f aca="false">B96</f>
        <v>#DIV/0!</v>
      </c>
      <c r="B134" s="321" t="e">
        <f aca="false">IF(A111="YES", B95, 0)</f>
        <v>#DIV/0!</v>
      </c>
      <c r="C134" s="326"/>
      <c r="D134" s="321" t="e">
        <f aca="false">B97</f>
        <v>#DIV/0!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251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n">
        <f aca="false">B105</f>
        <v>20</v>
      </c>
      <c r="B137" s="38" t="e">
        <f aca="false">B96*B63</f>
        <v>#DIV/0!</v>
      </c>
      <c r="C137" s="317"/>
      <c r="D137" s="38" t="e">
        <f aca="false">IF(A111="YES", B95*B63, 0)</f>
        <v>#DIV/0!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240</v>
      </c>
      <c r="O138" s="215"/>
      <c r="P138" s="215" t="s">
        <v>244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e">
        <f aca="false">B97*B63</f>
        <v>#DIV/0!</v>
      </c>
      <c r="B140" s="38" t="n">
        <f aca="false">E120</f>
        <v>4000</v>
      </c>
      <c r="C140" s="317"/>
      <c r="D140" s="337" t="n">
        <f aca="false">B64</f>
        <v>0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253</v>
      </c>
      <c r="N141" s="215" t="s">
        <v>254</v>
      </c>
      <c r="O141" s="215"/>
      <c r="P141" s="215" t="s">
        <v>258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e">
        <f aca="false">B96</f>
        <v>#DIV/0!</v>
      </c>
      <c r="B143" s="38" t="e">
        <f aca="false">IF(A111="YES", B95, 0)</f>
        <v>#DIV/0!</v>
      </c>
      <c r="C143" s="317"/>
      <c r="D143" s="38" t="e">
        <f aca="false">B97</f>
        <v>#DIV/0!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0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e">
        <f aca="false">(A154+B154+D154+A157)*(A149/B70)</f>
        <v>#DIV/0!</v>
      </c>
      <c r="C157" s="38"/>
      <c r="D157" s="38" t="e">
        <f aca="false">(A154+B154+D154+A157)-B157</f>
        <v>#DIV/0!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e">
        <f aca="false">B97</f>
        <v>#DIV/0!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e">
        <f aca="false">B96</f>
        <v>#DIV/0!</v>
      </c>
      <c r="B177" s="355" t="e">
        <f aca="false">IF(A111="YES", B95, 0)</f>
        <v>#DIV/0!</v>
      </c>
      <c r="C177" s="358"/>
      <c r="D177" s="355" t="n">
        <f aca="false">B91</f>
        <v>6688.66666666667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n">
        <f aca="false">B105</f>
        <v>20</v>
      </c>
      <c r="B180" s="103" t="e">
        <f aca="false">B96*B63</f>
        <v>#DIV/0!</v>
      </c>
      <c r="C180" s="353"/>
      <c r="D180" s="103" t="e">
        <f aca="false">IF(A111="YES", B95*B63, 0)</f>
        <v>#DIV/0!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e">
        <f aca="false">B97*B63</f>
        <v>#DIV/0!</v>
      </c>
      <c r="B183" s="103" t="n">
        <f aca="false">E120</f>
        <v>4000</v>
      </c>
      <c r="C183" s="353"/>
      <c r="D183" s="361" t="n">
        <f aca="false">B64</f>
        <v>0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e">
        <f aca="false">B96</f>
        <v>#DIV/0!</v>
      </c>
      <c r="B186" s="103" t="e">
        <f aca="false">IF(A111="YES", B95, 0)</f>
        <v>#DIV/0!</v>
      </c>
      <c r="C186" s="353"/>
      <c r="D186" s="103" t="e">
        <f aca="false">B97</f>
        <v>#DIV/0!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0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e">
        <f aca="false">(A154+B154+D154+A157)*(A149/B70)</f>
        <v>#DIV/0!</v>
      </c>
      <c r="C200" s="103"/>
      <c r="D200" s="103" t="e">
        <f aca="false">(A154+B154+D154+A157)-B157</f>
        <v>#DIV/0!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0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99.99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0</v>
      </c>
      <c r="C217" s="375" t="s">
        <v>221</v>
      </c>
      <c r="D217" s="317"/>
      <c r="E217" s="376" t="n">
        <f aca="false">B72</f>
        <v>200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0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99.99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</v>
      </c>
      <c r="C231" s="336" t="s">
        <v>229</v>
      </c>
      <c r="D231" s="343"/>
      <c r="E231" s="376" t="n">
        <f aca="false">B75</f>
        <v>0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0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200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238</v>
      </c>
      <c r="B29" s="223" t="n">
        <v>12345</v>
      </c>
      <c r="C29" s="223"/>
      <c r="D29" s="224" t="n">
        <f aca="true">TODAY()+1</f>
        <v>45196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242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256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209.28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2791.62666666667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232.635555555556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10564.352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74.5769100443727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10638.9289100444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886.577409170364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886.577409170364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262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263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264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265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886.577409170364</v>
      </c>
      <c r="B134" s="321" t="n">
        <f aca="false">IF(A111="YES", B95, 0)</f>
        <v>0</v>
      </c>
      <c r="C134" s="326"/>
      <c r="D134" s="321" t="n">
        <f aca="false">B97</f>
        <v>886.577409170364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251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886.577409170364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240</v>
      </c>
      <c r="O138" s="215"/>
      <c r="P138" s="215" t="s">
        <v>244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886.577409170364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253</v>
      </c>
      <c r="N141" s="215" t="s">
        <v>254</v>
      </c>
      <c r="O141" s="215"/>
      <c r="P141" s="215" t="s">
        <v>258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886.577409170364</v>
      </c>
      <c r="B143" s="38" t="n">
        <f aca="false">IF(A111="YES", B95, 0)</f>
        <v>0</v>
      </c>
      <c r="C143" s="317"/>
      <c r="D143" s="38" t="n">
        <f aca="false">B97</f>
        <v>886.577409170364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709.271666666667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886.577409170364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886.577409170364</v>
      </c>
      <c r="B177" s="355" t="n">
        <f aca="false">IF(A111="YES", B95, 0)</f>
        <v>0</v>
      </c>
      <c r="C177" s="358"/>
      <c r="D177" s="355" t="n">
        <f aca="false">B91</f>
        <v>10564.352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886.577409170364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886.577409170364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886.577409170364</v>
      </c>
      <c r="B186" s="103" t="n">
        <f aca="false">IF(A111="YES", B95, 0)</f>
        <v>0</v>
      </c>
      <c r="C186" s="353"/>
      <c r="D186" s="103" t="n">
        <f aca="false">B97</f>
        <v>886.577409170364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709.271666666667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1595.67166666667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1595.67166666667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74.5769100443727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61" colorId="64" zoomScale="85" zoomScaleNormal="85" zoomScalePageLayoutView="100" workbookViewId="0">
      <selection pane="topLeft" activeCell="B75" activeCellId="0" sqref="B7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238</v>
      </c>
      <c r="B29" s="223" t="n">
        <v>12345</v>
      </c>
      <c r="C29" s="223"/>
      <c r="D29" s="224" t="n">
        <f aca="true">TODAY()+1</f>
        <v>45196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242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248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256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209.28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2791.62666666667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232.635555555556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8803.62666666667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74.5769100443727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8878.20357671104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739.850298059253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739.850298059253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262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263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264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265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739.850298059253</v>
      </c>
      <c r="B134" s="321" t="n">
        <f aca="false">IF(A111="YES", B95, 0)</f>
        <v>0</v>
      </c>
      <c r="C134" s="326"/>
      <c r="D134" s="321" t="n">
        <f aca="false">B97</f>
        <v>739.850298059253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251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739.850298059253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240</v>
      </c>
      <c r="O138" s="215"/>
      <c r="P138" s="215" t="s">
        <v>244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739.850298059253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253</v>
      </c>
      <c r="N141" s="215" t="s">
        <v>254</v>
      </c>
      <c r="O141" s="215"/>
      <c r="P141" s="215" t="s">
        <v>258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739.850298059253</v>
      </c>
      <c r="B143" s="38" t="n">
        <f aca="false">IF(A111="YES", B95, 0)</f>
        <v>0</v>
      </c>
      <c r="C143" s="317"/>
      <c r="D143" s="38" t="n">
        <f aca="false">B97</f>
        <v>739.850298059253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709.27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739.850298059253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739.850298059253</v>
      </c>
      <c r="B177" s="355" t="n">
        <f aca="false">IF(A111="YES", B95, 0)</f>
        <v>0</v>
      </c>
      <c r="C177" s="358"/>
      <c r="D177" s="355" t="n">
        <f aca="false">B91</f>
        <v>8803.62666666667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739.850298059253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739.850298059253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739.850298059253</v>
      </c>
      <c r="B186" s="103" t="n">
        <f aca="false">IF(A111="YES", B95, 0)</f>
        <v>0</v>
      </c>
      <c r="C186" s="353"/>
      <c r="D186" s="103" t="n">
        <f aca="false">B97</f>
        <v>739.850298059253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709.27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1595.67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1595.67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74.5769100443727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238</v>
      </c>
      <c r="B29" s="223" t="n">
        <v>12345</v>
      </c>
      <c r="C29" s="223"/>
      <c r="D29" s="224" t="n">
        <f aca="true">TODAY()+1</f>
        <v>45196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242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384</v>
      </c>
      <c r="B41" s="241" t="n">
        <f aca="false">IF(B38="YES", D38+A41, D38)</f>
        <v>560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385</v>
      </c>
      <c r="E44" s="104"/>
      <c r="F44" s="63"/>
      <c r="G44" s="63" t="s">
        <v>256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5378.61666666667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448.218055555556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11390.6166666667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96.4917103670835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11487.1083770338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957.259031419479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1035.25903141948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262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263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264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265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4" t="n">
        <v>30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957.259031419479</v>
      </c>
      <c r="B134" s="321" t="n">
        <f aca="false">IF(A111="YES", B95, 0)</f>
        <v>78</v>
      </c>
      <c r="C134" s="326"/>
      <c r="D134" s="321" t="n">
        <f aca="false">B97</f>
        <v>1035.25903141948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251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957.259031419479</v>
      </c>
      <c r="C137" s="317"/>
      <c r="D137" s="38" t="n">
        <f aca="false">IF(A111="YES", B95*B63, 0)</f>
        <v>78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240</v>
      </c>
      <c r="O138" s="215"/>
      <c r="P138" s="215" t="s">
        <v>244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1035.25903141948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253</v>
      </c>
      <c r="N141" s="215" t="s">
        <v>254</v>
      </c>
      <c r="O141" s="215"/>
      <c r="P141" s="215" t="s">
        <v>258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957.259031419479</v>
      </c>
      <c r="B143" s="38" t="n">
        <f aca="false">IF(A111="YES", B95, 0)</f>
        <v>78</v>
      </c>
      <c r="C143" s="317"/>
      <c r="D143" s="38" t="n">
        <f aca="false">B97</f>
        <v>1035.25903141948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1475.5755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1435.5775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103" t="n">
        <f aca="false">B108</f>
        <v>400</v>
      </c>
      <c r="C154" s="38"/>
      <c r="D154" s="38" t="n">
        <f aca="false">IF(A111="YES", (A41/100*B111)*B131, 0)*0.1</f>
        <v>21.6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1100.44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1035.25903141948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957.259031419479</v>
      </c>
      <c r="B177" s="355" t="n">
        <f aca="false">IF(A111="YES", B95, 0)</f>
        <v>78</v>
      </c>
      <c r="C177" s="358"/>
      <c r="D177" s="355" t="n">
        <f aca="false">B91</f>
        <v>11390.6166666667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957.259031419479</v>
      </c>
      <c r="C180" s="353"/>
      <c r="D180" s="103" t="n">
        <f aca="false">IF(A111="YES", B95*B63, 0)</f>
        <v>78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1035.25903141948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957.259031419479</v>
      </c>
      <c r="B186" s="103" t="n">
        <f aca="false">IF(A111="YES", B95, 0)</f>
        <v>78</v>
      </c>
      <c r="C186" s="353"/>
      <c r="D186" s="103" t="n">
        <f aca="false">B97</f>
        <v>1035.25903141948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(A41/100*B111)*B131, 0)*0.1</f>
        <v>21.6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1100.44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555.99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4029.09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4029.09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216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96.4917103670835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238</v>
      </c>
      <c r="B29" s="223" t="n">
        <v>12345</v>
      </c>
      <c r="C29" s="223"/>
      <c r="D29" s="224" t="n">
        <f aca="true">TODAY()+1</f>
        <v>45196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242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348</v>
      </c>
      <c r="B41" s="241" t="n">
        <f aca="false">IF(B38="YES", D38+A41, D38)</f>
        <v>550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350</v>
      </c>
      <c r="E44" s="104"/>
      <c r="F44" s="63"/>
      <c r="G44" s="63" t="s">
        <v>256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209.28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2124.96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177.08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9764.352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68.9294715611134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9833.28147156111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72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819.440122630093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819.440122630093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262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263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264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265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819.440122630093</v>
      </c>
      <c r="B134" s="321" t="n">
        <f aca="false">IF(A111="YES", B95, 0)</f>
        <v>0</v>
      </c>
      <c r="C134" s="326"/>
      <c r="D134" s="321" t="n">
        <f aca="false">B97</f>
        <v>819.440122630093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251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819.440122630093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240</v>
      </c>
      <c r="O138" s="215"/>
      <c r="P138" s="215" t="s">
        <v>244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819.440122630093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253</v>
      </c>
      <c r="N141" s="215" t="s">
        <v>254</v>
      </c>
      <c r="O141" s="215"/>
      <c r="P141" s="215" t="s">
        <v>258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819.440122630093</v>
      </c>
      <c r="B143" s="38" t="n">
        <f aca="false">IF(A111="YES", B95, 0)</f>
        <v>0</v>
      </c>
      <c r="C143" s="317"/>
      <c r="D143" s="38" t="n">
        <f aca="false">B97</f>
        <v>819.440122630093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1319.188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1279.19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309.271666666667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819.440122630093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819.440122630093</v>
      </c>
      <c r="B177" s="355" t="n">
        <f aca="false">IF(A111="YES", B95, 0)</f>
        <v>0</v>
      </c>
      <c r="C177" s="358"/>
      <c r="D177" s="355" t="n">
        <f aca="false">B97</f>
        <v>819.440122630093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819.440122630093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819.440122630093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819.440122630093</v>
      </c>
      <c r="B186" s="103" t="n">
        <f aca="false">IF(A111="YES", B95, 0)</f>
        <v>0</v>
      </c>
      <c r="C186" s="353"/>
      <c r="D186" s="103" t="n">
        <f aca="false">B97</f>
        <v>819.440122630093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309.271666666667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1355.67166666667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1355.67166666667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68.9294715611134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238</v>
      </c>
      <c r="B29" s="223" t="n">
        <v>12345</v>
      </c>
      <c r="C29" s="223"/>
      <c r="D29" s="224" t="n">
        <f aca="true">TODAY()+1</f>
        <v>45196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242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348</v>
      </c>
      <c r="B41" s="241" t="n">
        <f aca="false">IF(B38="YES", D38+A41, D38)</f>
        <v>550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350</v>
      </c>
      <c r="E44" s="104"/>
      <c r="F44" s="63"/>
      <c r="G44" s="63" t="s">
        <v>256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209.28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2124.96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177.08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8136.96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68.9294715611134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8205.88947156111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683.824122630093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683.824122630093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262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263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264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265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683.824122630093</v>
      </c>
      <c r="B134" s="321" t="n">
        <f aca="false">IF(A111="YES", B95, 0)</f>
        <v>0</v>
      </c>
      <c r="C134" s="326"/>
      <c r="D134" s="321" t="n">
        <f aca="false">B97</f>
        <v>683.824122630093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251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683.824122630093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240</v>
      </c>
      <c r="O138" s="215"/>
      <c r="P138" s="215" t="s">
        <v>244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683.824122630093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253</v>
      </c>
      <c r="N141" s="215" t="s">
        <v>254</v>
      </c>
      <c r="O141" s="215"/>
      <c r="P141" s="215" t="s">
        <v>258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683.824122630093</v>
      </c>
      <c r="B143" s="38" t="n">
        <f aca="false">IF(A111="YES", B95, 0)</f>
        <v>0</v>
      </c>
      <c r="C143" s="317"/>
      <c r="D143" s="38" t="n">
        <f aca="false">B97</f>
        <v>683.824122630093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1319.188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1279.19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309.27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683.824122630093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683.824122630093</v>
      </c>
      <c r="B177" s="355" t="n">
        <f aca="false">IF(A111="YES", B95, 0)</f>
        <v>0</v>
      </c>
      <c r="C177" s="358"/>
      <c r="D177" s="355" t="n">
        <f aca="false">B91</f>
        <v>8136.96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683.824122630093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683.824122630093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683.824122630093</v>
      </c>
      <c r="B186" s="103" t="n">
        <f aca="false">IF(A111="YES", B95, 0)</f>
        <v>0</v>
      </c>
      <c r="C186" s="353"/>
      <c r="D186" s="103" t="n">
        <f aca="false">B97</f>
        <v>683.824122630093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B154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309.27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1355.67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1355.67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68.9294715611134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238</v>
      </c>
      <c r="B29" s="223" t="n">
        <v>12345</v>
      </c>
      <c r="C29" s="223"/>
      <c r="D29" s="224" t="n">
        <f aca="true">TODAY()+1</f>
        <v>45196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242</v>
      </c>
      <c r="H32" s="225" t="n">
        <f aca="false">A41</f>
        <v>0</v>
      </c>
      <c r="I32" s="0"/>
      <c r="J32" s="44" t="s">
        <v>37</v>
      </c>
      <c r="K32" s="263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247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16780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256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12935.7311569311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199.3875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16780</v>
      </c>
      <c r="C81" s="93"/>
      <c r="D81" s="93"/>
      <c r="E81" s="113"/>
      <c r="F81" s="25" t="s">
        <v>105</v>
      </c>
      <c r="G81" s="27" t="n">
        <f aca="false">B81</f>
        <v>16780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11524.1760889046</v>
      </c>
      <c r="C88" s="93" t="n">
        <f aca="false">B81-B86</f>
        <v>11524.1760889046</v>
      </c>
      <c r="D88" s="93"/>
      <c r="E88" s="113"/>
      <c r="F88" s="31" t="s">
        <v>112</v>
      </c>
      <c r="G88" s="33" t="n">
        <f aca="false">G81-G86</f>
        <v>11759.689207262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419.87796229046</v>
      </c>
      <c r="C89" s="93" t="n">
        <f aca="false">(B88/B87)</f>
        <v>419.87796229046</v>
      </c>
      <c r="D89" s="93"/>
      <c r="E89" s="113"/>
      <c r="F89" s="31" t="s">
        <v>113</v>
      </c>
      <c r="G89" s="33" t="n">
        <f aca="false">(G88/G87)</f>
        <v>401.250983270151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13436.0947932947</v>
      </c>
      <c r="C90" s="93"/>
      <c r="D90" s="93"/>
      <c r="E90" s="113"/>
      <c r="F90" s="31" t="s">
        <v>114</v>
      </c>
      <c r="G90" s="33" t="n">
        <f aca="false">((G89*(G85))+G77)</f>
        <v>12840.0314646448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13436.0947932947</v>
      </c>
      <c r="C92" s="93"/>
      <c r="D92" s="93"/>
      <c r="E92" s="113"/>
      <c r="F92" s="56" t="s">
        <v>116</v>
      </c>
      <c r="G92" s="65" t="n">
        <f aca="false">(G90+G91)</f>
        <v>12840.0314646448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419.87796229046</v>
      </c>
      <c r="C95" s="93"/>
      <c r="D95" s="93"/>
      <c r="E95" s="113"/>
      <c r="F95" s="95" t="s">
        <v>118</v>
      </c>
      <c r="G95" s="96" t="n">
        <f aca="false">G92/(G85)</f>
        <v>401.250983270151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419.87796229046</v>
      </c>
      <c r="C96" s="93"/>
      <c r="D96" s="93"/>
      <c r="E96" s="113"/>
      <c r="F96" s="97" t="s">
        <v>119</v>
      </c>
      <c r="G96" s="98" t="n">
        <f aca="false">G94+G95</f>
        <v>401.250983270151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262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263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264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265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272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234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-13983.3333333333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419.87796229046</v>
      </c>
      <c r="B167" s="177" t="str">
        <f aca="false">B94</f>
        <v>0</v>
      </c>
      <c r="C167" s="174"/>
      <c r="D167" s="174"/>
      <c r="E167" s="177" t="n">
        <f aca="false">B96</f>
        <v>419.87796229046</v>
      </c>
      <c r="F167" s="23"/>
      <c r="G167" s="23" t="n">
        <f aca="false">ROUND(G95, 2)</f>
        <v>401.25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-631.905206705283</v>
      </c>
      <c r="B182" s="103" t="str">
        <f aca="false">B114</f>
        <v>199.99</v>
      </c>
      <c r="C182" s="103"/>
      <c r="D182" s="23"/>
      <c r="E182" s="103" t="n">
        <f aca="false">E179+A182+(B182*1.2)+A185</f>
        <v>20886.0827932947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4.1856</v>
      </c>
      <c r="B188" s="103" t="n">
        <f aca="false">(G158*B67)/1.2</f>
        <v>166.15625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266.14625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419.87796229046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-1228</v>
      </c>
      <c r="B201" s="186" t="n">
        <f aca="false">E179+A201+(B182*1.2)+A185</f>
        <v>20289.988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419.87796229046</v>
      </c>
      <c r="B212" s="177" t="str">
        <f aca="false">B167</f>
        <v>0</v>
      </c>
      <c r="C212" s="174"/>
      <c r="D212" s="174"/>
      <c r="E212" s="177" t="n">
        <f aca="false">E167</f>
        <v>419.87796229046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-631.905206705283</v>
      </c>
      <c r="B224" s="103" t="str">
        <f aca="false">B182</f>
        <v>199.99</v>
      </c>
      <c r="C224" s="103"/>
      <c r="D224" s="113"/>
      <c r="E224" s="103" t="n">
        <f aca="false">E182</f>
        <v>20886.0827932947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419.87796229046</v>
      </c>
      <c r="B230" s="103" t="str">
        <f aca="false">B167</f>
        <v>0</v>
      </c>
      <c r="C230" s="186"/>
      <c r="D230" s="186"/>
      <c r="E230" s="103" t="n">
        <f aca="false">E167</f>
        <v>419.87796229046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4.1856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166.15625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266.14625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606.094793294717</v>
      </c>
      <c r="C254" s="197"/>
      <c r="D254" s="198" t="s">
        <v>216</v>
      </c>
      <c r="E254" s="198"/>
      <c r="F254" s="200" t="n">
        <f aca="false">F261+F267+F269+B270+B271</f>
        <v>199.3875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506.697293294716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606.094793294717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199.3875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506.697293294716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5" colorId="64" zoomScale="85" zoomScaleNormal="85" zoomScalePageLayoutView="100" workbookViewId="0">
      <selection pane="topLeft" activeCell="H140" activeCellId="0" sqref="H14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695</v>
      </c>
      <c r="I10" s="2"/>
      <c r="J10" s="2"/>
      <c r="K10" s="1" t="s">
        <v>19</v>
      </c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  <c r="L13" s="0"/>
      <c r="M13" s="0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 t="n">
        <v>0</v>
      </c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1575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354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529.382574647977</v>
      </c>
      <c r="F33" s="232"/>
      <c r="G33" s="232"/>
      <c r="H33" s="47"/>
      <c r="I33" s="2"/>
      <c r="J33" s="34" t="s">
        <v>355</v>
      </c>
      <c r="K33" s="48" t="n">
        <f aca="false">H21-H11+(H16*20%)</f>
        <v>17780</v>
      </c>
      <c r="L33" s="1" t="n">
        <f aca="false">H21-H11+(H16*20%)</f>
        <v>17780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529.382574647977</v>
      </c>
      <c r="B36" s="232" t="str">
        <f aca="false">IF(B26="YES", K42, "0.00")</f>
        <v>0.00</v>
      </c>
      <c r="C36" s="232"/>
      <c r="D36" s="232"/>
      <c r="E36" s="232" t="n">
        <f aca="false">K31</f>
        <v>1575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84</v>
      </c>
      <c r="K39" s="2" t="n">
        <f aca="false">K33</f>
        <v>17780</v>
      </c>
      <c r="L39" s="2" t="n">
        <f aca="false">(L47*K46)+K44</f>
        <v>26324.8495269564</v>
      </c>
      <c r="N39" s="1" t="n">
        <f aca="false">K39-L39</f>
        <v>-8544.84952695636</v>
      </c>
      <c r="P39" s="212"/>
    </row>
    <row r="40" customFormat="false" ht="17.35" hidden="false" customHeight="false" outlineLevel="0" collapsed="false">
      <c r="A40" s="107" t="n">
        <f aca="false">E36*A45/100</f>
        <v>1575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1312.5</v>
      </c>
      <c r="L40" s="2" t="n">
        <f aca="false">K39-L39</f>
        <v>-8544.84952695636</v>
      </c>
      <c r="N40" s="1" t="n">
        <f aca="false">N38-N39</f>
        <v>11456.5295269564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1064.54113154218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366</v>
      </c>
      <c r="K45" s="2" t="n">
        <f aca="false">(K39-K44)</f>
        <v>16715.4588684578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31.5753854942677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529.382574647977</v>
      </c>
      <c r="L47" s="2" t="n">
        <f aca="false">L49-K42</f>
        <v>800</v>
      </c>
      <c r="M47" s="1" t="n">
        <f aca="false">K47-L47</f>
        <v>-270.617425352023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529.382574647977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529.382574647977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7425.04687920644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31140.1983604794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899.69597570959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899.69597570959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187.84989375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1547.8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204.92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168.754479166667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529.382574647977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529.382574647977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529.382574647977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529.382574647977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23021.604</v>
      </c>
      <c r="C81" s="93"/>
      <c r="D81" s="93"/>
      <c r="E81" s="113"/>
      <c r="F81" s="25" t="s">
        <v>105</v>
      </c>
      <c r="G81" s="27" t="n">
        <f aca="false">G158</f>
        <v>23021.604</v>
      </c>
      <c r="H81" s="33"/>
      <c r="J81" s="25" t="s">
        <v>105</v>
      </c>
      <c r="K81" s="27" t="n">
        <f aca="false">P158</f>
        <v>36519.004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17234.5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17234.5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1575</v>
      </c>
      <c r="C82" s="93"/>
      <c r="D82" s="93"/>
      <c r="E82" s="113"/>
      <c r="F82" s="31" t="s">
        <v>106</v>
      </c>
      <c r="G82" s="33" t="n">
        <f aca="false">IF(A111 = "Yes", A40, 0)</f>
        <v>1575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1575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1575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1111.81486361956</v>
      </c>
      <c r="C86" s="93"/>
      <c r="D86" s="93"/>
      <c r="E86" s="113"/>
      <c r="F86" s="31" t="s">
        <v>110</v>
      </c>
      <c r="G86" s="33" t="n">
        <f aca="false">(G82/((1+G84)^(G85+1)))</f>
        <v>1284.90114577142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1077.06787906881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1077.06787906881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28.7026658885233</v>
      </c>
      <c r="C87" s="93"/>
      <c r="D87" s="93"/>
      <c r="E87" s="113"/>
      <c r="F87" s="31" t="s">
        <v>111</v>
      </c>
      <c r="G87" s="33" t="n">
        <f aca="false">((1-(1/((1+G84)^G85)))/G84)</f>
        <v>30.7595752429843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21909.7891363804</v>
      </c>
      <c r="C88" s="93"/>
      <c r="D88" s="93"/>
      <c r="E88" s="113"/>
      <c r="F88" s="31" t="s">
        <v>112</v>
      </c>
      <c r="G88" s="33" t="n">
        <f aca="false">G81-G86</f>
        <v>21736.7028542286</v>
      </c>
      <c r="H88" s="33"/>
      <c r="J88" s="31" t="s">
        <v>112</v>
      </c>
      <c r="K88" s="33" t="n">
        <f aca="false">K81-K86</f>
        <v>36519.004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16157.4321209312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16157.4321209312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763.336382114283</v>
      </c>
      <c r="C89" s="93"/>
      <c r="D89" s="93"/>
      <c r="E89" s="113"/>
      <c r="F89" s="31" t="s">
        <v>113</v>
      </c>
      <c r="G89" s="33" t="n">
        <f aca="false">(G88/G87)</f>
        <v>706.664597365867</v>
      </c>
      <c r="H89" s="33"/>
      <c r="J89" s="31" t="s">
        <v>113</v>
      </c>
      <c r="K89" s="33" t="n">
        <f aca="false">(K88/K87)</f>
        <v>1460.84083744584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571.414296717317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571.414296717317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25953.4369918856</v>
      </c>
      <c r="C90" s="93"/>
      <c r="D90" s="93"/>
      <c r="E90" s="113"/>
      <c r="F90" s="31" t="s">
        <v>114</v>
      </c>
      <c r="G90" s="33" t="n">
        <f aca="false">((G89*(G85))+G77)</f>
        <v>24026.5963104395</v>
      </c>
      <c r="H90" s="33"/>
      <c r="J90" s="31" t="s">
        <v>114</v>
      </c>
      <c r="K90" s="33" t="n">
        <f aca="false">((K89*(K85))+K77)</f>
        <v>51129.4293106044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19428.0860883888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19428.0860883888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25953.4369918856</v>
      </c>
      <c r="C92" s="93"/>
      <c r="D92" s="93"/>
      <c r="E92" s="113"/>
      <c r="F92" s="56" t="s">
        <v>116</v>
      </c>
      <c r="G92" s="65" t="n">
        <f aca="false">(G90+G91)</f>
        <v>24026.5963104395</v>
      </c>
      <c r="H92" s="33"/>
      <c r="J92" s="56" t="s">
        <v>116</v>
      </c>
      <c r="K92" s="65" t="n">
        <f aca="false">(K90+K91)</f>
        <v>51129.4293106044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19428.0860883888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19428.0860883888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763.336382114283</v>
      </c>
      <c r="C95" s="93"/>
      <c r="D95" s="93"/>
      <c r="E95" s="113"/>
      <c r="F95" s="95" t="s">
        <v>118</v>
      </c>
      <c r="G95" s="96" t="n">
        <f aca="false">G92/(G85)</f>
        <v>706.664597365867</v>
      </c>
      <c r="H95" s="33"/>
      <c r="J95" s="95" t="s">
        <v>118</v>
      </c>
      <c r="K95" s="96" t="n">
        <f aca="false">K92/(K85)</f>
        <v>1460.84083744584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571.414296717317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571.414296717317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763.336382114283</v>
      </c>
      <c r="C96" s="93"/>
      <c r="D96" s="93"/>
      <c r="E96" s="113"/>
      <c r="F96" s="97" t="s">
        <v>119</v>
      </c>
      <c r="G96" s="98" t="n">
        <f aca="false">G94+G95</f>
        <v>706.664597365867</v>
      </c>
      <c r="H96" s="33"/>
      <c r="J96" s="97" t="s">
        <v>119</v>
      </c>
      <c r="K96" s="98" t="n">
        <f aca="false">(K94+K95)</f>
        <v>1460.84083744584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571.414296717317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571.414296717317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272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234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-3544.67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-3544.67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4186.25</v>
      </c>
      <c r="V124" s="130" t="n">
        <f aca="false">(V121*V122)+V123</f>
        <v>0</v>
      </c>
      <c r="W124" s="131" t="n">
        <f aca="false">(W121*W122)+W123</f>
        <v>0</v>
      </c>
      <c r="X124" s="130" t="n">
        <f aca="false">(X121*X122)+X123</f>
        <v>0</v>
      </c>
      <c r="Y124" s="131" t="n">
        <f aca="false">(Y121*Y122)+Y123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20289.67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12558.75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20289.67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12558.75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4196.934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2650.75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275</v>
      </c>
      <c r="Q139" s="33" t="n">
        <f aca="false">P139</f>
        <v>275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275</v>
      </c>
      <c r="Z139" s="33" t="n">
        <f aca="false">Y139</f>
        <v>275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25521.604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21268</v>
      </c>
      <c r="Q141" s="157" t="n">
        <f aca="false">(Q135+Q136+Q139+Q140+Q137)-Q138</f>
        <v>35519.004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21268</v>
      </c>
      <c r="Z141" s="157" t="n">
        <f aca="false">(Z135+Z136+Z139+Z140+Z137)-Z138</f>
        <v>16234.5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21268</v>
      </c>
      <c r="AI141" s="157" t="n">
        <f aca="false">(AI135+AI136+AI139+AI140+AI137)-AI138</f>
        <v>16234.5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25521.604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21268</v>
      </c>
      <c r="Q147" s="164" t="n">
        <f aca="false">Q141-((Q144*1.2)+(Q145*1.2)+(Q146*1.2)+(Q142*1.2))</f>
        <v>35519.004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21268</v>
      </c>
      <c r="Z147" s="164" t="n">
        <f aca="false">Z141-((Z144*1.2)+(Z145*1.2)+(Z146*1.2)+(Z142*1.2))</f>
        <v>16234.5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21268</v>
      </c>
      <c r="AI147" s="164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3544.67</v>
      </c>
      <c r="I148" s="1" t="n">
        <f aca="false">(H148-G81)/1.2</f>
        <v>-16230.7783333333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14251.004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-5033.5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-5033.5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23021.604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36519.004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17234.5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17234.5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763.336382114283</v>
      </c>
      <c r="B167" s="177" t="str">
        <f aca="false">B94</f>
        <v>0</v>
      </c>
      <c r="C167" s="174"/>
      <c r="D167" s="174"/>
      <c r="E167" s="177" t="n">
        <f aca="false">B96</f>
        <v>763.336382114283</v>
      </c>
      <c r="F167" s="23"/>
      <c r="G167" s="23" t="n">
        <f aca="false">ROUND(G95, 2)</f>
        <v>706.66</v>
      </c>
      <c r="H167" s="33"/>
      <c r="J167" s="176" t="n">
        <f aca="false">K95</f>
        <v>1460.84083744584</v>
      </c>
      <c r="K167" s="177" t="n">
        <f aca="false">K94</f>
        <v>0</v>
      </c>
      <c r="L167" s="174"/>
      <c r="M167" s="174"/>
      <c r="N167" s="177" t="n">
        <f aca="false">K96</f>
        <v>1460.84083744584</v>
      </c>
      <c r="O167" s="23"/>
      <c r="P167" s="23"/>
      <c r="Q167" s="33"/>
      <c r="S167" s="176" t="n">
        <f aca="false">T95</f>
        <v>571.414296717317</v>
      </c>
      <c r="T167" s="177" t="n">
        <f aca="false">T94</f>
        <v>0</v>
      </c>
      <c r="U167" s="174"/>
      <c r="V167" s="174"/>
      <c r="W167" s="177" t="n">
        <f aca="false">T96</f>
        <v>571.414296717317</v>
      </c>
      <c r="X167" s="23"/>
      <c r="Y167" s="23"/>
      <c r="Z167" s="33"/>
      <c r="AB167" s="176" t="n">
        <f aca="false">AC95</f>
        <v>571.414296717317</v>
      </c>
      <c r="AC167" s="177" t="n">
        <f aca="false">AC94</f>
        <v>0</v>
      </c>
      <c r="AD167" s="174"/>
      <c r="AE167" s="174"/>
      <c r="AF167" s="177" t="n">
        <f aca="false">AC96</f>
        <v>571.414296717317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1575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1575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1575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1575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20984.67</v>
      </c>
      <c r="B173" s="103" t="n">
        <f aca="false">H137</f>
        <v>4196.934</v>
      </c>
      <c r="C173" s="186"/>
      <c r="D173" s="23"/>
      <c r="E173" s="182" t="n">
        <f aca="false">H139+H140</f>
        <v>340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330</v>
      </c>
      <c r="O173" s="23"/>
      <c r="P173" s="23"/>
      <c r="Q173" s="33"/>
      <c r="S173" s="185" t="n">
        <f aca="false">Z141-Z137-Z139-Z140</f>
        <v>13253.75</v>
      </c>
      <c r="T173" s="103" t="n">
        <f aca="false">Z137</f>
        <v>2650.75</v>
      </c>
      <c r="U173" s="186"/>
      <c r="V173" s="23"/>
      <c r="W173" s="182" t="n">
        <f aca="false">Z139+Z140</f>
        <v>330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25521.604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35519.004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16234.5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16234.5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23021.604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36519.004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17234.5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17234.5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4506.83299188562</v>
      </c>
      <c r="B182" s="103" t="str">
        <f aca="false">B114</f>
        <v>199.99</v>
      </c>
      <c r="C182" s="103"/>
      <c r="D182" s="23"/>
      <c r="E182" s="103" t="n">
        <f aca="false">E179+A182+(B182*1.2)+A185</f>
        <v>27778.4249918856</v>
      </c>
      <c r="F182" s="23"/>
      <c r="G182" s="23"/>
      <c r="H182" s="105"/>
      <c r="J182" s="111" t="n">
        <f aca="false">(J167*K59)+N185-N179-J185</f>
        <v>14724.5844731586</v>
      </c>
      <c r="K182" s="103" t="n">
        <f aca="false">K114</f>
        <v>239.99</v>
      </c>
      <c r="L182" s="103"/>
      <c r="M182" s="23"/>
      <c r="N182" s="103" t="n">
        <f aca="false">N179+J182+K182+J185</f>
        <v>51503.5784731586</v>
      </c>
      <c r="O182" s="23"/>
      <c r="P182" s="23"/>
      <c r="Q182" s="105"/>
      <c r="S182" s="111" t="n">
        <f aca="false">(S167*T59)+W185-W179-S185</f>
        <v>3768.58608838877</v>
      </c>
      <c r="T182" s="103" t="n">
        <f aca="false">T114</f>
        <v>199.99</v>
      </c>
      <c r="U182" s="103"/>
      <c r="V182" s="23"/>
      <c r="W182" s="103" t="n">
        <f aca="false">W179+S182+T182+S185</f>
        <v>21213.0760883888</v>
      </c>
      <c r="X182" s="23"/>
      <c r="Y182" s="23"/>
      <c r="Z182" s="105"/>
      <c r="AB182" s="111" t="n">
        <f aca="false">(AB167*AC59)+AF185-AF179-AB185</f>
        <v>3768.58608838877</v>
      </c>
      <c r="AC182" s="103" t="n">
        <f aca="false">AC114</f>
        <v>239.99</v>
      </c>
      <c r="AD182" s="103"/>
      <c r="AE182" s="23"/>
      <c r="AF182" s="103" t="n">
        <f aca="false">AF179+AB182+AC182+AB185</f>
        <v>21253.0760883888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E170+A185</f>
        <v>1585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1595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1585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1585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0</v>
      </c>
      <c r="B188" s="103" t="n">
        <f aca="false">(G158*B67)/1.2</f>
        <v>187.84989375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0.042536</v>
      </c>
      <c r="K188" s="103" t="n">
        <f aca="false">(P158*K67)/1.2</f>
        <v>2250.73722569444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140.628732638889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140.628732638889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287.83989375</v>
      </c>
      <c r="C191" s="93"/>
      <c r="D191" s="93"/>
      <c r="E191" s="103" t="n">
        <f aca="false">H148</f>
        <v>3544.67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3390.72722569444</v>
      </c>
      <c r="L191" s="93"/>
      <c r="M191" s="93"/>
      <c r="N191" s="103" t="n">
        <f aca="false">Q148</f>
        <v>14251.004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1240.61873263889</v>
      </c>
      <c r="U191" s="93"/>
      <c r="V191" s="93"/>
      <c r="W191" s="103" t="n">
        <f aca="false">Z148</f>
        <v>-5033.5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1280.61873263889</v>
      </c>
      <c r="AD191" s="93"/>
      <c r="AE191" s="93"/>
      <c r="AF191" s="103" t="n">
        <f aca="false">AI148</f>
        <v>-5033.5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763.336382114283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1460.84083744584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571.414296717317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571.414296717317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2579.836</v>
      </c>
      <c r="B201" s="186" t="n">
        <f aca="false">E179+A201+(B182*1.2)+A185</f>
        <v>25851.428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763.336382114283</v>
      </c>
      <c r="B212" s="177" t="str">
        <f aca="false">B167</f>
        <v>0</v>
      </c>
      <c r="C212" s="174"/>
      <c r="D212" s="174"/>
      <c r="E212" s="177" t="n">
        <f aca="false">E167</f>
        <v>763.336382114283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20984.67</v>
      </c>
      <c r="B215" s="103" t="n">
        <f aca="false">B173</f>
        <v>4196.934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25521.604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23021.604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4506.83299188562</v>
      </c>
      <c r="B224" s="103" t="str">
        <f aca="false">B182</f>
        <v>199.99</v>
      </c>
      <c r="C224" s="103"/>
      <c r="D224" s="113"/>
      <c r="E224" s="103" t="n">
        <f aca="false">E182</f>
        <v>27778.4249918856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763.336382114283</v>
      </c>
      <c r="B230" s="103" t="str">
        <f aca="false">B167</f>
        <v>0</v>
      </c>
      <c r="C230" s="186"/>
      <c r="D230" s="186"/>
      <c r="E230" s="103" t="n">
        <f aca="false">E167</f>
        <v>763.336382114283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1575</v>
      </c>
      <c r="B233" s="103" t="n">
        <f aca="false">E185</f>
        <v>1585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3544.67</v>
      </c>
      <c r="B240" s="103" t="n">
        <f aca="false">B68</f>
        <v>187.84989375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3832.50989375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1936.99699188562</v>
      </c>
      <c r="C254" s="197"/>
      <c r="D254" s="198" t="s">
        <v>216</v>
      </c>
      <c r="E254" s="198"/>
      <c r="F254" s="200" t="n">
        <f aca="false">F261+F267+F269+B270+B271</f>
        <v>225.4198725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1811.56711938562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1936.99699188562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225.4198725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1811.56711938562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2625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354</v>
      </c>
      <c r="F32" s="93"/>
      <c r="G32" s="93"/>
      <c r="H32" s="33"/>
      <c r="I32" s="2" t="n">
        <v>0</v>
      </c>
      <c r="J32" s="29" t="s">
        <v>36</v>
      </c>
      <c r="K32" s="449" t="n">
        <v>1754.55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557.036393388887</v>
      </c>
      <c r="F33" s="232"/>
      <c r="G33" s="232"/>
      <c r="H33" s="47"/>
      <c r="I33" s="2"/>
      <c r="J33" s="34" t="s">
        <v>355</v>
      </c>
      <c r="K33" s="48" t="n">
        <f aca="false">H21-H11+(H16*20%)</f>
        <v>17780</v>
      </c>
      <c r="L33" s="1" t="n">
        <f aca="false">H21-H11+(H16*20%)</f>
        <v>17780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506.906393388887</v>
      </c>
      <c r="B36" s="232" t="n">
        <f aca="false">IF(B26="YES", K42, "0.00")</f>
        <v>50.13</v>
      </c>
      <c r="C36" s="232"/>
      <c r="D36" s="232"/>
      <c r="E36" s="232" t="n">
        <f aca="false">K31</f>
        <v>2625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84</v>
      </c>
      <c r="K39" s="2" t="n">
        <f aca="false">K33</f>
        <v>17780</v>
      </c>
      <c r="L39" s="2" t="n">
        <f aca="false">(L47*K46)+K44</f>
        <v>25451.6695398235</v>
      </c>
      <c r="N39" s="1" t="n">
        <f aca="false">K39-L39</f>
        <v>-7671.66953982351</v>
      </c>
      <c r="P39" s="212"/>
    </row>
    <row r="40" customFormat="false" ht="17.35" hidden="false" customHeight="false" outlineLevel="0" collapsed="false">
      <c r="A40" s="107" t="n">
        <f aca="false">E36*A45/100</f>
        <v>2625</v>
      </c>
      <c r="B40" s="107" t="n">
        <f aca="false">IF(B26="YES", K42, "0.00")</f>
        <v>50.13</v>
      </c>
      <c r="C40" s="107"/>
      <c r="D40" s="107"/>
      <c r="E40" s="182" t="n">
        <f aca="false">K32</f>
        <v>1754.55</v>
      </c>
      <c r="F40" s="186"/>
      <c r="G40" s="186"/>
      <c r="H40" s="47"/>
      <c r="J40" s="2" t="s">
        <v>106</v>
      </c>
      <c r="K40" s="2" t="n">
        <f aca="false">(A40)/1.2</f>
        <v>2187.5</v>
      </c>
      <c r="L40" s="2" t="n">
        <f aca="false">K39-L39</f>
        <v>-7671.66953982351</v>
      </c>
      <c r="N40" s="1" t="n">
        <f aca="false">N38-N39</f>
        <v>10583.3495398235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(K32/K36/100)*C45</f>
        <v>50.13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1774.23521923697</v>
      </c>
      <c r="L44" s="2"/>
      <c r="P44" s="212"/>
    </row>
    <row r="45" customFormat="false" ht="17.35" hidden="false" customHeight="false" outlineLevel="0" collapsed="false">
      <c r="A45" s="505" t="n">
        <v>100</v>
      </c>
      <c r="B45" s="93"/>
      <c r="C45" s="506" t="n">
        <v>100</v>
      </c>
      <c r="D45" s="506"/>
      <c r="E45" s="506"/>
      <c r="F45" s="93"/>
      <c r="G45" s="93"/>
      <c r="H45" s="33"/>
      <c r="J45" s="2" t="s">
        <v>366</v>
      </c>
      <c r="K45" s="2" t="n">
        <f aca="false">(K39-K44)</f>
        <v>16005.764780763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31.5753854942677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506.906393388887</v>
      </c>
      <c r="L47" s="2" t="n">
        <f aca="false">L49-K42</f>
        <v>749.87</v>
      </c>
      <c r="M47" s="1" t="n">
        <f aca="false">K47-L47</f>
        <v>-242.963606611113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557.036393388887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557.036393388887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7333.70638563143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31926.8647045475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6802.941176898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822.96738915714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187.84989375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1547.8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204.92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168.754479166667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506.906393388887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506.906393388887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557.036393388887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557.036393388887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23021.604</v>
      </c>
      <c r="C81" s="93"/>
      <c r="D81" s="93"/>
      <c r="E81" s="113"/>
      <c r="F81" s="25" t="s">
        <v>105</v>
      </c>
      <c r="G81" s="27" t="n">
        <f aca="false">G158</f>
        <v>23021.604</v>
      </c>
      <c r="H81" s="33"/>
      <c r="J81" s="25" t="s">
        <v>105</v>
      </c>
      <c r="K81" s="27" t="n">
        <f aca="false">P158</f>
        <v>36519.004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22207.765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17234.5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2625</v>
      </c>
      <c r="C82" s="93"/>
      <c r="D82" s="93"/>
      <c r="E82" s="113"/>
      <c r="F82" s="31" t="s">
        <v>106</v>
      </c>
      <c r="G82" s="33" t="n">
        <f aca="false">IF(A111 = "Yes", A40, 0)</f>
        <v>2625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2625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2625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1853.02477269927</v>
      </c>
      <c r="C86" s="93"/>
      <c r="D86" s="93"/>
      <c r="E86" s="113"/>
      <c r="F86" s="31" t="s">
        <v>110</v>
      </c>
      <c r="G86" s="33" t="n">
        <f aca="false">(G82/((1+G84)^(G85+1)))</f>
        <v>2141.50190961903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1795.11313178135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1795.11313178135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28.7026658885233</v>
      </c>
      <c r="C87" s="93"/>
      <c r="D87" s="93"/>
      <c r="E87" s="113"/>
      <c r="F87" s="31" t="s">
        <v>111</v>
      </c>
      <c r="G87" s="33" t="n">
        <f aca="false">((1-(1/((1+G84)^G85)))/G84)</f>
        <v>30.7595752429843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21168.5792273007</v>
      </c>
      <c r="C88" s="93"/>
      <c r="D88" s="93"/>
      <c r="E88" s="113"/>
      <c r="F88" s="31" t="s">
        <v>112</v>
      </c>
      <c r="G88" s="33" t="n">
        <f aca="false">G81-G86</f>
        <v>20880.102090381</v>
      </c>
      <c r="H88" s="33"/>
      <c r="J88" s="31" t="s">
        <v>112</v>
      </c>
      <c r="K88" s="33" t="n">
        <f aca="false">K81-K86</f>
        <v>36519.004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20412.6518682187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15439.3868682187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737.512651595367</v>
      </c>
      <c r="C89" s="93"/>
      <c r="D89" s="93"/>
      <c r="E89" s="113"/>
      <c r="F89" s="31" t="s">
        <v>113</v>
      </c>
      <c r="G89" s="33" t="n">
        <f aca="false">(G88/G87)</f>
        <v>678.816333627473</v>
      </c>
      <c r="H89" s="33"/>
      <c r="J89" s="31" t="s">
        <v>113</v>
      </c>
      <c r="K89" s="33" t="n">
        <f aca="false">(K88/K87)</f>
        <v>1460.84083744584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721.901910162031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546.020328169653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25075.4301542425</v>
      </c>
      <c r="C90" s="93"/>
      <c r="D90" s="93"/>
      <c r="E90" s="113"/>
      <c r="F90" s="31" t="s">
        <v>114</v>
      </c>
      <c r="G90" s="33" t="n">
        <f aca="false">((G89*(G85))+G77)</f>
        <v>23079.7553433341</v>
      </c>
      <c r="H90" s="33"/>
      <c r="J90" s="31" t="s">
        <v>114</v>
      </c>
      <c r="K90" s="33" t="n">
        <f aca="false">((K89*(K85))+K77)</f>
        <v>51129.4293106044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24544.664945509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18564.6911577682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25075.4301542425</v>
      </c>
      <c r="C92" s="93"/>
      <c r="D92" s="93"/>
      <c r="E92" s="113"/>
      <c r="F92" s="56" t="s">
        <v>116</v>
      </c>
      <c r="G92" s="65" t="n">
        <f aca="false">(G90+G91)</f>
        <v>23079.7553433341</v>
      </c>
      <c r="H92" s="33"/>
      <c r="J92" s="56" t="s">
        <v>116</v>
      </c>
      <c r="K92" s="65" t="n">
        <f aca="false">(K90+K91)</f>
        <v>51129.4293106044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24544.664945509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18564.6911577682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80.5028823529412</v>
      </c>
      <c r="C94" s="93"/>
      <c r="D94" s="93"/>
      <c r="E94" s="113"/>
      <c r="F94" s="88" t="s">
        <v>117</v>
      </c>
      <c r="G94" s="94" t="n">
        <f aca="false">IF(B26="YES",((E40/B85)*(1+A108)*(C45/100)),"0")</f>
        <v>67.0857352941177</v>
      </c>
      <c r="H94" s="33"/>
      <c r="J94" s="88" t="s">
        <v>117</v>
      </c>
      <c r="K94" s="89" t="n">
        <f aca="false">((E40/K85)*(1+J108))*1.2</f>
        <v>78.2028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61.9252941176471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74.3103529411765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737.512651595367</v>
      </c>
      <c r="C95" s="93"/>
      <c r="D95" s="93"/>
      <c r="E95" s="113"/>
      <c r="F95" s="95" t="s">
        <v>118</v>
      </c>
      <c r="G95" s="96" t="n">
        <f aca="false">G92/(G85)</f>
        <v>678.816333627473</v>
      </c>
      <c r="H95" s="33"/>
      <c r="J95" s="95" t="s">
        <v>118</v>
      </c>
      <c r="K95" s="96" t="n">
        <f aca="false">K92/(K85)</f>
        <v>1460.84083744584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721.901910162031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546.020328169653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818.015533948308</v>
      </c>
      <c r="C96" s="93"/>
      <c r="D96" s="93"/>
      <c r="E96" s="113"/>
      <c r="F96" s="97" t="s">
        <v>119</v>
      </c>
      <c r="G96" s="98" t="n">
        <f aca="false">G94+G95</f>
        <v>745.90206892159</v>
      </c>
      <c r="H96" s="33"/>
      <c r="J96" s="97" t="s">
        <v>119</v>
      </c>
      <c r="K96" s="98" t="n">
        <f aca="false">(K94+K95)</f>
        <v>1539.04363744584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783.827204279678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620.330681110829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121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s">
        <v>272</v>
      </c>
      <c r="C108" s="107"/>
      <c r="D108" s="107"/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-3544.67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-3544.67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41.8625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20289.67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16703.1375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20289.67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16703.1375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4196.934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3479.6275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275</v>
      </c>
      <c r="Q139" s="33" t="n">
        <f aca="false">P139</f>
        <v>275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275</v>
      </c>
      <c r="Z139" s="33" t="n">
        <f aca="false">Y139</f>
        <v>275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25521.604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21268</v>
      </c>
      <c r="Q141" s="157" t="n">
        <f aca="false">(Q135+Q136+Q139+Q140+Q137)-Q138</f>
        <v>35519.004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21268</v>
      </c>
      <c r="Z141" s="157" t="n">
        <f aca="false">(Z135+Z136+Z139+Z140+Z137)-Z138</f>
        <v>21207.765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21268</v>
      </c>
      <c r="AI141" s="157" t="n">
        <f aca="false">(AI135+AI136+AI139+AI140+AI137)-AI138</f>
        <v>16234.5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25521.604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21268</v>
      </c>
      <c r="Q147" s="164" t="n">
        <f aca="false">Q141-((Q144*1.2)+(Q145*1.2)+(Q146*1.2)+(Q142*1.2))</f>
        <v>35519.004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21268</v>
      </c>
      <c r="Z147" s="164" t="n">
        <f aca="false">Z141-((Z144*1.2)+(Z145*1.2)+(Z146*1.2)+(Z142*1.2))</f>
        <v>21207.765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21268</v>
      </c>
      <c r="AI147" s="164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3544.67</v>
      </c>
      <c r="I148" s="1" t="n">
        <f aca="false">(H148-G81)/1.2</f>
        <v>-16230.7783333333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14251.004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-60.2350000000006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-5033.5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23021.604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36519.004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22207.765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17234.5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737.512651595367</v>
      </c>
      <c r="B167" s="177" t="n">
        <f aca="false">B94</f>
        <v>80.5028823529412</v>
      </c>
      <c r="C167" s="174"/>
      <c r="D167" s="174"/>
      <c r="E167" s="177" t="n">
        <f aca="false">B96</f>
        <v>818.015533948308</v>
      </c>
      <c r="F167" s="23"/>
      <c r="G167" s="23" t="n">
        <f aca="false">ROUND(G95, 2)</f>
        <v>678.82</v>
      </c>
      <c r="H167" s="33"/>
      <c r="J167" s="176" t="n">
        <f aca="false">K95</f>
        <v>1460.84083744584</v>
      </c>
      <c r="K167" s="177" t="n">
        <f aca="false">K94</f>
        <v>78.2028</v>
      </c>
      <c r="L167" s="174"/>
      <c r="M167" s="174"/>
      <c r="N167" s="177" t="n">
        <f aca="false">K96</f>
        <v>1539.04363744584</v>
      </c>
      <c r="O167" s="23"/>
      <c r="P167" s="23"/>
      <c r="Q167" s="33"/>
      <c r="S167" s="176" t="n">
        <f aca="false">T95</f>
        <v>721.901910162031</v>
      </c>
      <c r="T167" s="177" t="n">
        <f aca="false">T94</f>
        <v>61.9252941176471</v>
      </c>
      <c r="U167" s="174"/>
      <c r="V167" s="174"/>
      <c r="W167" s="177" t="n">
        <f aca="false">T96</f>
        <v>783.827204279678</v>
      </c>
      <c r="X167" s="23"/>
      <c r="Y167" s="23"/>
      <c r="Z167" s="33"/>
      <c r="AB167" s="176" t="n">
        <f aca="false">AC95</f>
        <v>546.020328169653</v>
      </c>
      <c r="AC167" s="177" t="n">
        <f aca="false">AC94</f>
        <v>74.3103529411765</v>
      </c>
      <c r="AD167" s="174"/>
      <c r="AE167" s="174"/>
      <c r="AF167" s="177" t="n">
        <f aca="false">AC96</f>
        <v>620.330681110829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2625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2625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2625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2625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20984.67</v>
      </c>
      <c r="B173" s="103" t="n">
        <f aca="false">H137</f>
        <v>4196.934</v>
      </c>
      <c r="C173" s="186"/>
      <c r="D173" s="23"/>
      <c r="E173" s="182" t="n">
        <f aca="false">H139+H140</f>
        <v>340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330</v>
      </c>
      <c r="O173" s="23"/>
      <c r="P173" s="23"/>
      <c r="Q173" s="33"/>
      <c r="S173" s="185" t="n">
        <f aca="false">Z141-Z137-Z139-Z140</f>
        <v>17398.1375</v>
      </c>
      <c r="T173" s="103" t="n">
        <f aca="false">Z137</f>
        <v>3479.6275</v>
      </c>
      <c r="U173" s="186"/>
      <c r="V173" s="23"/>
      <c r="W173" s="182" t="n">
        <f aca="false">Z139+Z140</f>
        <v>330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25521.604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35519.004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21207.765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16234.5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23021.604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36519.004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22207.765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17234.5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4678.82615424248</v>
      </c>
      <c r="B182" s="103" t="str">
        <f aca="false">B114</f>
        <v>239.99</v>
      </c>
      <c r="C182" s="103"/>
      <c r="D182" s="23"/>
      <c r="E182" s="103" t="n">
        <f aca="false">E179+A182+B182+A185</f>
        <v>27950.4201542425</v>
      </c>
      <c r="F182" s="23"/>
      <c r="G182" s="23"/>
      <c r="H182" s="105"/>
      <c r="J182" s="111" t="n">
        <f aca="false">(J167*K59)+N185-N179-J185</f>
        <v>15774.5844731586</v>
      </c>
      <c r="K182" s="103" t="n">
        <f aca="false">K114</f>
        <v>239.99</v>
      </c>
      <c r="L182" s="103"/>
      <c r="M182" s="23"/>
      <c r="N182" s="103" t="n">
        <f aca="false">N179+J182+K182+J185</f>
        <v>52553.5784731586</v>
      </c>
      <c r="O182" s="23"/>
      <c r="P182" s="23"/>
      <c r="Q182" s="105"/>
      <c r="S182" s="111" t="n">
        <f aca="false">(S167*T59)+W185-W179-S185</f>
        <v>4961.89994550905</v>
      </c>
      <c r="T182" s="103" t="n">
        <f aca="false">T114</f>
        <v>199.99</v>
      </c>
      <c r="U182" s="103"/>
      <c r="V182" s="23"/>
      <c r="W182" s="103" t="n">
        <f aca="false">W179+S182+T182+S185</f>
        <v>27379.654945509</v>
      </c>
      <c r="X182" s="23"/>
      <c r="Y182" s="23"/>
      <c r="Z182" s="105"/>
      <c r="AB182" s="111" t="n">
        <f aca="false">(AB167*AC59)+AF185-AF179-AB185</f>
        <v>3955.19115776819</v>
      </c>
      <c r="AC182" s="103" t="n">
        <f aca="false">AC114</f>
        <v>239.99</v>
      </c>
      <c r="AD182" s="103"/>
      <c r="AE182" s="23"/>
      <c r="AF182" s="103" t="n">
        <f aca="false">AF179+AB182+AC182+AB185</f>
        <v>21439.6811577682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E170+A185</f>
        <v>2635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2645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2635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2635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5.02272</v>
      </c>
      <c r="B188" s="103" t="n">
        <f aca="false">(G158*B67)</f>
        <v>225.4198725</v>
      </c>
      <c r="C188" s="93"/>
      <c r="D188" s="93"/>
      <c r="E188" s="103" t="n">
        <f aca="false">(E40*A108)*0.1*(C45/100)</f>
        <v>52.6365</v>
      </c>
      <c r="F188" s="23"/>
      <c r="G188" s="23"/>
      <c r="H188" s="33"/>
      <c r="J188" s="111" t="n">
        <f aca="false">IF(N105="YES", H15*0.000002, 0)</f>
        <v>0.042536</v>
      </c>
      <c r="K188" s="103" t="n">
        <f aca="false">(P158*K67)/1.2</f>
        <v>2250.73722569444</v>
      </c>
      <c r="L188" s="93"/>
      <c r="M188" s="93"/>
      <c r="N188" s="103" t="n">
        <f aca="false">(E40*J108)*0.1</f>
        <v>52.6365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181.209193576389</v>
      </c>
      <c r="U188" s="93"/>
      <c r="V188" s="93"/>
      <c r="W188" s="103" t="n">
        <f aca="false">(E40*S108)*0.1</f>
        <v>35.091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140.628732638889</v>
      </c>
      <c r="AD188" s="93"/>
      <c r="AE188" s="93"/>
      <c r="AF188" s="103" t="n">
        <f aca="false">(E40*AB108)*0.1</f>
        <v>35.091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378.048039166667</v>
      </c>
      <c r="C191" s="93"/>
      <c r="D191" s="93"/>
      <c r="E191" s="103" t="n">
        <f aca="false">H148</f>
        <v>3544.67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3443.36372569444</v>
      </c>
      <c r="L191" s="93"/>
      <c r="M191" s="93"/>
      <c r="N191" s="103" t="n">
        <f aca="false">Q148</f>
        <v>14251.004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1316.29019357639</v>
      </c>
      <c r="U191" s="93"/>
      <c r="V191" s="93"/>
      <c r="W191" s="103" t="n">
        <f aca="false">Z148</f>
        <v>-60.2350000000006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1315.70973263889</v>
      </c>
      <c r="AD191" s="93"/>
      <c r="AE191" s="93"/>
      <c r="AF191" s="103" t="n">
        <f aca="false">AI148</f>
        <v>-5033.5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818.015533948308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1539.04363744584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783.827204279678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620.330681110829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2683.276</v>
      </c>
      <c r="B201" s="186" t="n">
        <f aca="false">E179+A201+B182+A185</f>
        <v>25954.87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737.512651595367</v>
      </c>
      <c r="B212" s="177" t="n">
        <f aca="false">B167</f>
        <v>80.5028823529412</v>
      </c>
      <c r="C212" s="174"/>
      <c r="D212" s="174"/>
      <c r="E212" s="177" t="n">
        <f aca="false">E167</f>
        <v>818.015533948308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20984.67</v>
      </c>
      <c r="B215" s="103" t="n">
        <f aca="false">B173</f>
        <v>4196.934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25521.604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23021.604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4678.82615424248</v>
      </c>
      <c r="B224" s="103" t="str">
        <f aca="false">B182</f>
        <v>239.99</v>
      </c>
      <c r="C224" s="103"/>
      <c r="D224" s="113"/>
      <c r="E224" s="103" t="n">
        <f aca="false">E182</f>
        <v>27950.4201542425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737.512651595367</v>
      </c>
      <c r="B230" s="103" t="n">
        <f aca="false">B167</f>
        <v>80.5028823529412</v>
      </c>
      <c r="C230" s="186"/>
      <c r="D230" s="186"/>
      <c r="E230" s="103" t="n">
        <f aca="false">E167</f>
        <v>818.015533948308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2625</v>
      </c>
      <c r="B233" s="103" t="n">
        <f aca="false">E185</f>
        <v>2635</v>
      </c>
      <c r="C233" s="93"/>
      <c r="D233" s="93"/>
      <c r="E233" s="103" t="n">
        <f aca="false">A188</f>
        <v>5.02272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3544.67</v>
      </c>
      <c r="B240" s="103" t="n">
        <f aca="false">B68</f>
        <v>187.84989375</v>
      </c>
      <c r="C240" s="93"/>
      <c r="D240" s="93"/>
      <c r="E240" s="103" t="n">
        <f aca="false">E188</f>
        <v>52.6365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3885.14806041667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2005.55015424248</v>
      </c>
      <c r="C254" s="197"/>
      <c r="D254" s="198" t="s">
        <v>216</v>
      </c>
      <c r="E254" s="198"/>
      <c r="F254" s="200" t="n">
        <f aca="false">F261+F267+F269+B270+B271</f>
        <v>225.4198725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626.356666666667</v>
      </c>
      <c r="C255" s="197"/>
      <c r="D255" s="198" t="s">
        <v>218</v>
      </c>
      <c r="E255" s="198"/>
      <c r="F255" s="200" t="n">
        <f aca="false">(B254-F254)+B255</f>
        <v>2406.48694840914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2005.55015424248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225.4198725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526.365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2406.48694840914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555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35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35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</v>
      </c>
      <c r="P29" s="212"/>
    </row>
    <row r="30" customFormat="false" ht="17.35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35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2100</v>
      </c>
      <c r="P31" s="212"/>
    </row>
    <row r="32" customFormat="false" ht="33.25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354</v>
      </c>
      <c r="F32" s="93"/>
      <c r="G32" s="93"/>
      <c r="H32" s="33"/>
      <c r="I32" s="2" t="n">
        <v>0</v>
      </c>
      <c r="J32" s="29" t="s">
        <v>36</v>
      </c>
      <c r="K32" s="449" t="n">
        <v>2105.25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578.294484018432</v>
      </c>
      <c r="F33" s="232"/>
      <c r="G33" s="232"/>
      <c r="H33" s="47"/>
      <c r="I33" s="2"/>
      <c r="J33" s="34" t="s">
        <v>355</v>
      </c>
      <c r="K33" s="48" t="n">
        <f aca="false">H21-H11+(H16*20%)</f>
        <v>17780</v>
      </c>
      <c r="L33" s="1" t="n">
        <f aca="false">H21-H11+(H16*20%)</f>
        <v>17780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518.144484018432</v>
      </c>
      <c r="B36" s="232" t="n">
        <f aca="false">IF(B26="YES", K42, "0.00")</f>
        <v>60.15</v>
      </c>
      <c r="C36" s="232"/>
      <c r="D36" s="232"/>
      <c r="E36" s="232" t="n">
        <f aca="false">K31</f>
        <v>2100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84</v>
      </c>
      <c r="K39" s="2" t="n">
        <f aca="false">K33</f>
        <v>17780</v>
      </c>
      <c r="L39" s="2" t="n">
        <f aca="false">(L47*K46)+K44</f>
        <v>24780.4371333235</v>
      </c>
      <c r="N39" s="1" t="n">
        <f aca="false">K39-L39</f>
        <v>-7000.43713332355</v>
      </c>
      <c r="P39" s="212"/>
    </row>
    <row r="40" customFormat="false" ht="17.35" hidden="false" customHeight="false" outlineLevel="0" collapsed="false">
      <c r="A40" s="313" t="n">
        <f aca="false">E36*A45/100</f>
        <v>2100</v>
      </c>
      <c r="B40" s="107" t="n">
        <f aca="false">IF(B26="YES", K42, "0.00")</f>
        <v>60.15</v>
      </c>
      <c r="C40" s="107"/>
      <c r="D40" s="107"/>
      <c r="E40" s="182" t="n">
        <f aca="false">K32</f>
        <v>2105.25</v>
      </c>
      <c r="F40" s="186"/>
      <c r="G40" s="186"/>
      <c r="H40" s="47"/>
      <c r="J40" s="2" t="s">
        <v>106</v>
      </c>
      <c r="K40" s="2" t="n">
        <f aca="false">(A40)/1.2</f>
        <v>1750</v>
      </c>
      <c r="L40" s="2" t="n">
        <f aca="false">K39-L39</f>
        <v>-7000.43713332355</v>
      </c>
      <c r="N40" s="1" t="n">
        <f aca="false">N38-N39</f>
        <v>9912.11713332355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(K32/K36/100)*C45</f>
        <v>60.15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1419.38817538958</v>
      </c>
      <c r="L44" s="2"/>
      <c r="P44" s="212"/>
    </row>
    <row r="45" customFormat="false" ht="17.35" hidden="false" customHeight="false" outlineLevel="0" collapsed="false">
      <c r="A45" s="507" t="n">
        <v>100</v>
      </c>
      <c r="B45" s="93"/>
      <c r="C45" s="506" t="n">
        <v>100</v>
      </c>
      <c r="D45" s="506"/>
      <c r="E45" s="506"/>
      <c r="F45" s="93"/>
      <c r="G45" s="93"/>
      <c r="H45" s="33"/>
      <c r="J45" s="2" t="s">
        <v>366</v>
      </c>
      <c r="K45" s="2" t="n">
        <f aca="false">(K39-K44)</f>
        <v>16360.6118246104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31.5753854942677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518.144484018432</v>
      </c>
      <c r="L47" s="2" t="n">
        <f aca="false">L49-K42</f>
        <v>739.85</v>
      </c>
      <c r="M47" s="1" t="n">
        <f aca="false">K47-L47</f>
        <v>-221.705515981568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578.294484018432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578.294484018432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9274.67096540114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31533.5315325134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6841.30547017423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861.331682433363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200.905449305556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1547.8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204.92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168.754479166667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0.05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518.144484018432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518.144484018432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578.294484018432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578.294484018432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24621.604</v>
      </c>
      <c r="C81" s="93"/>
      <c r="D81" s="93"/>
      <c r="E81" s="113"/>
      <c r="F81" s="25" t="s">
        <v>105</v>
      </c>
      <c r="G81" s="27" t="n">
        <f aca="false">G158</f>
        <v>24621.604</v>
      </c>
      <c r="H81" s="33"/>
      <c r="J81" s="25" t="s">
        <v>105</v>
      </c>
      <c r="K81" s="27" t="n">
        <f aca="false">P158</f>
        <v>36519.004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22207.765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17234.5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2100</v>
      </c>
      <c r="C82" s="93"/>
      <c r="D82" s="93"/>
      <c r="E82" s="113"/>
      <c r="F82" s="31" t="s">
        <v>106</v>
      </c>
      <c r="G82" s="33" t="n">
        <f aca="false">IF(A111 = "Yes", A40, 0)</f>
        <v>2100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2100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2100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1482.41981815942</v>
      </c>
      <c r="C86" s="93"/>
      <c r="D86" s="93"/>
      <c r="E86" s="113"/>
      <c r="F86" s="31" t="s">
        <v>110</v>
      </c>
      <c r="G86" s="33" t="n">
        <f aca="false">(G82/((1+G84)^(G85+1)))</f>
        <v>1713.20152769522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1436.09050542508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1436.09050542508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28.7026658885233</v>
      </c>
      <c r="C87" s="93"/>
      <c r="D87" s="93"/>
      <c r="E87" s="113"/>
      <c r="F87" s="31" t="s">
        <v>111</v>
      </c>
      <c r="G87" s="33" t="n">
        <f aca="false">((1-(1/((1+G84)^G85)))/G84)</f>
        <v>30.7595752429843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23139.1841818406</v>
      </c>
      <c r="C88" s="93"/>
      <c r="D88" s="93"/>
      <c r="E88" s="113"/>
      <c r="F88" s="31" t="s">
        <v>112</v>
      </c>
      <c r="G88" s="33" t="n">
        <f aca="false">G81-G86</f>
        <v>22908.4024723048</v>
      </c>
      <c r="H88" s="33"/>
      <c r="J88" s="31" t="s">
        <v>112</v>
      </c>
      <c r="K88" s="33" t="n">
        <f aca="false">K81-K86</f>
        <v>36519.004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20771.6744945749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15798.4094945749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806.16846782489</v>
      </c>
      <c r="C89" s="93"/>
      <c r="D89" s="93"/>
      <c r="E89" s="113"/>
      <c r="F89" s="31" t="s">
        <v>113</v>
      </c>
      <c r="G89" s="33" t="n">
        <f aca="false">(G88/G87)</f>
        <v>744.756788458247</v>
      </c>
      <c r="H89" s="33"/>
      <c r="J89" s="31" t="s">
        <v>113</v>
      </c>
      <c r="K89" s="33" t="n">
        <f aca="false">(K88/K87)</f>
        <v>1460.84083744584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734.598894435863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558.717312443485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27409.7279060463</v>
      </c>
      <c r="C90" s="93"/>
      <c r="D90" s="93"/>
      <c r="E90" s="113"/>
      <c r="F90" s="31" t="s">
        <v>114</v>
      </c>
      <c r="G90" s="33" t="n">
        <f aca="false">((G89*(G85))+G77)</f>
        <v>25321.7308075804</v>
      </c>
      <c r="H90" s="33"/>
      <c r="J90" s="31" t="s">
        <v>114</v>
      </c>
      <c r="K90" s="33" t="n">
        <f aca="false">((K89*(K85))+K77)</f>
        <v>51129.4293106044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24976.3624108193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18996.3886230785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27409.7279060463</v>
      </c>
      <c r="C92" s="93"/>
      <c r="D92" s="93"/>
      <c r="E92" s="113"/>
      <c r="F92" s="56" t="s">
        <v>116</v>
      </c>
      <c r="G92" s="65" t="n">
        <f aca="false">(G90+G91)</f>
        <v>25321.7308075804</v>
      </c>
      <c r="H92" s="33"/>
      <c r="J92" s="56" t="s">
        <v>116</v>
      </c>
      <c r="K92" s="65" t="n">
        <f aca="false">(K90+K91)</f>
        <v>51129.4293106044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24976.3624108193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18996.3886230785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96.5938235294118</v>
      </c>
      <c r="C94" s="93"/>
      <c r="D94" s="93"/>
      <c r="E94" s="113"/>
      <c r="F94" s="88" t="s">
        <v>117</v>
      </c>
      <c r="G94" s="94" t="n">
        <f aca="false">IF(B26="YES",((E40/B85)*(1+A108)*(C45/100)),"0")</f>
        <v>80.4948529411765</v>
      </c>
      <c r="H94" s="33"/>
      <c r="J94" s="88" t="s">
        <v>117</v>
      </c>
      <c r="K94" s="89" t="n">
        <f aca="false">((E40/K85)*(1+J108))*1.2</f>
        <v>93.834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74.3029411764706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89.1635294117647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806.16846782489</v>
      </c>
      <c r="C95" s="93"/>
      <c r="D95" s="93"/>
      <c r="E95" s="113"/>
      <c r="F95" s="95" t="s">
        <v>118</v>
      </c>
      <c r="G95" s="96" t="n">
        <f aca="false">G92/(G85)</f>
        <v>744.756788458247</v>
      </c>
      <c r="H95" s="33"/>
      <c r="J95" s="95" t="s">
        <v>118</v>
      </c>
      <c r="K95" s="96" t="n">
        <f aca="false">K92/(K85)</f>
        <v>1460.84083744584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734.598894435863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558.717312443485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902.762291354302</v>
      </c>
      <c r="C96" s="93"/>
      <c r="D96" s="93"/>
      <c r="E96" s="113"/>
      <c r="F96" s="97" t="s">
        <v>119</v>
      </c>
      <c r="G96" s="98" t="n">
        <f aca="false">G94+G95</f>
        <v>825.251641399424</v>
      </c>
      <c r="H96" s="33"/>
      <c r="J96" s="97" t="s">
        <v>119</v>
      </c>
      <c r="K96" s="98" t="n">
        <f aca="false">(K94+K95)</f>
        <v>1554.67483744584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808.901835612333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647.880841855249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123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s">
        <v>272</v>
      </c>
      <c r="C108" s="107"/>
      <c r="D108" s="107"/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200</v>
      </c>
      <c r="C111" s="107"/>
      <c r="D111" s="107"/>
      <c r="E111" s="107" t="n">
        <v>200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400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-3544.67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-3544.67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41.8625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20289.67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16703.1375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20289.67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16703.1375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4196.934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3479.6275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275</v>
      </c>
      <c r="Q139" s="33" t="n">
        <f aca="false">P139</f>
        <v>275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275</v>
      </c>
      <c r="Z139" s="33" t="n">
        <f aca="false">Y139</f>
        <v>275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25521.604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21268</v>
      </c>
      <c r="Q141" s="157" t="n">
        <f aca="false">(Q135+Q136+Q139+Q140+Q137)-Q138</f>
        <v>35519.004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21268</v>
      </c>
      <c r="Z141" s="157" t="n">
        <f aca="false">(Z135+Z136+Z139+Z140+Z137)-Z138</f>
        <v>21207.765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21268</v>
      </c>
      <c r="AI141" s="157" t="n">
        <f aca="false">(AI135+AI136+AI139+AI140+AI137)-AI138</f>
        <v>16234.5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25521.604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21268</v>
      </c>
      <c r="Q147" s="164" t="n">
        <f aca="false">Q141-((Q144*1.2)+(Q145*1.2)+(Q146*1.2)+(Q142*1.2))</f>
        <v>35519.004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21268</v>
      </c>
      <c r="Z147" s="164" t="n">
        <f aca="false">Z141-((Z144*1.2)+(Z145*1.2)+(Z146*1.2)+(Z142*1.2))</f>
        <v>21207.765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21268</v>
      </c>
      <c r="AI147" s="164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3544.67</v>
      </c>
      <c r="I148" s="1" t="n">
        <f aca="false">(H148-G81)/1.2</f>
        <v>-17564.1116666667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14251.004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-60.2350000000006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-5033.5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400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24621.604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36519.004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22207.765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17234.5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806.16846782489</v>
      </c>
      <c r="B167" s="177" t="n">
        <f aca="false">B94</f>
        <v>96.5938235294118</v>
      </c>
      <c r="C167" s="174"/>
      <c r="D167" s="174"/>
      <c r="E167" s="177" t="n">
        <f aca="false">B96</f>
        <v>902.762291354302</v>
      </c>
      <c r="F167" s="23"/>
      <c r="G167" s="23" t="n">
        <f aca="false">ROUND(G95, 2)</f>
        <v>744.76</v>
      </c>
      <c r="H167" s="33"/>
      <c r="J167" s="176" t="n">
        <f aca="false">K95</f>
        <v>1460.84083744584</v>
      </c>
      <c r="K167" s="177" t="n">
        <f aca="false">K94</f>
        <v>93.834</v>
      </c>
      <c r="L167" s="174"/>
      <c r="M167" s="174"/>
      <c r="N167" s="177" t="n">
        <f aca="false">K96</f>
        <v>1554.67483744584</v>
      </c>
      <c r="O167" s="23"/>
      <c r="P167" s="23"/>
      <c r="Q167" s="33"/>
      <c r="S167" s="176" t="n">
        <f aca="false">T95</f>
        <v>734.598894435863</v>
      </c>
      <c r="T167" s="177" t="n">
        <f aca="false">T94</f>
        <v>74.3029411764706</v>
      </c>
      <c r="U167" s="174"/>
      <c r="V167" s="174"/>
      <c r="W167" s="177" t="n">
        <f aca="false">T96</f>
        <v>808.901835612333</v>
      </c>
      <c r="X167" s="23"/>
      <c r="Y167" s="23"/>
      <c r="Z167" s="33"/>
      <c r="AB167" s="176" t="n">
        <f aca="false">AC95</f>
        <v>558.717312443485</v>
      </c>
      <c r="AC167" s="177" t="n">
        <f aca="false">AC94</f>
        <v>89.1635294117647</v>
      </c>
      <c r="AD167" s="174"/>
      <c r="AE167" s="174"/>
      <c r="AF167" s="177" t="n">
        <f aca="false">AC96</f>
        <v>647.880841855249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2100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2100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2100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2100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20984.67</v>
      </c>
      <c r="B173" s="103" t="n">
        <f aca="false">H137</f>
        <v>4196.934</v>
      </c>
      <c r="C173" s="186"/>
      <c r="D173" s="23"/>
      <c r="E173" s="182" t="n">
        <f aca="false">H139+H140</f>
        <v>340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330</v>
      </c>
      <c r="O173" s="23"/>
      <c r="P173" s="23"/>
      <c r="Q173" s="33"/>
      <c r="S173" s="185" t="n">
        <f aca="false">Z141-Z137-Z139-Z140</f>
        <v>17398.1375</v>
      </c>
      <c r="T173" s="103" t="n">
        <f aca="false">Z137</f>
        <v>3479.6275</v>
      </c>
      <c r="U173" s="186"/>
      <c r="V173" s="23"/>
      <c r="W173" s="182" t="n">
        <f aca="false">Z139+Z140</f>
        <v>330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25521.604</v>
      </c>
      <c r="B176" s="103" t="n">
        <f aca="false">B111</f>
        <v>200</v>
      </c>
      <c r="C176" s="103"/>
      <c r="D176" s="23"/>
      <c r="E176" s="103" t="n">
        <f aca="false">E111</f>
        <v>200</v>
      </c>
      <c r="F176" s="23"/>
      <c r="G176" s="23"/>
      <c r="H176" s="105"/>
      <c r="J176" s="185" t="n">
        <f aca="false">Q141</f>
        <v>35519.004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21207.765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16234.5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400</v>
      </c>
      <c r="B179" s="103" t="n">
        <f aca="false">G154</f>
        <v>500</v>
      </c>
      <c r="C179" s="103"/>
      <c r="D179" s="23"/>
      <c r="E179" s="103" t="n">
        <f aca="false">A176-A179-B179</f>
        <v>24621.604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36519.004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22207.765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17234.5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4888.12390604626</v>
      </c>
      <c r="B182" s="103" t="str">
        <f aca="false">B114</f>
        <v>239.99</v>
      </c>
      <c r="C182" s="103"/>
      <c r="D182" s="23"/>
      <c r="E182" s="103" t="n">
        <f aca="false">E179+A182+B182+A185</f>
        <v>29759.7179060463</v>
      </c>
      <c r="F182" s="23"/>
      <c r="G182" s="23"/>
      <c r="H182" s="105"/>
      <c r="J182" s="111" t="n">
        <f aca="false">(J167*K59)+N185-N179-J185</f>
        <v>15249.5844731586</v>
      </c>
      <c r="K182" s="103" t="n">
        <f aca="false">K114</f>
        <v>239.99</v>
      </c>
      <c r="L182" s="103"/>
      <c r="M182" s="23"/>
      <c r="N182" s="103" t="n">
        <f aca="false">N179+J182+K182+J185</f>
        <v>52028.5784731586</v>
      </c>
      <c r="O182" s="23"/>
      <c r="P182" s="23"/>
      <c r="Q182" s="105"/>
      <c r="S182" s="111" t="n">
        <f aca="false">(S167*T59)+W185-W179-S185</f>
        <v>4868.59741081934</v>
      </c>
      <c r="T182" s="103" t="n">
        <f aca="false">T114</f>
        <v>199.99</v>
      </c>
      <c r="U182" s="103"/>
      <c r="V182" s="23"/>
      <c r="W182" s="103" t="n">
        <f aca="false">W179+S182+T182+S185</f>
        <v>27286.3524108193</v>
      </c>
      <c r="X182" s="23"/>
      <c r="Y182" s="23"/>
      <c r="Z182" s="105"/>
      <c r="AB182" s="111" t="n">
        <f aca="false">(AB167*AC59)+AF185-AF179-AB185</f>
        <v>3861.88862307848</v>
      </c>
      <c r="AC182" s="103" t="n">
        <f aca="false">AC114</f>
        <v>239.99</v>
      </c>
      <c r="AD182" s="103"/>
      <c r="AE182" s="23"/>
      <c r="AF182" s="103" t="n">
        <f aca="false">AF179+AB182+AC182+AB185</f>
        <v>21346.3786230785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639.99</v>
      </c>
      <c r="C185" s="103"/>
      <c r="D185" s="23"/>
      <c r="E185" s="103" t="n">
        <f aca="false">IF(A40=0,(E167),(E170+A185))</f>
        <v>2110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2120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2110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2110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0.041856</v>
      </c>
      <c r="B188" s="103" t="n">
        <f aca="false">(G158*B67)/1.2</f>
        <v>200.905449305556</v>
      </c>
      <c r="C188" s="93"/>
      <c r="D188" s="93"/>
      <c r="E188" s="103" t="n">
        <f aca="false">(E40*A108)*0.1*C45/100</f>
        <v>63.1575</v>
      </c>
      <c r="F188" s="23"/>
      <c r="G188" s="23"/>
      <c r="H188" s="33"/>
      <c r="J188" s="111" t="n">
        <f aca="false">IF(N105="YES", H15*0.000002, 0)</f>
        <v>0.042536</v>
      </c>
      <c r="K188" s="103" t="n">
        <f aca="false">(P158*K67)/1.2</f>
        <v>2250.73722569444</v>
      </c>
      <c r="L188" s="93"/>
      <c r="M188" s="93"/>
      <c r="N188" s="103" t="n">
        <f aca="false">(E40*J108)*0.1</f>
        <v>63.1575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181.209193576389</v>
      </c>
      <c r="U188" s="93"/>
      <c r="V188" s="93"/>
      <c r="W188" s="103" t="n">
        <f aca="false">(E40*S108)*0.1</f>
        <v>42.105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140.628732638889</v>
      </c>
      <c r="AD188" s="93"/>
      <c r="AE188" s="93"/>
      <c r="AF188" s="103" t="n">
        <f aca="false">(E40*AB108)*0.1</f>
        <v>42.105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364.054615972222</v>
      </c>
      <c r="C191" s="93"/>
      <c r="D191" s="93"/>
      <c r="E191" s="103" t="n">
        <f aca="false">H148</f>
        <v>3544.67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3453.88472569444</v>
      </c>
      <c r="L191" s="93"/>
      <c r="M191" s="93"/>
      <c r="N191" s="103" t="n">
        <f aca="false">Q148</f>
        <v>14251.004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1323.30419357639</v>
      </c>
      <c r="U191" s="93"/>
      <c r="V191" s="93"/>
      <c r="W191" s="103" t="n">
        <f aca="false">Z148</f>
        <v>-60.2350000000006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1322.72373263889</v>
      </c>
      <c r="AD191" s="93"/>
      <c r="AE191" s="93"/>
      <c r="AF191" s="103" t="n">
        <f aca="false">AI148</f>
        <v>-5033.5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902.762291354302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1554.67483744584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808.901835612333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647.880841855249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2800.236</v>
      </c>
      <c r="B201" s="186" t="n">
        <f aca="false">E179+A201+B182+A185</f>
        <v>27671.83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806.16846782489</v>
      </c>
      <c r="B212" s="177" t="n">
        <f aca="false">B167</f>
        <v>96.5938235294118</v>
      </c>
      <c r="C212" s="174"/>
      <c r="D212" s="174"/>
      <c r="E212" s="177" t="n">
        <f aca="false">E167</f>
        <v>902.762291354302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20984.67</v>
      </c>
      <c r="B215" s="103" t="n">
        <f aca="false">B173</f>
        <v>4196.934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25521.604</v>
      </c>
      <c r="B218" s="103" t="n">
        <f aca="false">B176</f>
        <v>200</v>
      </c>
      <c r="C218" s="103"/>
      <c r="D218" s="113"/>
      <c r="E218" s="103" t="n">
        <f aca="false">E176</f>
        <v>200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400</v>
      </c>
      <c r="B221" s="103" t="n">
        <f aca="false">B179</f>
        <v>500</v>
      </c>
      <c r="C221" s="103"/>
      <c r="D221" s="113"/>
      <c r="E221" s="103" t="n">
        <f aca="false">E179</f>
        <v>24621.604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4888.12390604626</v>
      </c>
      <c r="B224" s="103" t="str">
        <f aca="false">B182</f>
        <v>239.99</v>
      </c>
      <c r="C224" s="103"/>
      <c r="D224" s="113"/>
      <c r="E224" s="103" t="n">
        <f aca="false">E182</f>
        <v>29759.7179060463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639.99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806.16846782489</v>
      </c>
      <c r="B230" s="103" t="n">
        <f aca="false">B167</f>
        <v>96.5938235294118</v>
      </c>
      <c r="C230" s="186"/>
      <c r="D230" s="186"/>
      <c r="E230" s="103" t="n">
        <f aca="false">E167</f>
        <v>902.762291354302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2100</v>
      </c>
      <c r="B233" s="103" t="n">
        <f aca="false">E185</f>
        <v>2110</v>
      </c>
      <c r="C233" s="93"/>
      <c r="D233" s="93"/>
      <c r="E233" s="103" t="n">
        <f aca="false">J18*0.000006*100*1.2</f>
        <v>15.06816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5.02272</v>
      </c>
      <c r="B236" s="103" t="n">
        <f aca="false">E233+A236</f>
        <v>20.09088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3544.67</v>
      </c>
      <c r="B240" s="103" t="n">
        <f aca="false">B68</f>
        <v>200.905449305556</v>
      </c>
      <c r="C240" s="93"/>
      <c r="D240" s="93"/>
      <c r="E240" s="103" t="n">
        <f aca="false">E188</f>
        <v>63.1575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3908.72461597222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2097.88790604626</v>
      </c>
      <c r="C254" s="197"/>
      <c r="D254" s="198" t="s">
        <v>216</v>
      </c>
      <c r="E254" s="198"/>
      <c r="F254" s="200" t="n">
        <f aca="false">F261+F267+F269+B270+B271</f>
        <v>241.086539166667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731.566666666667</v>
      </c>
      <c r="C255" s="197"/>
      <c r="D255" s="198" t="s">
        <v>218</v>
      </c>
      <c r="E255" s="198"/>
      <c r="F255" s="200" t="n">
        <f aca="false">(B254-F254)+B255</f>
        <v>2588.36803354626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2097.88790604626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241.086539166667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631.575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2588.36803354626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3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5250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354</v>
      </c>
      <c r="F32" s="93"/>
      <c r="G32" s="93"/>
      <c r="H32" s="33"/>
      <c r="I32" s="2" t="n">
        <v>0</v>
      </c>
      <c r="J32" s="29" t="s">
        <v>36</v>
      </c>
      <c r="K32" s="449" t="n">
        <v>1754.55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495.926281892082</v>
      </c>
      <c r="F33" s="232"/>
      <c r="G33" s="232"/>
      <c r="H33" s="47"/>
      <c r="I33" s="2"/>
      <c r="J33" s="34" t="s">
        <v>355</v>
      </c>
      <c r="K33" s="48" t="n">
        <f aca="false">H21-H11+(H16*20%)</f>
        <v>17780</v>
      </c>
      <c r="L33" s="1" t="n">
        <f aca="false">H21-H11+(H16*20%)</f>
        <v>17780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445.796281892082</v>
      </c>
      <c r="B36" s="232" t="n">
        <f aca="false">IF(B26="YES", K42, "0.00")</f>
        <v>50.13</v>
      </c>
      <c r="C36" s="232"/>
      <c r="D36" s="232"/>
      <c r="E36" s="232" t="n">
        <f aca="false">K31</f>
        <v>5250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84</v>
      </c>
      <c r="K39" s="2" t="n">
        <f aca="false">K33</f>
        <v>17780</v>
      </c>
      <c r="L39" s="2" t="n">
        <f aca="false">(L47*K46)+K44</f>
        <v>27450.8277595291</v>
      </c>
      <c r="N39" s="1" t="n">
        <f aca="false">K39-L39</f>
        <v>-9670.82775952915</v>
      </c>
      <c r="P39" s="212"/>
    </row>
    <row r="40" customFormat="false" ht="17.35" hidden="false" customHeight="false" outlineLevel="0" collapsed="false">
      <c r="A40" s="313" t="n">
        <f aca="false">E36*A45/100</f>
        <v>5250</v>
      </c>
      <c r="B40" s="107" t="n">
        <f aca="false">IF(B26="YES", K42, "0.00")</f>
        <v>50.13</v>
      </c>
      <c r="C40" s="107"/>
      <c r="D40" s="107"/>
      <c r="E40" s="182" t="n">
        <f aca="false">K32</f>
        <v>1754.55</v>
      </c>
      <c r="F40" s="186"/>
      <c r="G40" s="186"/>
      <c r="H40" s="47"/>
      <c r="J40" s="2" t="s">
        <v>106</v>
      </c>
      <c r="K40" s="2" t="n">
        <f aca="false">(A40)/1.2</f>
        <v>4375</v>
      </c>
      <c r="L40" s="2" t="n">
        <f aca="false">K39-L39</f>
        <v>-9670.82775952915</v>
      </c>
      <c r="N40" s="1" t="n">
        <f aca="false">N38-N39</f>
        <v>12582.5077595291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(K32/K36/100)*C45</f>
        <v>50.13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3601.79648789393</v>
      </c>
      <c r="L44" s="2"/>
      <c r="P44" s="212"/>
    </row>
    <row r="45" customFormat="false" ht="17.35" hidden="false" customHeight="false" outlineLevel="0" collapsed="false">
      <c r="A45" s="507" t="n">
        <v>100</v>
      </c>
      <c r="B45" s="93"/>
      <c r="C45" s="506" t="n">
        <v>100</v>
      </c>
      <c r="D45" s="506"/>
      <c r="E45" s="506"/>
      <c r="F45" s="93"/>
      <c r="G45" s="93"/>
      <c r="H45" s="33"/>
      <c r="J45" s="2" t="s">
        <v>366</v>
      </c>
      <c r="K45" s="2" t="n">
        <f aca="false">(K39-K44)</f>
        <v>14178.2035121061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445.796281892082</v>
      </c>
      <c r="L47" s="2" t="n">
        <f aca="false">L49-K42</f>
        <v>749.87</v>
      </c>
      <c r="M47" s="1" t="n">
        <f aca="false">K47-L47</f>
        <v>-304.073718107918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495.926281892082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495.926281892082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7058.27045306828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34065.7186069357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6783.30775273473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803.333964993866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187.84989375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1547.8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204.92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168.754479166667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445.796281892082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445.796281892082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495.926281892082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495.926281892082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23021.604</v>
      </c>
      <c r="C81" s="93"/>
      <c r="D81" s="93"/>
      <c r="E81" s="113"/>
      <c r="F81" s="25" t="s">
        <v>105</v>
      </c>
      <c r="G81" s="27" t="n">
        <f aca="false">G158</f>
        <v>23021.604</v>
      </c>
      <c r="H81" s="33"/>
      <c r="J81" s="25" t="s">
        <v>105</v>
      </c>
      <c r="K81" s="27" t="n">
        <f aca="false">P158</f>
        <v>36519.004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22207.765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17234.5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5250</v>
      </c>
      <c r="C82" s="93"/>
      <c r="D82" s="93"/>
      <c r="E82" s="113"/>
      <c r="F82" s="31" t="s">
        <v>106</v>
      </c>
      <c r="G82" s="33" t="n">
        <f aca="false">IF(A111 = "Yes", A40, 0)</f>
        <v>5250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5250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5250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3759.96037877495</v>
      </c>
      <c r="C86" s="93"/>
      <c r="D86" s="93"/>
      <c r="E86" s="113"/>
      <c r="F86" s="31" t="s">
        <v>110</v>
      </c>
      <c r="G86" s="33" t="n">
        <f aca="false">(G82/((1+G84)^(G85+1)))</f>
        <v>4345.56746264402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3590.2262635627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3590.2262635627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28.8995114056174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19261.6436212251</v>
      </c>
      <c r="C88" s="93"/>
      <c r="D88" s="93"/>
      <c r="E88" s="113"/>
      <c r="F88" s="31" t="s">
        <v>112</v>
      </c>
      <c r="G88" s="33" t="n">
        <f aca="false">G81-G86</f>
        <v>18676.036537356</v>
      </c>
      <c r="H88" s="33"/>
      <c r="J88" s="31" t="s">
        <v>112</v>
      </c>
      <c r="K88" s="33" t="n">
        <f aca="false">K81-K86</f>
        <v>36519.004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18617.5387364373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13644.2737364373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666.504127037975</v>
      </c>
      <c r="C89" s="93"/>
      <c r="D89" s="93"/>
      <c r="E89" s="113"/>
      <c r="F89" s="31" t="s">
        <v>113</v>
      </c>
      <c r="G89" s="33" t="n">
        <f aca="false">(G88/G87)</f>
        <v>602.909953677166</v>
      </c>
      <c r="H89" s="33"/>
      <c r="J89" s="31" t="s">
        <v>113</v>
      </c>
      <c r="K89" s="33" t="n">
        <f aca="false">(K88/K87)</f>
        <v>1460.84083744584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658.416988792871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482.535406800493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22661.1403192912</v>
      </c>
      <c r="C90" s="93"/>
      <c r="D90" s="93"/>
      <c r="E90" s="113"/>
      <c r="F90" s="31" t="s">
        <v>114</v>
      </c>
      <c r="G90" s="33" t="n">
        <f aca="false">((G89*(G85))+G77)</f>
        <v>20498.9384250236</v>
      </c>
      <c r="H90" s="33"/>
      <c r="J90" s="31" t="s">
        <v>114</v>
      </c>
      <c r="K90" s="33" t="n">
        <f aca="false">((K89*(K85))+K77)</f>
        <v>51129.4293106044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22386.1776189576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16406.2038312167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22661.1403192912</v>
      </c>
      <c r="C92" s="93"/>
      <c r="D92" s="93"/>
      <c r="E92" s="113"/>
      <c r="F92" s="56" t="s">
        <v>116</v>
      </c>
      <c r="G92" s="65" t="n">
        <f aca="false">(G90+G91)</f>
        <v>20498.9384250236</v>
      </c>
      <c r="H92" s="33"/>
      <c r="J92" s="56" t="s">
        <v>116</v>
      </c>
      <c r="K92" s="65" t="n">
        <f aca="false">(K90+K91)</f>
        <v>51129.4293106044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22386.1776189576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16406.2038312167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IF(B26="YES",((E40/B85)*(1+A108)*(C45/100)),"0")</f>
        <v>61.9252941176471</v>
      </c>
      <c r="C94" s="93"/>
      <c r="D94" s="93"/>
      <c r="E94" s="113"/>
      <c r="F94" s="88" t="s">
        <v>117</v>
      </c>
      <c r="G94" s="94" t="n">
        <f aca="false">IF(B26="YES",((E40/B85)*(1+A108)*(C45/100)),"0")</f>
        <v>61.9252941176471</v>
      </c>
      <c r="H94" s="33"/>
      <c r="J94" s="88" t="s">
        <v>117</v>
      </c>
      <c r="K94" s="89" t="n">
        <f aca="false">((E40/K85)*(1+J108))*1.2</f>
        <v>78.2028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61.9252941176471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74.3103529411765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666.504127037975</v>
      </c>
      <c r="C95" s="93"/>
      <c r="D95" s="93"/>
      <c r="E95" s="113"/>
      <c r="F95" s="95" t="s">
        <v>118</v>
      </c>
      <c r="G95" s="96" t="n">
        <f aca="false">G92/(G85)</f>
        <v>602.909953677166</v>
      </c>
      <c r="H95" s="33"/>
      <c r="J95" s="95" t="s">
        <v>118</v>
      </c>
      <c r="K95" s="96" t="n">
        <f aca="false">K92/(K85)</f>
        <v>1460.84083744584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658.416988792871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482.535406800493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728.429421155622</v>
      </c>
      <c r="C96" s="93"/>
      <c r="D96" s="93"/>
      <c r="E96" s="113"/>
      <c r="F96" s="97" t="s">
        <v>119</v>
      </c>
      <c r="G96" s="98" t="n">
        <f aca="false">G94+G95</f>
        <v>664.835247794813</v>
      </c>
      <c r="H96" s="33"/>
      <c r="J96" s="97" t="s">
        <v>119</v>
      </c>
      <c r="K96" s="98" t="n">
        <f aca="false">(K94+K95)</f>
        <v>1539.04363744584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720.342282910518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556.845759741669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272</v>
      </c>
      <c r="C108" s="107"/>
      <c r="D108" s="107"/>
      <c r="E108" s="108" t="n">
        <f aca="false">B83</f>
        <v>0.115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234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-3544.67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-3544.67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41.8625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20289.67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16703.1375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20289.67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16703.1375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4196.934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3479.6275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275</v>
      </c>
      <c r="Q139" s="33" t="n">
        <f aca="false">P139</f>
        <v>275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275</v>
      </c>
      <c r="Z139" s="33" t="n">
        <f aca="false">Y139</f>
        <v>275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25521.604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21268</v>
      </c>
      <c r="Q141" s="157" t="n">
        <f aca="false">(Q135+Q136+Q139+Q140+Q137)-Q138</f>
        <v>35519.004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21268</v>
      </c>
      <c r="Z141" s="157" t="n">
        <f aca="false">(Z135+Z136+Z139+Z140+Z137)-Z138</f>
        <v>21207.765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21268</v>
      </c>
      <c r="AI141" s="157" t="n">
        <f aca="false">(AI135+AI136+AI139+AI140+AI137)-AI138</f>
        <v>16234.5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25521.604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21268</v>
      </c>
      <c r="Q147" s="164" t="n">
        <f aca="false">Q141-((Q144*1.2)+(Q145*1.2)+(Q146*1.2)+(Q142*1.2))</f>
        <v>35519.004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21268</v>
      </c>
      <c r="Z147" s="164" t="n">
        <f aca="false">Z141-((Z144*1.2)+(Z145*1.2)+(Z146*1.2)+(Z142*1.2))</f>
        <v>21207.765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21268</v>
      </c>
      <c r="AI147" s="164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3544.67</v>
      </c>
      <c r="I148" s="1" t="n">
        <f aca="false">(H148-G81)/1.2</f>
        <v>-16230.7783333333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14251.004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-60.2350000000006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-5033.5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23021.604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36519.004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22207.765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17234.5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666.504127037975</v>
      </c>
      <c r="B167" s="177" t="n">
        <f aca="false">B94</f>
        <v>61.9252941176471</v>
      </c>
      <c r="C167" s="174"/>
      <c r="D167" s="174"/>
      <c r="E167" s="177" t="n">
        <f aca="false">B96</f>
        <v>728.429421155622</v>
      </c>
      <c r="F167" s="23"/>
      <c r="G167" s="23" t="n">
        <f aca="false">ROUND(G95, 2)</f>
        <v>602.91</v>
      </c>
      <c r="H167" s="33"/>
      <c r="J167" s="176" t="n">
        <f aca="false">K95</f>
        <v>1460.84083744584</v>
      </c>
      <c r="K167" s="177" t="n">
        <f aca="false">K94</f>
        <v>78.2028</v>
      </c>
      <c r="L167" s="174"/>
      <c r="M167" s="174"/>
      <c r="N167" s="177" t="n">
        <f aca="false">K96</f>
        <v>1539.04363744584</v>
      </c>
      <c r="O167" s="23"/>
      <c r="P167" s="23"/>
      <c r="Q167" s="33"/>
      <c r="S167" s="176" t="n">
        <f aca="false">T95</f>
        <v>658.416988792871</v>
      </c>
      <c r="T167" s="177" t="n">
        <f aca="false">T94</f>
        <v>61.9252941176471</v>
      </c>
      <c r="U167" s="174"/>
      <c r="V167" s="174"/>
      <c r="W167" s="177" t="n">
        <f aca="false">T96</f>
        <v>720.342282910518</v>
      </c>
      <c r="X167" s="23"/>
      <c r="Y167" s="23"/>
      <c r="Z167" s="33"/>
      <c r="AB167" s="176" t="n">
        <f aca="false">AC95</f>
        <v>482.535406800493</v>
      </c>
      <c r="AC167" s="177" t="n">
        <f aca="false">AC94</f>
        <v>74.3103529411765</v>
      </c>
      <c r="AD167" s="174"/>
      <c r="AE167" s="174"/>
      <c r="AF167" s="177" t="n">
        <f aca="false">AC96</f>
        <v>556.845759741669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5250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5250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5250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5250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20984.67</v>
      </c>
      <c r="B173" s="103" t="n">
        <f aca="false">H137</f>
        <v>4196.934</v>
      </c>
      <c r="C173" s="186"/>
      <c r="D173" s="23"/>
      <c r="E173" s="182" t="n">
        <f aca="false">H139+H140</f>
        <v>340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330</v>
      </c>
      <c r="O173" s="23"/>
      <c r="P173" s="23"/>
      <c r="Q173" s="33"/>
      <c r="S173" s="185" t="n">
        <f aca="false">Z141-Z137-Z139-Z140</f>
        <v>17398.1375</v>
      </c>
      <c r="T173" s="103" t="n">
        <f aca="false">Z137</f>
        <v>3479.6275</v>
      </c>
      <c r="U173" s="186"/>
      <c r="V173" s="23"/>
      <c r="W173" s="182" t="n">
        <f aca="false">Z139+Z140</f>
        <v>330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25521.604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35519.004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21207.765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16234.5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23021.604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36519.004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22207.765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17234.5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4889.53631929117</v>
      </c>
      <c r="B182" s="103" t="str">
        <f aca="false">B114</f>
        <v>199.99</v>
      </c>
      <c r="C182" s="103"/>
      <c r="D182" s="23"/>
      <c r="E182" s="103" t="n">
        <f aca="false">E179+A182+(B182*1.2)+A185</f>
        <v>28161.1283192912</v>
      </c>
      <c r="F182" s="23"/>
      <c r="G182" s="23"/>
      <c r="H182" s="105"/>
      <c r="J182" s="111" t="n">
        <f aca="false">(J167*K59)+N185-N179-J185</f>
        <v>18399.5844731586</v>
      </c>
      <c r="K182" s="103" t="n">
        <f aca="false">K114</f>
        <v>239.99</v>
      </c>
      <c r="L182" s="103"/>
      <c r="M182" s="23"/>
      <c r="N182" s="103" t="n">
        <f aca="false">N179+J182+K182+J185</f>
        <v>55178.5784731586</v>
      </c>
      <c r="O182" s="23"/>
      <c r="P182" s="23"/>
      <c r="Q182" s="105"/>
      <c r="S182" s="111" t="n">
        <f aca="false">(S167*T59)+W185-W179-S185</f>
        <v>5428.41261895761</v>
      </c>
      <c r="T182" s="103" t="n">
        <f aca="false">T114</f>
        <v>199.99</v>
      </c>
      <c r="U182" s="103"/>
      <c r="V182" s="23"/>
      <c r="W182" s="103" t="n">
        <f aca="false">W179+S182+T182+S185</f>
        <v>27846.1676189576</v>
      </c>
      <c r="X182" s="23"/>
      <c r="Y182" s="23"/>
      <c r="Z182" s="105"/>
      <c r="AB182" s="111" t="n">
        <f aca="false">(AB167*AC59)+AF185-AF179-AB185</f>
        <v>4421.70383121675</v>
      </c>
      <c r="AC182" s="103" t="n">
        <f aca="false">AC114</f>
        <v>239.99</v>
      </c>
      <c r="AD182" s="103"/>
      <c r="AE182" s="23"/>
      <c r="AF182" s="103" t="n">
        <f aca="false">AF179+AB182+AC182+AB185</f>
        <v>21906.1938312167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2239.988</v>
      </c>
      <c r="C185" s="103"/>
      <c r="D185" s="23"/>
      <c r="E185" s="103" t="n">
        <f aca="false">IF(A40=0,(E167),(E170+A185))</f>
        <v>5260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5270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5260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5260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4.1856</v>
      </c>
      <c r="B188" s="103" t="n">
        <f aca="false">(G158*B67)/1.2</f>
        <v>187.84989375</v>
      </c>
      <c r="C188" s="93"/>
      <c r="D188" s="93"/>
      <c r="E188" s="103" t="n">
        <f aca="false">(E40*A108)*0.1*(C45/100)</f>
        <v>35.091</v>
      </c>
      <c r="F188" s="23"/>
      <c r="G188" s="23"/>
      <c r="H188" s="33"/>
      <c r="J188" s="111" t="n">
        <f aca="false">IF(N105="YES", H15*0.000002, 0)</f>
        <v>0.042536</v>
      </c>
      <c r="K188" s="103" t="n">
        <f aca="false">(P158*K67)/1.2</f>
        <v>2250.73722569444</v>
      </c>
      <c r="L188" s="93"/>
      <c r="M188" s="93"/>
      <c r="N188" s="103" t="n">
        <f aca="false">(E40*J108)*0.1</f>
        <v>52.6365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181.209193576389</v>
      </c>
      <c r="U188" s="93"/>
      <c r="V188" s="93"/>
      <c r="W188" s="103" t="n">
        <f aca="false">(E40*S108)*0.1</f>
        <v>35.091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140.628732638889</v>
      </c>
      <c r="AD188" s="93"/>
      <c r="AE188" s="93"/>
      <c r="AF188" s="103" t="n">
        <f aca="false">(E40*AB108)*0.1</f>
        <v>35.091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322.93089375</v>
      </c>
      <c r="C191" s="93"/>
      <c r="D191" s="93"/>
      <c r="E191" s="103" t="n">
        <f aca="false">H148</f>
        <v>3544.67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3443.36372569444</v>
      </c>
      <c r="L191" s="93"/>
      <c r="M191" s="93"/>
      <c r="N191" s="103" t="n">
        <f aca="false">Q148</f>
        <v>14251.004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1316.29019357639</v>
      </c>
      <c r="U191" s="93"/>
      <c r="V191" s="93"/>
      <c r="W191" s="103" t="n">
        <f aca="false">Z148</f>
        <v>-60.2350000000006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1315.70973263889</v>
      </c>
      <c r="AD191" s="93"/>
      <c r="AE191" s="93"/>
      <c r="AF191" s="103" t="n">
        <f aca="false">AI148</f>
        <v>-5033.5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728.429421155622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1539.04363744584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720.342282910518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556.845759741669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2727.336</v>
      </c>
      <c r="B201" s="186" t="n">
        <f aca="false">E179+A201+(B182*1.2)+A185</f>
        <v>25998.928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666.504127037975</v>
      </c>
      <c r="B212" s="177" t="n">
        <f aca="false">B167</f>
        <v>61.9252941176471</v>
      </c>
      <c r="C212" s="174"/>
      <c r="D212" s="174"/>
      <c r="E212" s="177" t="n">
        <f aca="false">E167</f>
        <v>728.429421155622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20984.67</v>
      </c>
      <c r="B215" s="103" t="n">
        <f aca="false">B173</f>
        <v>4196.934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25521.604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23021.604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4889.53631929117</v>
      </c>
      <c r="B224" s="103" t="str">
        <f aca="false">B182</f>
        <v>199.99</v>
      </c>
      <c r="C224" s="103"/>
      <c r="D224" s="113"/>
      <c r="E224" s="103" t="n">
        <f aca="false">E182</f>
        <v>28161.1283192912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666.504127037975</v>
      </c>
      <c r="B230" s="103" t="n">
        <f aca="false">B167</f>
        <v>61.9252941176471</v>
      </c>
      <c r="C230" s="186"/>
      <c r="D230" s="186"/>
      <c r="E230" s="103" t="n">
        <f aca="false">E167</f>
        <v>728.429421155622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5250</v>
      </c>
      <c r="B233" s="103" t="n">
        <f aca="false">E185</f>
        <v>5260</v>
      </c>
      <c r="C233" s="93"/>
      <c r="D233" s="93"/>
      <c r="E233" s="103" t="n">
        <f aca="false">J18*0.000006*100</f>
        <v>12.5568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4.1856</v>
      </c>
      <c r="B236" s="103" t="n">
        <f aca="false">E233+A236</f>
        <v>16.7424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3544.67</v>
      </c>
      <c r="B240" s="103" t="n">
        <f aca="false">B68</f>
        <v>187.84989375</v>
      </c>
      <c r="C240" s="93"/>
      <c r="D240" s="93"/>
      <c r="E240" s="103" t="n">
        <f aca="false">E188</f>
        <v>35.091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3867.60089375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2172.20031929117</v>
      </c>
      <c r="C254" s="197"/>
      <c r="D254" s="198" t="s">
        <v>216</v>
      </c>
      <c r="E254" s="198"/>
      <c r="F254" s="200" t="n">
        <f aca="false">F261+F267+F269+B270+B271</f>
        <v>225.4198725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450.9</v>
      </c>
      <c r="C255" s="197"/>
      <c r="D255" s="198" t="s">
        <v>218</v>
      </c>
      <c r="E255" s="198"/>
      <c r="F255" s="200" t="n">
        <f aca="false">(B254-F254)+B255</f>
        <v>2397.68044679117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2172.20031929117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225.4198725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350.91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2397.68044679117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16745</v>
      </c>
      <c r="C3" s="498" t="n">
        <v>0</v>
      </c>
      <c r="D3" s="263" t="n">
        <v>0</v>
      </c>
      <c r="E3" s="499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</v>
      </c>
      <c r="C4" s="0" t="n">
        <v>0</v>
      </c>
      <c r="D4" s="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-809.375933114363</v>
      </c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16745</v>
      </c>
      <c r="F9" s="63"/>
      <c r="G9" s="454" t="n">
        <f aca="false">E9-G11</f>
        <v>-135530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454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3488</v>
      </c>
      <c r="F11" s="63"/>
      <c r="G11" s="454" t="n">
        <f aca="false">G13/1.2</f>
        <v>152275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454" t="n">
        <f aca="false">G15-E14-E13-E12</f>
        <v>182730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21268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353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22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22000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8730</v>
      </c>
      <c r="I31" s="238" t="n">
        <f aca="false">IF(C107="YES",H31,0)</f>
        <v>8730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354</v>
      </c>
      <c r="E32" s="216"/>
      <c r="F32" s="63"/>
      <c r="G32" s="218" t="s">
        <v>36</v>
      </c>
      <c r="I32" s="449" t="n">
        <v>1024.1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22</v>
      </c>
      <c r="B33" s="229" t="n">
        <v>10000</v>
      </c>
      <c r="C33" s="230"/>
      <c r="D33" s="459" t="n">
        <f aca="false">H48</f>
        <v>595.445083902158</v>
      </c>
      <c r="E33" s="216"/>
      <c r="F33" s="63"/>
      <c r="G33" s="219" t="s">
        <v>355</v>
      </c>
      <c r="H33" s="460" t="n">
        <f aca="false">E21-E11+((E16*20%)+(E19*20%)+(E20*20%))</f>
        <v>17780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371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356</v>
      </c>
      <c r="B35" s="215" t="s">
        <v>357</v>
      </c>
      <c r="C35" s="215"/>
      <c r="D35" s="215" t="s">
        <v>358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548.895083902158</v>
      </c>
      <c r="B36" s="103" t="n">
        <f aca="false">IF(B26="YES", H42, "")</f>
        <v>46.55</v>
      </c>
      <c r="C36" s="221"/>
      <c r="D36" s="184" t="n">
        <f aca="false">I31</f>
        <v>8730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359</v>
      </c>
      <c r="B39" s="215" t="s">
        <v>360</v>
      </c>
      <c r="C39" s="215"/>
      <c r="D39" s="215" t="s">
        <v>361</v>
      </c>
      <c r="E39" s="216"/>
      <c r="F39" s="63"/>
      <c r="G39" s="63" t="s">
        <v>84</v>
      </c>
      <c r="H39" s="238" t="n">
        <f aca="false">H33</f>
        <v>17780</v>
      </c>
      <c r="I39" s="238" t="n">
        <f aca="false">(I48*H46)+H44</f>
        <v>34423.8379370532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8730</v>
      </c>
      <c r="B40" s="107" t="n">
        <f aca="false">IF(B26="YES",H42,"0")</f>
        <v>46.55</v>
      </c>
      <c r="C40" s="107"/>
      <c r="D40" s="184" t="n">
        <f aca="false">I32</f>
        <v>1024.1</v>
      </c>
      <c r="E40" s="216"/>
      <c r="F40" s="63"/>
      <c r="G40" s="63" t="s">
        <v>106</v>
      </c>
      <c r="H40" s="238" t="n">
        <f aca="false">A40/1.2</f>
        <v>7275</v>
      </c>
      <c r="I40" s="238" t="n">
        <f aca="false">H39-I39</f>
        <v>-16643.8379370533</v>
      </c>
      <c r="J40" s="63" t="n">
        <v>13854.16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362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363</v>
      </c>
      <c r="H42" s="238" t="n">
        <f aca="false">(I32/H34)*(C45/100)</f>
        <v>46.55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364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372</v>
      </c>
      <c r="H44" s="238" t="n">
        <f aca="false">(H40/(1+H41)^(H34+1))</f>
        <v>6425.00031244387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373</v>
      </c>
      <c r="H45" s="238" t="n">
        <f aca="false">(H39-H44)</f>
        <v>11354.9996875561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374</v>
      </c>
      <c r="H46" s="238" t="n">
        <f aca="false">((1-(1/((1+H41)^H34)))/H41)</f>
        <v>20.6870129111599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368</v>
      </c>
      <c r="H47" s="238" t="n">
        <f aca="false">H45/H46</f>
        <v>548.895083902158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369</v>
      </c>
      <c r="H48" s="238" t="n">
        <f aca="false">IF(B26="YES", H47+H42, H47)</f>
        <v>595.445083902158</v>
      </c>
      <c r="I48" s="238" t="n">
        <f aca="false">I49-H42</f>
        <v>1353.45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370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22000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22</v>
      </c>
      <c r="B52" s="74" t="n">
        <f aca="false">H48</f>
        <v>595.445083902158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21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21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214" t="s">
        <v>14</v>
      </c>
      <c r="N61" s="291" t="n">
        <f aca="false">G18</f>
        <v>20928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0.0845833333333333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0.0845833333333333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0.0845833333333333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1770.16</v>
      </c>
      <c r="C64" s="215" t="n">
        <v>10000</v>
      </c>
      <c r="D64" s="291" t="n">
        <f aca="false">B64-A143</f>
        <v>1770.16</v>
      </c>
      <c r="E64" s="216"/>
      <c r="F64" s="63"/>
      <c r="G64" s="285" t="s">
        <v>90</v>
      </c>
      <c r="H64" s="133" t="n">
        <f aca="false">H61*H63</f>
        <v>1770.16</v>
      </c>
      <c r="I64" s="215"/>
      <c r="J64" s="291" t="n">
        <f aca="false">H64-G145</f>
        <v>1770.16</v>
      </c>
      <c r="K64" s="216"/>
      <c r="L64" s="63"/>
      <c r="M64" s="285" t="s">
        <v>90</v>
      </c>
      <c r="N64" s="133" t="n">
        <f aca="false">N61*N63</f>
        <v>1770.16</v>
      </c>
      <c r="O64" s="215"/>
      <c r="P64" s="291" t="n">
        <f aca="false">N64-M145</f>
        <v>1770.16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0.0141666666666667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0.0141666666666667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0.0141666666666667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296.48</v>
      </c>
      <c r="C67" s="215"/>
      <c r="D67" s="291"/>
      <c r="E67" s="216"/>
      <c r="F67" s="63"/>
      <c r="G67" s="285" t="s">
        <v>93</v>
      </c>
      <c r="H67" s="133" t="n">
        <f aca="false">(H61*H66)/1.2</f>
        <v>247.066666666667</v>
      </c>
      <c r="I67" s="215"/>
      <c r="J67" s="291"/>
      <c r="K67" s="216"/>
      <c r="L67" s="63"/>
      <c r="M67" s="285" t="s">
        <v>93</v>
      </c>
      <c r="N67" s="133" t="n">
        <f aca="false">(N61*N66)/1.2</f>
        <v>247.066666666667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471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110</v>
      </c>
      <c r="C73" s="215"/>
      <c r="D73" s="291" t="n">
        <f aca="false">B73+B71</f>
        <v>310</v>
      </c>
      <c r="E73" s="216"/>
      <c r="F73" s="63"/>
      <c r="G73" s="285" t="s">
        <v>99</v>
      </c>
      <c r="H73" s="133" t="n">
        <f aca="false">H72*H29</f>
        <v>99</v>
      </c>
      <c r="I73" s="215"/>
      <c r="J73" s="291" t="n">
        <f aca="false">H73+H71</f>
        <v>259</v>
      </c>
      <c r="K73" s="216"/>
      <c r="L73" s="63"/>
      <c r="M73" s="285" t="s">
        <v>99</v>
      </c>
      <c r="N73" s="133" t="n">
        <f aca="false">N72*H29</f>
        <v>99</v>
      </c>
      <c r="O73" s="215"/>
      <c r="P73" s="291" t="n">
        <f aca="false">N73+N71</f>
        <v>259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1" t="s">
        <v>279</v>
      </c>
      <c r="B74" s="432" t="n">
        <v>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3" t="s">
        <v>280</v>
      </c>
      <c r="B75" s="434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5" t="s">
        <v>281</v>
      </c>
      <c r="B76" s="436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151.25</v>
      </c>
      <c r="I76" s="215"/>
      <c r="J76" s="291" t="n">
        <f aca="false">H76</f>
        <v>151.25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131" t="n">
        <f aca="false">B102/(1-0.1)</f>
        <v>0</v>
      </c>
      <c r="C77" s="215"/>
      <c r="D77" s="291" t="n">
        <f aca="false">B77</f>
        <v>0</v>
      </c>
      <c r="E77" s="216"/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215"/>
      <c r="D78" s="291" t="n">
        <f aca="false">B78</f>
        <v>0</v>
      </c>
      <c r="E78" s="21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2480.16</v>
      </c>
      <c r="C81" s="215"/>
      <c r="D81" s="215"/>
      <c r="E81" s="216"/>
      <c r="F81" s="63"/>
      <c r="G81" s="303" t="s">
        <v>102</v>
      </c>
      <c r="H81" s="304" t="n">
        <f aca="false">SUM(J64:J80)</f>
        <v>2580.41</v>
      </c>
      <c r="I81" s="215"/>
      <c r="J81" s="215"/>
      <c r="K81" s="216"/>
      <c r="L81" s="63"/>
      <c r="M81" s="303" t="s">
        <v>102</v>
      </c>
      <c r="N81" s="304" t="n">
        <f aca="false">SUM(P64:P80)</f>
        <v>2429.16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112.734545454545</v>
      </c>
      <c r="C82" s="215"/>
      <c r="D82" s="215"/>
      <c r="E82" s="216"/>
      <c r="F82" s="63"/>
      <c r="G82" s="214" t="s">
        <v>103</v>
      </c>
      <c r="H82" s="300" t="n">
        <f aca="false">H81/H29</f>
        <v>117.291363636364</v>
      </c>
      <c r="I82" s="215"/>
      <c r="J82" s="215"/>
      <c r="K82" s="216"/>
      <c r="L82" s="63"/>
      <c r="M82" s="214" t="s">
        <v>103</v>
      </c>
      <c r="N82" s="300" t="n">
        <f aca="false">N81/H29</f>
        <v>110.416363636364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548.895083902158</v>
      </c>
      <c r="C83" s="215"/>
      <c r="D83" s="215"/>
      <c r="E83" s="216"/>
      <c r="F83" s="63"/>
      <c r="G83" s="305" t="s">
        <v>104</v>
      </c>
      <c r="H83" s="306" t="n">
        <f aca="false">H47</f>
        <v>548.895083902158</v>
      </c>
      <c r="I83" s="215"/>
      <c r="J83" s="215"/>
      <c r="K83" s="216"/>
      <c r="L83" s="63"/>
      <c r="M83" s="305" t="s">
        <v>104</v>
      </c>
      <c r="N83" s="306" t="n">
        <f aca="false">H47</f>
        <v>548.895083902158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14555.8518458475</v>
      </c>
      <c r="C85" s="215"/>
      <c r="D85" s="215"/>
      <c r="E85" s="216"/>
      <c r="F85" s="63"/>
      <c r="G85" s="288" t="s">
        <v>114</v>
      </c>
      <c r="H85" s="131" t="n">
        <f aca="false">((H83*H29)+H81)*1.2</f>
        <v>17587.322215017</v>
      </c>
      <c r="I85" s="215"/>
      <c r="J85" s="215"/>
      <c r="K85" s="216"/>
      <c r="L85" s="63"/>
      <c r="M85" s="288" t="s">
        <v>114</v>
      </c>
      <c r="N85" s="131" t="n">
        <f aca="false">((N83*H29)+N81)</f>
        <v>14504.8518458475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123.304916806292</v>
      </c>
      <c r="C86" s="215"/>
      <c r="D86" s="215"/>
      <c r="E86" s="216"/>
      <c r="F86" s="63"/>
      <c r="G86" s="214" t="s">
        <v>115</v>
      </c>
      <c r="H86" s="300" t="n">
        <f aca="false">((((H83*H29)+H81))/(1-H70))*H70</f>
        <v>124.154150368212</v>
      </c>
      <c r="I86" s="215"/>
      <c r="J86" s="215"/>
      <c r="K86" s="216"/>
      <c r="L86" s="63"/>
      <c r="M86" s="214" t="s">
        <v>115</v>
      </c>
      <c r="N86" s="300" t="n">
        <f aca="false">(N85/(1-N70))*N70</f>
        <v>122.872887762322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14679.1567626538</v>
      </c>
      <c r="C87" s="215"/>
      <c r="D87" s="215"/>
      <c r="E87" s="216"/>
      <c r="F87" s="63"/>
      <c r="G87" s="285" t="s">
        <v>116</v>
      </c>
      <c r="H87" s="133" t="n">
        <f aca="false">IF(H110="YES",((H85+H86)-K114),(H85+H86))</f>
        <v>17711.4763653852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14627.7247336098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(D40+(D40*B105))/(B57+B58))*(C45/100)</f>
        <v>60.515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54.6186666666667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45.5155555555556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667.234398302444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655.980606125377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541.767582726288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727.749398302444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710.599272792043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587.283138281844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342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262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264</v>
      </c>
      <c r="I99" s="312"/>
      <c r="J99" s="107" t="n">
        <v>0</v>
      </c>
      <c r="K99" s="107"/>
      <c r="L99" s="63"/>
      <c r="M99" s="220" t="s">
        <v>286</v>
      </c>
      <c r="N99" s="312" t="s">
        <v>264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263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264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265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 t="s">
        <v>343</v>
      </c>
      <c r="C107" s="222" t="s">
        <v>18</v>
      </c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18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22</v>
      </c>
      <c r="C125" s="325"/>
      <c r="D125" s="324" t="n">
        <f aca="false">B160</f>
        <v>22000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251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655.980606125377</v>
      </c>
      <c r="H127" s="177" t="n">
        <f aca="false">IF(G105="YES", H89*H57, 0)</f>
        <v>327.712</v>
      </c>
      <c r="I127" s="177"/>
      <c r="J127" s="334" t="n">
        <f aca="false">H91</f>
        <v>710.599272792043</v>
      </c>
      <c r="K127" s="216"/>
      <c r="L127" s="63"/>
      <c r="M127" s="333" t="n">
        <f aca="false">N90</f>
        <v>541.767582726288</v>
      </c>
      <c r="N127" s="177" t="n">
        <f aca="false">IF(M105="YES", N89*N57, 0)</f>
        <v>273.093333333333</v>
      </c>
      <c r="O127" s="177"/>
      <c r="P127" s="177" t="n">
        <f aca="false">N91</f>
        <v>587.283138281844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667.234398302444</v>
      </c>
      <c r="B128" s="321" t="n">
        <f aca="false">IF(A105="YES", B89, 0)</f>
        <v>60.515</v>
      </c>
      <c r="C128" s="325"/>
      <c r="D128" s="321" t="n">
        <f aca="false">B91</f>
        <v>727.749398302444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22</v>
      </c>
      <c r="H130" s="229" t="n">
        <f aca="false">B151</f>
        <v>0</v>
      </c>
      <c r="I130" s="230"/>
      <c r="J130" s="229" t="n">
        <f aca="false">B58</f>
        <v>21</v>
      </c>
      <c r="K130" s="216"/>
      <c r="L130" s="63"/>
      <c r="M130" s="228" t="n">
        <f aca="false">M155</f>
        <v>22</v>
      </c>
      <c r="N130" s="229" t="n">
        <f aca="false">B151</f>
        <v>0</v>
      </c>
      <c r="O130" s="230"/>
      <c r="P130" s="229" t="n">
        <f aca="false">B58</f>
        <v>21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667.234398302444</v>
      </c>
      <c r="C131" s="317"/>
      <c r="D131" s="38" t="n">
        <f aca="false">IF(A105="YES", B89*B57, 0)</f>
        <v>60.515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240</v>
      </c>
      <c r="O132" s="215"/>
      <c r="P132" s="215" t="s">
        <v>244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3935.88363675226</v>
      </c>
      <c r="H133" s="103" t="n">
        <f aca="false">IF(G105="YES", H89*H57, 0)</f>
        <v>327.712</v>
      </c>
      <c r="I133" s="221"/>
      <c r="J133" s="184" t="n">
        <f aca="false">H91*H57</f>
        <v>4263.59563675226</v>
      </c>
      <c r="K133" s="216"/>
      <c r="L133" s="63"/>
      <c r="M133" s="185" t="n">
        <f aca="false">N90*N57</f>
        <v>3250.60549635773</v>
      </c>
      <c r="N133" s="103" t="n">
        <f aca="false">IF(M105="YES", N89*N57, 0)</f>
        <v>273.093333333333</v>
      </c>
      <c r="O133" s="221"/>
      <c r="P133" s="184" t="n">
        <f aca="false">N91*N57</f>
        <v>3523.69882969106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727.749398302444</v>
      </c>
      <c r="B134" s="38" t="n">
        <f aca="false">E114</f>
        <v>4000</v>
      </c>
      <c r="C134" s="317"/>
      <c r="D134" s="337" t="n">
        <f aca="false">B58</f>
        <v>21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253</v>
      </c>
      <c r="N135" s="215" t="s">
        <v>254</v>
      </c>
      <c r="O135" s="215"/>
      <c r="P135" s="215" t="s">
        <v>258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0.127608</v>
      </c>
      <c r="H136" s="103" t="n">
        <f aca="false">IF(G105="YES", E15*0.000002, 0)</f>
        <v>0.042536</v>
      </c>
      <c r="I136" s="103"/>
      <c r="J136" s="103" t="n">
        <f aca="false">G136+H136</f>
        <v>0.170144</v>
      </c>
      <c r="K136" s="105"/>
      <c r="L136" s="63"/>
      <c r="M136" s="111" t="n">
        <f aca="false">E15*0.000006</f>
        <v>0.127608</v>
      </c>
      <c r="N136" s="103" t="n">
        <f aca="false">IF(M105="YES", E15*0.000002, 0)</f>
        <v>0.042536</v>
      </c>
      <c r="O136" s="103"/>
      <c r="P136" s="103" t="n">
        <f aca="false">M136+N136</f>
        <v>0.170144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667.234398302444</v>
      </c>
      <c r="B137" s="38" t="n">
        <f aca="false">IF(A105="YES", B89, 0)</f>
        <v>60.515</v>
      </c>
      <c r="C137" s="317"/>
      <c r="D137" s="38" t="n">
        <f aca="false">B91</f>
        <v>727.749398302444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247.066666666667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247.066666666667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IF(A105="YES", G18*0.000002, 0)*1.2*100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20.482</v>
      </c>
      <c r="H142" s="103" t="n">
        <f aca="false">G102-100</f>
        <v>99.99</v>
      </c>
      <c r="I142" s="103"/>
      <c r="J142" s="103" t="n">
        <f aca="false">(H139+J139+G142+H142)-H145</f>
        <v>367.538666666667</v>
      </c>
      <c r="K142" s="105"/>
      <c r="L142" s="63"/>
      <c r="M142" s="111" t="n">
        <f aca="false">IF(M105="YES", ((B36*N105)*0.1)*(M130), 0)</f>
        <v>20.482</v>
      </c>
      <c r="N142" s="103" t="n">
        <f aca="false">M102-100</f>
        <v>99.99</v>
      </c>
      <c r="O142" s="103"/>
      <c r="P142" s="103" t="n">
        <f aca="false">(N139+P139+M142+N142)-N145</f>
        <v>367.538666666667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296.48</v>
      </c>
      <c r="B148" s="38" t="n">
        <f aca="false">B102</f>
        <v>0</v>
      </c>
      <c r="C148" s="38"/>
      <c r="D148" s="38" t="n">
        <f aca="false">IF(A105="YES", (B40*B105)*B125, 0)*0.1</f>
        <v>30.723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427.193</v>
      </c>
      <c r="E151" s="105"/>
      <c r="F151" s="63"/>
      <c r="G151" s="250"/>
      <c r="H151" s="252" t="n">
        <f aca="false">B51</f>
        <v>22000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22</v>
      </c>
      <c r="H152" s="74" t="n">
        <f aca="false">H91</f>
        <v>710.599272792043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22000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22</v>
      </c>
      <c r="N155" s="74" t="n">
        <f aca="false">N91</f>
        <v>587.283138281844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22000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22</v>
      </c>
      <c r="B161" s="74" t="n">
        <f aca="false">B91</f>
        <v>727.749398302444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22</v>
      </c>
      <c r="C174" s="357"/>
      <c r="D174" s="324" t="n">
        <f aca="false">D125</f>
        <v>22000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667.234398302444</v>
      </c>
      <c r="B177" s="355" t="n">
        <f aca="false">IF(A105="YES", B89, 0)</f>
        <v>60.515</v>
      </c>
      <c r="C177" s="357"/>
      <c r="D177" s="355" t="n">
        <f aca="false">B91</f>
        <v>727.749398302444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667.234398302444</v>
      </c>
      <c r="C180" s="353"/>
      <c r="D180" s="103" t="n">
        <f aca="false">IF(A105="YES", B89*B57, 0)</f>
        <v>60.515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727.749398302444</v>
      </c>
      <c r="B183" s="103" t="n">
        <f aca="false">E114</f>
        <v>4000</v>
      </c>
      <c r="C183" s="353"/>
      <c r="D183" s="361" t="n">
        <f aca="false">B58</f>
        <v>21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667.234398302444</v>
      </c>
      <c r="B186" s="103" t="n">
        <f aca="false">IF(A105="YES", B89, 0)</f>
        <v>60.515</v>
      </c>
      <c r="C186" s="353"/>
      <c r="D186" s="103" t="n">
        <f aca="false">B91</f>
        <v>727.749398302444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IF(A105="YES", G18*0.000002, 0)*1.2*100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296.48</v>
      </c>
      <c r="B197" s="103" t="n">
        <f aca="false">B102</f>
        <v>0</v>
      </c>
      <c r="C197" s="103"/>
      <c r="D197" s="103" t="n">
        <f aca="false">IF(A105="YES", (B40*B105)*B125, 0)*0.1</f>
        <v>30.723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427.193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1770.16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296.48</v>
      </c>
      <c r="C211" s="320" t="s">
        <v>217</v>
      </c>
      <c r="D211" s="370" t="n">
        <f aca="false">B225+E221+B221+B223</f>
        <v>407.22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1880.9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1770.16</v>
      </c>
      <c r="C217" s="375" t="s">
        <v>221</v>
      </c>
      <c r="D217" s="317"/>
      <c r="E217" s="376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296.48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1880.9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307.23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123.304916806292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16745</v>
      </c>
      <c r="C3" s="498" t="n">
        <v>0</v>
      </c>
      <c r="D3" s="263" t="n">
        <v>0</v>
      </c>
      <c r="E3" s="499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</v>
      </c>
      <c r="C4" s="0" t="n">
        <v>0</v>
      </c>
      <c r="D4" s="0" t="n">
        <v>0</v>
      </c>
      <c r="E4" s="294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-809.375933114363</v>
      </c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16745</v>
      </c>
      <c r="F9" s="63"/>
      <c r="G9" s="454" t="n">
        <f aca="false">E9-G11</f>
        <v>-135530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454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3488</v>
      </c>
      <c r="F11" s="63"/>
      <c r="G11" s="454" t="n">
        <f aca="false">G13/1.2</f>
        <v>152275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454" t="n">
        <f aca="false">G15-E14-E13-E12</f>
        <v>182730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21268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353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22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22000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8730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354</v>
      </c>
      <c r="E32" s="216"/>
      <c r="F32" s="63"/>
      <c r="G32" s="218" t="s">
        <v>36</v>
      </c>
      <c r="I32" s="449" t="n">
        <v>1024.1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22</v>
      </c>
      <c r="B33" s="229" t="n">
        <v>10000</v>
      </c>
      <c r="C33" s="230"/>
      <c r="D33" s="459" t="n">
        <f aca="false">H48</f>
        <v>595.445083902158</v>
      </c>
      <c r="E33" s="216"/>
      <c r="F33" s="63"/>
      <c r="G33" s="219" t="s">
        <v>355</v>
      </c>
      <c r="H33" s="460" t="n">
        <f aca="false">E21-E11+((E16*20%)+(E19*20%)+(E20*20%))</f>
        <v>17780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371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356</v>
      </c>
      <c r="B35" s="215" t="s">
        <v>357</v>
      </c>
      <c r="C35" s="215"/>
      <c r="D35" s="215" t="s">
        <v>358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548.895083902158</v>
      </c>
      <c r="B36" s="103" t="n">
        <f aca="false">IF(B26="YES", H42, "")</f>
        <v>46.55</v>
      </c>
      <c r="C36" s="221"/>
      <c r="D36" s="184" t="n">
        <f aca="false">H31</f>
        <v>8730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359</v>
      </c>
      <c r="B39" s="215" t="s">
        <v>360</v>
      </c>
      <c r="C39" s="215"/>
      <c r="D39" s="215" t="s">
        <v>361</v>
      </c>
      <c r="E39" s="216"/>
      <c r="F39" s="63"/>
      <c r="G39" s="63" t="s">
        <v>84</v>
      </c>
      <c r="H39" s="238" t="n">
        <f aca="false">H33</f>
        <v>17780</v>
      </c>
      <c r="I39" s="238" t="n">
        <f aca="false">(I48*H46)+H44</f>
        <v>34423.8379370532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8730</v>
      </c>
      <c r="B40" s="107" t="n">
        <f aca="false">IF(B26="YES",H42,"0")</f>
        <v>46.55</v>
      </c>
      <c r="C40" s="107"/>
      <c r="D40" s="184" t="n">
        <f aca="false">I32</f>
        <v>1024.1</v>
      </c>
      <c r="E40" s="216"/>
      <c r="F40" s="63"/>
      <c r="G40" s="63" t="s">
        <v>106</v>
      </c>
      <c r="H40" s="238" t="n">
        <f aca="false">(A40)/1.2</f>
        <v>7275</v>
      </c>
      <c r="I40" s="238" t="n">
        <f aca="false">H39-I39</f>
        <v>-16643.8379370533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362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363</v>
      </c>
      <c r="H42" s="238" t="n">
        <f aca="false">(I32/H34)*(C45/100)</f>
        <v>46.55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364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372</v>
      </c>
      <c r="H44" s="238" t="n">
        <f aca="false">(H40/(1+H41)^(H34+1))</f>
        <v>6425.00031244387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510" t="n">
        <v>100</v>
      </c>
      <c r="D45" s="510"/>
      <c r="E45" s="216"/>
      <c r="F45" s="63"/>
      <c r="G45" s="63" t="s">
        <v>373</v>
      </c>
      <c r="H45" s="238" t="n">
        <f aca="false">(H39-H44)</f>
        <v>11354.9996875561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374</v>
      </c>
      <c r="H46" s="238" t="n">
        <f aca="false">((1-(1/((1+H41)^H34)))/H41)</f>
        <v>20.6870129111599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368</v>
      </c>
      <c r="H47" s="238" t="n">
        <f aca="false">H45/H46</f>
        <v>548.895083902158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369</v>
      </c>
      <c r="H48" s="238" t="n">
        <f aca="false">IF(B26="YES", H47+H42, H47)</f>
        <v>595.445083902158</v>
      </c>
      <c r="I48" s="238" t="n">
        <f aca="false">I49-H42</f>
        <v>1353.45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370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22000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22</v>
      </c>
      <c r="B52" s="74" t="n">
        <f aca="false">H48</f>
        <v>595.445083902158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21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21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214" t="s">
        <v>14</v>
      </c>
      <c r="N61" s="291" t="n">
        <f aca="false">G18</f>
        <v>20928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0.0845833333333333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0.0845833333333333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0.0845833333333333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1770.16</v>
      </c>
      <c r="C64" s="215" t="n">
        <v>10000</v>
      </c>
      <c r="D64" s="291" t="n">
        <f aca="false">B64-A143</f>
        <v>1770.16</v>
      </c>
      <c r="E64" s="466" t="n">
        <f aca="false">D64/(B58+B57)</f>
        <v>80.4618181818182</v>
      </c>
      <c r="F64" s="63"/>
      <c r="G64" s="285" t="s">
        <v>90</v>
      </c>
      <c r="H64" s="133" t="n">
        <f aca="false">H61*H63</f>
        <v>1770.16</v>
      </c>
      <c r="I64" s="215"/>
      <c r="J64" s="291" t="n">
        <f aca="false">H64-G145</f>
        <v>1770.16</v>
      </c>
      <c r="K64" s="216"/>
      <c r="L64" s="63"/>
      <c r="M64" s="285" t="s">
        <v>90</v>
      </c>
      <c r="N64" s="133" t="n">
        <f aca="false">N61*N63</f>
        <v>1770.16</v>
      </c>
      <c r="O64" s="215"/>
      <c r="P64" s="291" t="n">
        <f aca="false">N64-M145</f>
        <v>1770.16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0.0141666666666667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0.0141666666666667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0.0141666666666667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296.48</v>
      </c>
      <c r="C67" s="215"/>
      <c r="D67" s="291"/>
      <c r="E67" s="216"/>
      <c r="F67" s="63"/>
      <c r="G67" s="285" t="s">
        <v>93</v>
      </c>
      <c r="H67" s="133" t="n">
        <f aca="false">(H61*H66)/1.2</f>
        <v>247.066666666667</v>
      </c>
      <c r="I67" s="215"/>
      <c r="J67" s="291"/>
      <c r="K67" s="216"/>
      <c r="L67" s="63"/>
      <c r="M67" s="285" t="s">
        <v>93</v>
      </c>
      <c r="N67" s="133" t="n">
        <f aca="false">(N61*N66)/1.2</f>
        <v>247.066666666667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110</v>
      </c>
      <c r="C73" s="215"/>
      <c r="D73" s="291" t="n">
        <f aca="false">B73+B71</f>
        <v>310</v>
      </c>
      <c r="E73" s="216"/>
      <c r="F73" s="63"/>
      <c r="G73" s="285" t="s">
        <v>99</v>
      </c>
      <c r="H73" s="133" t="n">
        <f aca="false">H72*H29</f>
        <v>99</v>
      </c>
      <c r="I73" s="215"/>
      <c r="J73" s="291" t="n">
        <f aca="false">H73+H71</f>
        <v>259</v>
      </c>
      <c r="K73" s="216"/>
      <c r="L73" s="63"/>
      <c r="M73" s="285" t="s">
        <v>99</v>
      </c>
      <c r="N73" s="133" t="n">
        <f aca="false">N72*H29</f>
        <v>99</v>
      </c>
      <c r="O73" s="215"/>
      <c r="P73" s="291" t="n">
        <f aca="false">N73+N71</f>
        <v>259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151.25</v>
      </c>
      <c r="I76" s="215"/>
      <c r="J76" s="291" t="n">
        <f aca="false">H76</f>
        <v>151.25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466" t="n">
        <f aca="false">D77/(B58+B57)</f>
        <v>20.2020202020202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466" t="n">
        <f aca="false">(D73+D76+D79+D80)/(B58+B57)</f>
        <v>32.2727272727273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3146.82666666667</v>
      </c>
      <c r="C81" s="215"/>
      <c r="D81" s="215"/>
      <c r="E81" s="466"/>
      <c r="F81" s="63"/>
      <c r="G81" s="303" t="s">
        <v>102</v>
      </c>
      <c r="H81" s="304" t="n">
        <f aca="false">SUM(J64:J80)</f>
        <v>2580.41</v>
      </c>
      <c r="I81" s="215"/>
      <c r="J81" s="215"/>
      <c r="K81" s="216"/>
      <c r="L81" s="63"/>
      <c r="M81" s="303" t="s">
        <v>102</v>
      </c>
      <c r="N81" s="304" t="n">
        <f aca="false">SUM(P64:P80)</f>
        <v>2429.16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143.037575757576</v>
      </c>
      <c r="C82" s="215"/>
      <c r="D82" s="215"/>
      <c r="E82" s="466"/>
      <c r="F82" s="63"/>
      <c r="G82" s="214" t="s">
        <v>103</v>
      </c>
      <c r="H82" s="300" t="n">
        <f aca="false">H81/H29</f>
        <v>117.291363636364</v>
      </c>
      <c r="I82" s="215"/>
      <c r="J82" s="215"/>
      <c r="K82" s="216"/>
      <c r="L82" s="63"/>
      <c r="M82" s="214" t="s">
        <v>103</v>
      </c>
      <c r="N82" s="300" t="n">
        <f aca="false">N81/H29</f>
        <v>110.416363636364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548.895083902158</v>
      </c>
      <c r="C83" s="215"/>
      <c r="D83" s="215"/>
      <c r="E83" s="466" t="n">
        <f aca="false">B83+E80+E77+E64</f>
        <v>681.831649558723</v>
      </c>
      <c r="F83" s="63"/>
      <c r="G83" s="305" t="s">
        <v>104</v>
      </c>
      <c r="H83" s="306" t="n">
        <f aca="false">H47</f>
        <v>548.895083902158</v>
      </c>
      <c r="I83" s="215"/>
      <c r="J83" s="215"/>
      <c r="K83" s="216"/>
      <c r="L83" s="63"/>
      <c r="M83" s="305" t="s">
        <v>104</v>
      </c>
      <c r="N83" s="306" t="n">
        <f aca="false">H47</f>
        <v>548.895083902158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18267.022215017</v>
      </c>
      <c r="C85" s="215"/>
      <c r="D85" s="215"/>
      <c r="E85" s="466" t="n">
        <f aca="false">B85/(B58+B57)</f>
        <v>830.31919159168</v>
      </c>
      <c r="F85" s="63"/>
      <c r="G85" s="288" t="s">
        <v>114</v>
      </c>
      <c r="H85" s="131" t="n">
        <f aca="false">((H83*H29)+H81)*1.2</f>
        <v>17587.322215017</v>
      </c>
      <c r="I85" s="215"/>
      <c r="J85" s="215"/>
      <c r="K85" s="216"/>
      <c r="L85" s="63"/>
      <c r="M85" s="288" t="s">
        <v>114</v>
      </c>
      <c r="N85" s="131" t="n">
        <f aca="false">((N83*H29)+N81)</f>
        <v>14504.8518458475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((((B83*H29)+B81))/(1-B70))*B70</f>
        <v>128.952355289551</v>
      </c>
      <c r="C86" s="215"/>
      <c r="D86" s="215"/>
      <c r="E86" s="466" t="n">
        <f aca="false">B86/(B58+B57)</f>
        <v>5.86147069497959</v>
      </c>
      <c r="F86" s="63"/>
      <c r="G86" s="214" t="s">
        <v>115</v>
      </c>
      <c r="H86" s="300" t="n">
        <f aca="false">((((H83*H29)+H81))/(1-H70))*H70</f>
        <v>124.154150368212</v>
      </c>
      <c r="I86" s="215"/>
      <c r="J86" s="215"/>
      <c r="K86" s="216"/>
      <c r="L86" s="63"/>
      <c r="M86" s="214" t="s">
        <v>115</v>
      </c>
      <c r="N86" s="300" t="n">
        <f aca="false">(N85/(1-N70))*N70</f>
        <v>122.872887762322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18395.9745703065</v>
      </c>
      <c r="C87" s="215"/>
      <c r="D87" s="215"/>
      <c r="E87" s="466" t="n">
        <f aca="false">E86+E85</f>
        <v>836.18066228666</v>
      </c>
      <c r="F87" s="63"/>
      <c r="G87" s="285" t="s">
        <v>116</v>
      </c>
      <c r="H87" s="133" t="n">
        <f aca="false">IF(H110="YES",((H85+H86)-K114),(H85+H86))</f>
        <v>17711.4763653852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14627.7247336098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(D40+(D40*B105))/(B57+B58))*1.2*(C45/100)</f>
        <v>72.618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54.6186666666667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45.5155555555556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836.18066228666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655.980606125377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541.767582726288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908.798662286659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710.599272792043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587.283138281844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262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264</v>
      </c>
      <c r="I99" s="312"/>
      <c r="J99" s="107" t="n">
        <v>0</v>
      </c>
      <c r="K99" s="107"/>
      <c r="L99" s="63"/>
      <c r="M99" s="220" t="s">
        <v>286</v>
      </c>
      <c r="N99" s="312" t="s">
        <v>264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263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264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265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E118+E117-E114</f>
        <v>-2760.01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22</v>
      </c>
      <c r="C125" s="325"/>
      <c r="D125" s="324" t="n">
        <f aca="false">B160</f>
        <v>22000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251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655.980606125377</v>
      </c>
      <c r="H127" s="177" t="n">
        <f aca="false">IF(G105="YES", H89*H57, 0)</f>
        <v>327.712</v>
      </c>
      <c r="I127" s="177"/>
      <c r="J127" s="334" t="n">
        <f aca="false">H91</f>
        <v>710.599272792043</v>
      </c>
      <c r="K127" s="216"/>
      <c r="L127" s="63"/>
      <c r="M127" s="333" t="n">
        <f aca="false">N90</f>
        <v>541.767582726288</v>
      </c>
      <c r="N127" s="177" t="n">
        <f aca="false">IF(M105="YES", N89*N57, 0)</f>
        <v>273.093333333333</v>
      </c>
      <c r="O127" s="177"/>
      <c r="P127" s="177" t="n">
        <f aca="false">N91</f>
        <v>587.283138281844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836.18066228666</v>
      </c>
      <c r="B128" s="321" t="n">
        <f aca="false">IF(A105="YES", B89, 0)</f>
        <v>72.618</v>
      </c>
      <c r="C128" s="325"/>
      <c r="D128" s="321" t="n">
        <f aca="false">B91</f>
        <v>908.798662286659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22</v>
      </c>
      <c r="H130" s="229" t="n">
        <f aca="false">B151</f>
        <v>0</v>
      </c>
      <c r="I130" s="230"/>
      <c r="J130" s="229" t="n">
        <f aca="false">B58</f>
        <v>21</v>
      </c>
      <c r="K130" s="216"/>
      <c r="L130" s="63"/>
      <c r="M130" s="228" t="n">
        <f aca="false">M155</f>
        <v>22</v>
      </c>
      <c r="N130" s="229" t="n">
        <f aca="false">B151</f>
        <v>0</v>
      </c>
      <c r="O130" s="230"/>
      <c r="P130" s="229" t="n">
        <f aca="false">B58</f>
        <v>21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836.18066228666</v>
      </c>
      <c r="C131" s="317"/>
      <c r="D131" s="38" t="n">
        <f aca="false">IF(A105="YES", B89*B57, 0)</f>
        <v>72.618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240</v>
      </c>
      <c r="O132" s="215"/>
      <c r="P132" s="215" t="s">
        <v>244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3935.88363675226</v>
      </c>
      <c r="H133" s="103" t="n">
        <f aca="false">IF(G105="YES", H89*H57, 0)</f>
        <v>327.712</v>
      </c>
      <c r="I133" s="221"/>
      <c r="J133" s="184" t="n">
        <f aca="false">H91*H57</f>
        <v>4263.59563675226</v>
      </c>
      <c r="K133" s="216"/>
      <c r="L133" s="63"/>
      <c r="M133" s="185" t="n">
        <f aca="false">N90*N57</f>
        <v>3250.60549635773</v>
      </c>
      <c r="N133" s="103" t="n">
        <f aca="false">IF(M105="YES", N89*N57, 0)</f>
        <v>273.093333333333</v>
      </c>
      <c r="O133" s="221"/>
      <c r="P133" s="184" t="n">
        <f aca="false">N91*N57</f>
        <v>3523.69882969106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908.798662286659</v>
      </c>
      <c r="B134" s="38" t="n">
        <f aca="false">E114</f>
        <v>4000</v>
      </c>
      <c r="C134" s="317"/>
      <c r="D134" s="337" t="n">
        <f aca="false">B58</f>
        <v>21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253</v>
      </c>
      <c r="N135" s="215" t="s">
        <v>254</v>
      </c>
      <c r="O135" s="215"/>
      <c r="P135" s="215" t="s">
        <v>258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0.127608</v>
      </c>
      <c r="H136" s="103" t="n">
        <f aca="false">IF(G105="YES", E15*0.000002, 0)</f>
        <v>0.042536</v>
      </c>
      <c r="I136" s="103"/>
      <c r="J136" s="103" t="n">
        <f aca="false">G136+H136</f>
        <v>0.170144</v>
      </c>
      <c r="K136" s="105"/>
      <c r="L136" s="63"/>
      <c r="M136" s="111" t="n">
        <f aca="false">E15*0.000006</f>
        <v>0.127608</v>
      </c>
      <c r="N136" s="103" t="n">
        <f aca="false">IF(M105="YES", E15*0.000002, 0)</f>
        <v>0.042536</v>
      </c>
      <c r="O136" s="103"/>
      <c r="P136" s="103" t="n">
        <f aca="false">M136+N136</f>
        <v>0.170144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836.18066228666</v>
      </c>
      <c r="B137" s="38" t="n">
        <f aca="false">IF(A105="YES", B89, 0)</f>
        <v>72.618</v>
      </c>
      <c r="C137" s="317"/>
      <c r="D137" s="38" t="n">
        <f aca="false">B91</f>
        <v>908.798662286659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247.066666666667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247.066666666667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IF(A105="YES", G18*0.000002, 0)*1.2*100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20.482</v>
      </c>
      <c r="H142" s="103" t="n">
        <f aca="false">G102-100</f>
        <v>99.99</v>
      </c>
      <c r="I142" s="103"/>
      <c r="J142" s="103" t="n">
        <f aca="false">(H139+J139+G142+H142)-H145</f>
        <v>367.538666666667</v>
      </c>
      <c r="K142" s="105"/>
      <c r="L142" s="63"/>
      <c r="M142" s="111" t="n">
        <f aca="false">IF(M105="YES", ((B36*N105)*0.1)*(M130), 0)</f>
        <v>20.482</v>
      </c>
      <c r="N142" s="103" t="n">
        <f aca="false">M102-100</f>
        <v>99.99</v>
      </c>
      <c r="O142" s="103"/>
      <c r="P142" s="103" t="n">
        <f aca="false">(N139+P139+M142+N142)-N145</f>
        <v>367.538666666667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296.48</v>
      </c>
      <c r="B148" s="38" t="n">
        <f aca="false">B102</f>
        <v>400</v>
      </c>
      <c r="C148" s="38"/>
      <c r="D148" s="38" t="n">
        <f aca="false">IF(A105="YES", (B40*B105)*B125, 0)*0.1</f>
        <v>30.723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827.194666666667</v>
      </c>
      <c r="E151" s="105"/>
      <c r="F151" s="63"/>
      <c r="G151" s="250"/>
      <c r="H151" s="252" t="n">
        <f aca="false">B51</f>
        <v>22000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22</v>
      </c>
      <c r="H152" s="74" t="n">
        <f aca="false">H91</f>
        <v>710.599272792043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22000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22</v>
      </c>
      <c r="N155" s="74" t="n">
        <f aca="false">N91</f>
        <v>587.283138281844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22000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22</v>
      </c>
      <c r="B161" s="74" t="n">
        <f aca="false">B91</f>
        <v>908.798662286659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22</v>
      </c>
      <c r="C174" s="357"/>
      <c r="D174" s="324" t="n">
        <f aca="false">D125</f>
        <v>22000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836.18066228666</v>
      </c>
      <c r="B177" s="355" t="n">
        <f aca="false">IF(A105="YES", B89, 0)</f>
        <v>72.618</v>
      </c>
      <c r="C177" s="357"/>
      <c r="D177" s="355" t="n">
        <f aca="false">B91</f>
        <v>908.798662286659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836.18066228666</v>
      </c>
      <c r="C180" s="353"/>
      <c r="D180" s="103" t="n">
        <f aca="false">IF(A105="YES", B89*B57, 0)</f>
        <v>72.618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908.798662286659</v>
      </c>
      <c r="B183" s="103" t="n">
        <f aca="false">E114</f>
        <v>4000</v>
      </c>
      <c r="C183" s="353"/>
      <c r="D183" s="361" t="n">
        <f aca="false">B58</f>
        <v>21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836.18066228666</v>
      </c>
      <c r="B186" s="103" t="n">
        <f aca="false">IF(A105="YES", B89, 0)</f>
        <v>72.618</v>
      </c>
      <c r="C186" s="353"/>
      <c r="D186" s="103" t="n">
        <f aca="false">B91</f>
        <v>908.798662286659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IF(A105="YES", G18*0.000002, 0)*1.2*100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296.48</v>
      </c>
      <c r="B197" s="103" t="n">
        <f aca="false">B102</f>
        <v>400</v>
      </c>
      <c r="C197" s="103"/>
      <c r="D197" s="103" t="n">
        <f aca="false">IF(A105="YES", (B40*B105)*B125, 0)*0.1</f>
        <v>30.723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(E118/1.2)-100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827.194666666667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1770.16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296.48</v>
      </c>
      <c r="C211" s="320" t="s">
        <v>217</v>
      </c>
      <c r="D211" s="370" t="n">
        <f aca="false">B225+E221+B221+B223</f>
        <v>647.221666666667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2120.90166666667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1770.16</v>
      </c>
      <c r="C217" s="375" t="s">
        <v>221</v>
      </c>
      <c r="D217" s="317"/>
      <c r="E217" s="376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296.48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2120.90166666667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307.23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128.952355289551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</v>
      </c>
      <c r="D3" s="263" t="n">
        <v>833.33</v>
      </c>
      <c r="E3" s="499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</v>
      </c>
      <c r="C4" s="0" t="n">
        <v>0</v>
      </c>
      <c r="D4" s="0" t="n">
        <v>0</v>
      </c>
      <c r="E4" s="294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4"/>
      <c r="B8" s="215"/>
      <c r="C8" s="215"/>
      <c r="D8" s="215"/>
      <c r="E8" s="216"/>
      <c r="F8" s="63"/>
      <c r="G8" s="455" t="n">
        <f aca="false">G9*100/B3</f>
        <v>-222.667836537637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8" t="n">
        <f aca="false">(B7+C7+D7+E3)</f>
        <v>47687.5</v>
      </c>
      <c r="F9" s="63"/>
      <c r="G9" s="454" t="n">
        <f aca="false">E9-G11</f>
        <v>-104329.166666667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 E9 + E10 ) * 0.2</f>
        <v>9647.5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353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5250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354</v>
      </c>
      <c r="E32" s="216"/>
      <c r="F32" s="63"/>
      <c r="G32" s="218" t="s">
        <v>36</v>
      </c>
      <c r="I32" s="449" t="n">
        <v>3509.1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1486.02789488895</v>
      </c>
      <c r="E33" s="216"/>
      <c r="F33" s="63"/>
      <c r="G33" s="219" t="s">
        <v>355</v>
      </c>
      <c r="H33" s="460" t="n">
        <f aca="false">E21-E11+((E16*20%)+(E19*20%)+(E20*20%))</f>
        <v>48887.5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371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356</v>
      </c>
      <c r="B35" s="215" t="s">
        <v>357</v>
      </c>
      <c r="C35" s="215"/>
      <c r="D35" s="215" t="s">
        <v>358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1435.89789488895</v>
      </c>
      <c r="B36" s="103" t="n">
        <f aca="false">IF(B26="YES", H42, "")</f>
        <v>50.13</v>
      </c>
      <c r="C36" s="221"/>
      <c r="D36" s="184" t="n">
        <f aca="false">H31</f>
        <v>5250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359</v>
      </c>
      <c r="B39" s="215" t="s">
        <v>360</v>
      </c>
      <c r="C39" s="215"/>
      <c r="D39" s="215" t="s">
        <v>361</v>
      </c>
      <c r="E39" s="216"/>
      <c r="F39" s="63"/>
      <c r="G39" s="63" t="s">
        <v>84</v>
      </c>
      <c r="H39" s="238" t="n">
        <f aca="false">H33</f>
        <v>48887.5</v>
      </c>
      <c r="I39" s="238" t="n">
        <f aca="false">(I48*H46)+H44</f>
        <v>46171.1360556211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5250</v>
      </c>
      <c r="B40" s="107" t="n">
        <f aca="false">IF(B26="YES",H42,"0")</f>
        <v>50.13</v>
      </c>
      <c r="C40" s="107"/>
      <c r="D40" s="184" t="n">
        <f aca="false">I32</f>
        <v>3509.1</v>
      </c>
      <c r="E40" s="216"/>
      <c r="F40" s="63"/>
      <c r="G40" s="63" t="s">
        <v>106</v>
      </c>
      <c r="H40" s="238" t="n">
        <f aca="false">A40/1.2</f>
        <v>4375</v>
      </c>
      <c r="I40" s="238" t="n">
        <f aca="false">H39-I39</f>
        <v>2716.36394437889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362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363</v>
      </c>
      <c r="H42" s="238" t="n">
        <f aca="false">(I32/H34)*(C45/100)</f>
        <v>50.13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364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372</v>
      </c>
      <c r="H44" s="238" t="n">
        <f aca="false">(H40/(1+H41)^(H34+1))</f>
        <v>3548.47043847394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50</v>
      </c>
      <c r="D45" s="463"/>
      <c r="E45" s="216"/>
      <c r="F45" s="63"/>
      <c r="G45" s="63" t="s">
        <v>373</v>
      </c>
      <c r="H45" s="238" t="n">
        <f aca="false">(H39-H44)</f>
        <v>45339.0295615261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374</v>
      </c>
      <c r="H46" s="238" t="n">
        <f aca="false">((1-(1/((1+H41)^H34)))/H41)</f>
        <v>31.5753854942677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368</v>
      </c>
      <c r="H47" s="238" t="n">
        <f aca="false">H45/H46</f>
        <v>1435.89789488895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369</v>
      </c>
      <c r="H48" s="238" t="n">
        <f aca="false">IF(B26="YES", H47+H42, H47)</f>
        <v>1486.02789488895</v>
      </c>
      <c r="I48" s="238" t="n">
        <f aca="false">I49-H42</f>
        <v>1349.87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370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1486.02789488895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5993.509375</v>
      </c>
      <c r="I64" s="215"/>
      <c r="J64" s="291" t="n">
        <f aca="false">H64-G145</f>
        <v>5993.509375</v>
      </c>
      <c r="K64" s="216"/>
      <c r="L64" s="63"/>
      <c r="M64" s="285" t="s">
        <v>90</v>
      </c>
      <c r="N64" s="133" t="n">
        <f aca="false">N61*N63</f>
        <v>5993.509375</v>
      </c>
      <c r="O64" s="215"/>
      <c r="P64" s="291" t="n">
        <f aca="false">N64-M145</f>
        <v>5993.509375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1133.58125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944.651041666667</v>
      </c>
      <c r="I67" s="215"/>
      <c r="J67" s="291"/>
      <c r="K67" s="216"/>
      <c r="L67" s="63"/>
      <c r="M67" s="285" t="s">
        <v>93</v>
      </c>
      <c r="N67" s="133" t="n">
        <f aca="false">(N61*N66)/1.2</f>
        <v>944.651041666667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22.1428571428571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10775</v>
      </c>
      <c r="C81" s="473"/>
      <c r="D81" s="474"/>
      <c r="E81" s="466"/>
      <c r="F81" s="63"/>
      <c r="G81" s="303" t="s">
        <v>102</v>
      </c>
      <c r="H81" s="304" t="n">
        <f aca="false">SUM(J64:J80)</f>
        <v>7041.009375</v>
      </c>
      <c r="I81" s="215"/>
      <c r="J81" s="215"/>
      <c r="K81" s="216"/>
      <c r="L81" s="63"/>
      <c r="M81" s="303" t="s">
        <v>102</v>
      </c>
      <c r="N81" s="304" t="n">
        <f aca="false">SUM(P64:P80)</f>
        <v>6711.009375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307.857142857143</v>
      </c>
      <c r="C82" s="473"/>
      <c r="D82" s="215"/>
      <c r="E82" s="466"/>
      <c r="F82" s="63"/>
      <c r="G82" s="214" t="s">
        <v>103</v>
      </c>
      <c r="H82" s="300" t="n">
        <f aca="false">H81/H29</f>
        <v>201.171696428571</v>
      </c>
      <c r="I82" s="215"/>
      <c r="J82" s="215"/>
      <c r="K82" s="216"/>
      <c r="L82" s="63"/>
      <c r="M82" s="214" t="s">
        <v>103</v>
      </c>
      <c r="N82" s="300" t="n">
        <f aca="false">N81/H29</f>
        <v>191.743125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1435.89789488895</v>
      </c>
      <c r="C83" s="473"/>
      <c r="D83" s="215"/>
      <c r="E83" s="466" t="n">
        <f aca="false">B83+E80+E77+E64</f>
        <v>1743.75503774609</v>
      </c>
      <c r="F83" s="63"/>
      <c r="G83" s="305" t="s">
        <v>104</v>
      </c>
      <c r="H83" s="306" t="n">
        <f aca="false">H47</f>
        <v>1435.89789488895</v>
      </c>
      <c r="I83" s="215"/>
      <c r="J83" s="215"/>
      <c r="K83" s="216"/>
      <c r="L83" s="63"/>
      <c r="M83" s="305" t="s">
        <v>104</v>
      </c>
      <c r="N83" s="306" t="n">
        <f aca="false">H47</f>
        <v>1435.89789488895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61031.4263211132</v>
      </c>
      <c r="C85" s="473"/>
      <c r="D85" s="473"/>
      <c r="E85" s="466" t="n">
        <f aca="false">B85/(B58+B57)</f>
        <v>1743.75503774609</v>
      </c>
      <c r="F85" s="63"/>
      <c r="G85" s="288" t="s">
        <v>114</v>
      </c>
      <c r="H85" s="131" t="n">
        <f aca="false">((H83*H29)+H81)*1.2</f>
        <v>68756.9228353358</v>
      </c>
      <c r="I85" s="215"/>
      <c r="J85" s="215"/>
      <c r="K85" s="216"/>
      <c r="L85" s="63"/>
      <c r="M85" s="288" t="s">
        <v>114</v>
      </c>
      <c r="N85" s="131" t="n">
        <f aca="false">((N83*H29)+N81)</f>
        <v>56967.4356961132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517.006838541096</v>
      </c>
      <c r="C86" s="473" t="s">
        <v>230</v>
      </c>
      <c r="D86" s="215"/>
      <c r="E86" s="466" t="n">
        <f aca="false">B86/(B58+B57)</f>
        <v>14.771623958317</v>
      </c>
      <c r="F86" s="63"/>
      <c r="G86" s="214" t="s">
        <v>115</v>
      </c>
      <c r="H86" s="300" t="n">
        <f aca="false">((((H83*H29)+H81))/(1-H70))*H70</f>
        <v>485.375615013464</v>
      </c>
      <c r="I86" s="215"/>
      <c r="J86" s="215"/>
      <c r="K86" s="216"/>
      <c r="L86" s="63"/>
      <c r="M86" s="214" t="s">
        <v>115</v>
      </c>
      <c r="N86" s="300" t="n">
        <f aca="false">(N85/(1-N70))*N70</f>
        <v>482.580132964251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61548.4331596543</v>
      </c>
      <c r="C87" s="473"/>
      <c r="D87" s="475"/>
      <c r="E87" s="466" t="n">
        <f aca="false">E86+E85</f>
        <v>1758.52666170441</v>
      </c>
      <c r="F87" s="63"/>
      <c r="G87" s="285" t="s">
        <v>116</v>
      </c>
      <c r="H87" s="133" t="n">
        <f aca="false">IF(H110="YES",((H85+H86)-K114),(H85+H86))</f>
        <v>69242.2984503493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57450.0158290774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65.169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126.3276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105.273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1758.52666170441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1731.05746125873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1436.25039572694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1823.69566170441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1857.38506125873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1541.52339572694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376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262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264</v>
      </c>
      <c r="I99" s="312"/>
      <c r="J99" s="107" t="n">
        <v>0</v>
      </c>
      <c r="K99" s="107"/>
      <c r="L99" s="63"/>
      <c r="M99" s="220" t="s">
        <v>286</v>
      </c>
      <c r="N99" s="312" t="s">
        <v>264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263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264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377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265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 t="s">
        <v>19</v>
      </c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251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1731.05746125873</v>
      </c>
      <c r="H127" s="177" t="n">
        <f aca="false">IF(G105="YES", H89*H57, 0)</f>
        <v>757.9656</v>
      </c>
      <c r="I127" s="177"/>
      <c r="J127" s="334" t="n">
        <f aca="false">H91</f>
        <v>1857.38506125873</v>
      </c>
      <c r="K127" s="216"/>
      <c r="L127" s="63"/>
      <c r="M127" s="333" t="n">
        <f aca="false">N90</f>
        <v>1436.25039572694</v>
      </c>
      <c r="N127" s="177" t="n">
        <f aca="false">IF(M105="YES", N89*N57, 0)</f>
        <v>631.638</v>
      </c>
      <c r="O127" s="177"/>
      <c r="P127" s="177" t="n">
        <f aca="false">N91</f>
        <v>1541.52339572694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1758.52666170441</v>
      </c>
      <c r="B128" s="321" t="n">
        <f aca="false">IF(A105="YES", B89, 0)</f>
        <v>65.169</v>
      </c>
      <c r="C128" s="325"/>
      <c r="D128" s="321" t="n">
        <f aca="false">B91</f>
        <v>1823.69566170441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1758.52666170441</v>
      </c>
      <c r="C131" s="317"/>
      <c r="D131" s="38" t="n">
        <f aca="false">IF(A105="YES", B89*B57, 0)</f>
        <v>65.169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240</v>
      </c>
      <c r="O132" s="215"/>
      <c r="P132" s="215" t="s">
        <v>244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10386.3447675524</v>
      </c>
      <c r="H133" s="103" t="n">
        <f aca="false">IF(G105="YES", H89*H57, 0)</f>
        <v>757.9656</v>
      </c>
      <c r="I133" s="221"/>
      <c r="J133" s="184" t="n">
        <f aca="false">H91*H57</f>
        <v>11144.3103675524</v>
      </c>
      <c r="K133" s="216"/>
      <c r="L133" s="63"/>
      <c r="M133" s="185" t="n">
        <f aca="false">N90*N57</f>
        <v>8617.50237436162</v>
      </c>
      <c r="N133" s="103" t="n">
        <f aca="false">IF(M105="YES", N89*N57, 0)</f>
        <v>631.638</v>
      </c>
      <c r="O133" s="221"/>
      <c r="P133" s="184" t="n">
        <f aca="false">N91*N57</f>
        <v>9249.14037436162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1823.69566170441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253</v>
      </c>
      <c r="N135" s="215" t="s">
        <v>254</v>
      </c>
      <c r="O135" s="215"/>
      <c r="P135" s="215" t="s">
        <v>258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111" t="n">
        <f aca="false">E15*0.000006</f>
        <v>0.35121</v>
      </c>
      <c r="N136" s="103" t="n">
        <f aca="false">IF(M105="YES", E15*0.000002, 0)</f>
        <v>0.11707</v>
      </c>
      <c r="O136" s="103"/>
      <c r="P136" s="103" t="n">
        <f aca="false">M136+N136</f>
        <v>0.46828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1758.52666170441</v>
      </c>
      <c r="B137" s="38" t="n">
        <f aca="false">IF(A105="YES", B89, 0)</f>
        <v>65.169</v>
      </c>
      <c r="C137" s="317"/>
      <c r="D137" s="38" t="n">
        <f aca="false">B91</f>
        <v>1823.69566170441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944.651041666667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944.651041666667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35.091</v>
      </c>
      <c r="H142" s="103" t="n">
        <f aca="false">G102-100</f>
        <v>99.99</v>
      </c>
      <c r="I142" s="103"/>
      <c r="J142" s="103" t="n">
        <f aca="false">(H139+J139+G142+H142)-H145</f>
        <v>1079.73204166667</v>
      </c>
      <c r="K142" s="105"/>
      <c r="L142" s="63"/>
      <c r="M142" s="111" t="n">
        <f aca="false">IF(M105="YES", ((B36*N105)*0.1)*(M130), 0)</f>
        <v>35.091</v>
      </c>
      <c r="N142" s="103" t="n">
        <f aca="false">M102-100</f>
        <v>99.99</v>
      </c>
      <c r="O142" s="103"/>
      <c r="P142" s="103" t="n">
        <f aca="false">(N139+P139+M142+N142)-N145</f>
        <v>1079.73204166667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1133.58125</v>
      </c>
      <c r="B148" s="103" t="n">
        <f aca="false">B102</f>
        <v>0</v>
      </c>
      <c r="C148" s="38"/>
      <c r="D148" s="38" t="n">
        <f aca="false">IF(A105="YES", (B40*B105)*B125, 0)*0.1</f>
        <v>52.6365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1286.20775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1857.38506125873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1541.52339572694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1823.69566170441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1758.52666170441</v>
      </c>
      <c r="B177" s="355" t="n">
        <f aca="false">IF(A105="YES", B89, 0)</f>
        <v>65.169</v>
      </c>
      <c r="C177" s="357"/>
      <c r="D177" s="355" t="n">
        <f aca="false">B91</f>
        <v>1823.69566170441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1758.52666170441</v>
      </c>
      <c r="C180" s="353"/>
      <c r="D180" s="103" t="n">
        <f aca="false">IF(A105="YES", B89*B57, 0)</f>
        <v>65.169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1823.69566170441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1758.52666170441</v>
      </c>
      <c r="B186" s="103" t="n">
        <f aca="false">IF(A105="YES", B89, 0)</f>
        <v>65.169</v>
      </c>
      <c r="C186" s="353"/>
      <c r="D186" s="103" t="n">
        <f aca="false">B91</f>
        <v>1823.69566170441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1133.58125</v>
      </c>
      <c r="B197" s="103" t="n">
        <f aca="false">B102</f>
        <v>0</v>
      </c>
      <c r="C197" s="103"/>
      <c r="D197" s="103" t="n">
        <f aca="false">IF(A105="YES", (B40*B105)*B125, 0)*0.1</f>
        <v>52.6365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1286.20775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1133.58125</v>
      </c>
      <c r="C211" s="320" t="s">
        <v>217</v>
      </c>
      <c r="D211" s="370" t="n">
        <f aca="false">B225+E221+B221+B223</f>
        <v>626.355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9492.77375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1133.58125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9492.77375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526.365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517.006838541096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238</v>
      </c>
      <c r="B29" s="223" t="n">
        <v>12345</v>
      </c>
      <c r="C29" s="223"/>
      <c r="D29" s="224" t="n">
        <f aca="true">TODAY()+1</f>
        <v>45196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242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6000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12</v>
      </c>
      <c r="B44" s="104" t="n">
        <v>1</v>
      </c>
      <c r="C44" s="104"/>
      <c r="D44" s="104" t="n">
        <v>1</v>
      </c>
      <c r="E44" s="104"/>
      <c r="F44" s="63"/>
      <c r="G44" s="63" t="s">
        <v>256</v>
      </c>
      <c r="H44" s="238" t="n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n">
        <v>0.01</v>
      </c>
      <c r="C47" s="429"/>
      <c r="D47" s="104" t="n">
        <v>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 t="s">
        <v>386</v>
      </c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22" t="s">
        <v>19</v>
      </c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274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81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12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/>
      <c r="D70" s="291" t="n">
        <f aca="false">B70-A151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4711.95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392.6625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10723.95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90.8442718838241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10814.7942718838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((H44*B35)+((H44*B35)*B111))/(B63+B64)</f>
        <v>31.304347826087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IF(B105=Y104, (B93-D111)/(B64), B93/(B63+B64))</f>
        <v>470.208446603645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501.512794429732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262</v>
      </c>
    </row>
    <row r="105" customFormat="false" ht="18.75" hidden="false" customHeight="true" outlineLevel="0" collapsed="false">
      <c r="A105" s="220" t="s">
        <v>286</v>
      </c>
      <c r="B105" s="312" t="s">
        <v>267</v>
      </c>
      <c r="C105" s="312"/>
      <c r="D105" s="421" t="n">
        <v>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263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264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265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4" t="n">
        <v>0.2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/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0</v>
      </c>
      <c r="E119" s="107" t="n">
        <v>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0</v>
      </c>
      <c r="E120" s="167" t="n">
        <f aca="false">E118-E119</f>
        <v>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199.99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4"/>
      <c r="B129" s="215"/>
      <c r="C129" s="215"/>
      <c r="D129" s="215"/>
      <c r="E129" s="216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4" t="s">
        <v>181</v>
      </c>
      <c r="B130" s="172" t="n">
        <v>1200</v>
      </c>
      <c r="C130" s="172"/>
      <c r="D130" s="215"/>
      <c r="E130" s="216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4"/>
      <c r="B131" s="215"/>
      <c r="C131" s="215"/>
      <c r="D131" s="215"/>
      <c r="E131" s="216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4" t="s">
        <v>82</v>
      </c>
      <c r="B132" s="215" t="s">
        <v>83</v>
      </c>
      <c r="C132" s="215"/>
      <c r="D132" s="215" t="s">
        <v>85</v>
      </c>
      <c r="E132" s="216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8" t="n">
        <f aca="false">A158</f>
        <v>12</v>
      </c>
      <c r="B133" s="229" t="n">
        <f aca="false">B157</f>
        <v>5000</v>
      </c>
      <c r="C133" s="230"/>
      <c r="D133" s="229" t="n">
        <f aca="false">B64</f>
        <v>11</v>
      </c>
      <c r="E133" s="216"/>
      <c r="F133" s="63"/>
      <c r="G133" s="228" t="n">
        <f aca="false">G158</f>
        <v>12</v>
      </c>
      <c r="H133" s="229" t="n">
        <f aca="false">B157</f>
        <v>5000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5000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4"/>
      <c r="B134" s="215"/>
      <c r="C134" s="215"/>
      <c r="D134" s="215"/>
      <c r="E134" s="216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7" t="s">
        <v>344</v>
      </c>
      <c r="B135" s="328" t="s">
        <v>251</v>
      </c>
      <c r="C135" s="328"/>
      <c r="D135" s="328" t="s">
        <v>119</v>
      </c>
      <c r="E135" s="216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251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3" t="n">
        <f aca="false">B96</f>
        <v>470.208446603645</v>
      </c>
      <c r="B136" s="177" t="n">
        <f aca="false">IF(A111="YES", B95*B63, 0)</f>
        <v>375.652173913043</v>
      </c>
      <c r="C136" s="177"/>
      <c r="D136" s="177" t="n">
        <f aca="false">B97</f>
        <v>501.512794429732</v>
      </c>
      <c r="E136" s="216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4"/>
      <c r="B137" s="215"/>
      <c r="C137" s="215"/>
      <c r="D137" s="215"/>
      <c r="E137" s="216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4" t="s">
        <v>345</v>
      </c>
      <c r="B138" s="215" t="s">
        <v>240</v>
      </c>
      <c r="C138" s="215"/>
      <c r="D138" s="215" t="s">
        <v>244</v>
      </c>
      <c r="E138" s="216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240</v>
      </c>
      <c r="O138" s="215"/>
      <c r="P138" s="215" t="s">
        <v>244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5" t="n">
        <f aca="false">B96*B63</f>
        <v>5642.50135924373</v>
      </c>
      <c r="B139" s="103" t="n">
        <f aca="false">IF(A111="YES", B95*B63, 0)</f>
        <v>375.652173913043</v>
      </c>
      <c r="C139" s="221"/>
      <c r="D139" s="184" t="n">
        <f aca="false">B97*B63</f>
        <v>6018.15353315678</v>
      </c>
      <c r="E139" s="216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4"/>
      <c r="B140" s="215"/>
      <c r="C140" s="215"/>
      <c r="D140" s="215"/>
      <c r="E140" s="216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4" t="s">
        <v>253</v>
      </c>
      <c r="B141" s="215" t="s">
        <v>254</v>
      </c>
      <c r="C141" s="215"/>
      <c r="D141" s="215" t="s">
        <v>258</v>
      </c>
      <c r="E141" s="216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253</v>
      </c>
      <c r="N141" s="215" t="s">
        <v>254</v>
      </c>
      <c r="O141" s="215"/>
      <c r="P141" s="215" t="s">
        <v>258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11" t="n">
        <f aca="false">E15*0.000006</f>
        <v>0.35115</v>
      </c>
      <c r="B142" s="103" t="n">
        <f aca="false">IF(A111="YES", E15*0.000002, 0)</f>
        <v>0.11705</v>
      </c>
      <c r="C142" s="103"/>
      <c r="D142" s="103" t="n">
        <f aca="false">A142+B142</f>
        <v>0.4682</v>
      </c>
      <c r="E142" s="105"/>
      <c r="F142" s="63"/>
      <c r="G142" s="111" t="n">
        <f aca="false">E15*0.000006</f>
        <v>0.35115</v>
      </c>
      <c r="H142" s="103" t="n">
        <f aca="false">IF(G111="YES", E15*0.000002, 0)</f>
        <v>0.11705</v>
      </c>
      <c r="I142" s="103"/>
      <c r="J142" s="103" t="n">
        <f aca="false">G142+H142</f>
        <v>0.4682</v>
      </c>
      <c r="K142" s="105"/>
      <c r="L142" s="63"/>
      <c r="M142" s="111" t="n">
        <f aca="false">E15*0.000006</f>
        <v>0.35115</v>
      </c>
      <c r="N142" s="103" t="n">
        <f aca="false">IF(M111="YES", E15*0.000002, 0)</f>
        <v>0.11705</v>
      </c>
      <c r="O142" s="103"/>
      <c r="P142" s="103" t="n">
        <f aca="false">M142+N142</f>
        <v>0.4682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4"/>
      <c r="B143" s="215"/>
      <c r="C143" s="215"/>
      <c r="D143" s="215"/>
      <c r="E143" s="216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4" t="s">
        <v>139</v>
      </c>
      <c r="B144" s="215" t="s">
        <v>312</v>
      </c>
      <c r="C144" s="215"/>
      <c r="D144" s="215" t="s">
        <v>313</v>
      </c>
      <c r="E144" s="216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11" t="n">
        <f aca="false">A108</f>
        <v>199.99</v>
      </c>
      <c r="B145" s="103" t="n">
        <f aca="false">B73/1.2</f>
        <v>482.375</v>
      </c>
      <c r="C145" s="103"/>
      <c r="D145" s="103" t="n">
        <f aca="false">B108*0.9</f>
        <v>0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4"/>
      <c r="B146" s="215"/>
      <c r="C146" s="215"/>
      <c r="D146" s="215"/>
      <c r="E146" s="216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4" t="s">
        <v>315</v>
      </c>
      <c r="B147" s="215" t="s">
        <v>316</v>
      </c>
      <c r="C147" s="215"/>
      <c r="D147" s="215" t="s">
        <v>317</v>
      </c>
      <c r="E147" s="216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IF(A111="YES", ((A41*B111)*0.1)*(A133), 0)</f>
        <v>12</v>
      </c>
      <c r="B148" s="103" t="n">
        <f aca="false">A108-100</f>
        <v>99.99</v>
      </c>
      <c r="C148" s="103"/>
      <c r="D148" s="103" t="n">
        <f aca="false">(B145+D145+A148+B148)-B151</f>
        <v>594.365</v>
      </c>
      <c r="E148" s="105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4"/>
      <c r="B149" s="215"/>
      <c r="C149" s="215"/>
      <c r="D149" s="215"/>
      <c r="E149" s="216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4" t="s">
        <v>319</v>
      </c>
      <c r="B150" s="215" t="s">
        <v>320</v>
      </c>
      <c r="C150" s="215"/>
      <c r="D150" s="215"/>
      <c r="E150" s="216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v>0</v>
      </c>
      <c r="B151" s="103" t="n">
        <f aca="false">(B145+D145+A148+B148)*(A151/B70)</f>
        <v>0</v>
      </c>
      <c r="C151" s="215"/>
      <c r="D151" s="215"/>
      <c r="E151" s="216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4"/>
      <c r="B152" s="215"/>
      <c r="C152" s="215"/>
      <c r="D152" s="215"/>
      <c r="E152" s="216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4"/>
      <c r="B153" s="215"/>
      <c r="C153" s="215"/>
      <c r="D153" s="215"/>
      <c r="E153" s="216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1" t="s">
        <v>325</v>
      </c>
      <c r="B154" s="215"/>
      <c r="C154" s="215"/>
      <c r="D154" s="282"/>
      <c r="E154" s="283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4"/>
      <c r="B155" s="249"/>
      <c r="C155" s="249"/>
      <c r="D155" s="215"/>
      <c r="E155" s="216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50" t="s">
        <v>82</v>
      </c>
      <c r="B156" s="251" t="s">
        <v>83</v>
      </c>
      <c r="C156" s="251"/>
      <c r="D156" s="215"/>
      <c r="E156" s="216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50"/>
      <c r="B157" s="252" t="n">
        <f aca="false">B57</f>
        <v>5000</v>
      </c>
      <c r="C157" s="252"/>
      <c r="D157" s="215"/>
      <c r="E157" s="216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4" t="n">
        <f aca="false">A58</f>
        <v>12</v>
      </c>
      <c r="B158" s="74" t="n">
        <f aca="false">B97</f>
        <v>501.512794429732</v>
      </c>
      <c r="C158" s="74"/>
      <c r="D158" s="215"/>
      <c r="E158" s="216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4"/>
      <c r="B159" s="215"/>
      <c r="C159" s="215"/>
      <c r="D159" s="215"/>
      <c r="E159" s="216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4"/>
      <c r="B160" s="215"/>
      <c r="C160" s="215"/>
      <c r="D160" s="215"/>
      <c r="E160" s="216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4"/>
      <c r="B161" s="215"/>
      <c r="C161" s="215"/>
      <c r="D161" s="215"/>
      <c r="E161" s="216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4"/>
      <c r="B162" s="215"/>
      <c r="C162" s="215"/>
      <c r="D162" s="215"/>
      <c r="E162" s="216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5"/>
      <c r="B163" s="286"/>
      <c r="C163" s="286"/>
      <c r="D163" s="286"/>
      <c r="E163" s="287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19575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11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19575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19575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20270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4054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24664</v>
      </c>
      <c r="F15" s="63"/>
      <c r="G15" s="274" t="n">
        <f aca="false">E15</f>
        <v>24664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24324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24664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238</v>
      </c>
      <c r="B29" s="223" t="n">
        <v>12345</v>
      </c>
      <c r="C29" s="223"/>
      <c r="D29" s="224" t="n">
        <f aca="true">TODAY()+1</f>
        <v>45196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242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251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n">
        <f aca="false">IF(B38="YES", D38+A41, D38)</f>
        <v>500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253</v>
      </c>
      <c r="B43" s="240" t="s">
        <v>254</v>
      </c>
      <c r="C43" s="230"/>
      <c r="D43" s="240" t="s">
        <v>258</v>
      </c>
      <c r="E43" s="243"/>
      <c r="F43" s="63"/>
      <c r="G43" s="63" t="s">
        <v>255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0</v>
      </c>
      <c r="C44" s="104"/>
      <c r="D44" s="279" t="n">
        <f aca="false">A44+B44</f>
        <v>1</v>
      </c>
      <c r="E44" s="279"/>
      <c r="F44" s="63"/>
      <c r="G44" s="63" t="s">
        <v>256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261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24324</v>
      </c>
      <c r="C61" s="215"/>
      <c r="D61" s="215"/>
      <c r="E61" s="216"/>
      <c r="F61" s="63"/>
      <c r="G61" s="214" t="s">
        <v>14</v>
      </c>
      <c r="H61" s="291" t="n">
        <f aca="false">G18</f>
        <v>24324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1702.68</v>
      </c>
      <c r="C64" s="215" t="n">
        <v>10000</v>
      </c>
      <c r="D64" s="291" t="n">
        <f aca="false">B64</f>
        <v>1702.68</v>
      </c>
      <c r="E64" s="216"/>
      <c r="F64" s="63"/>
      <c r="G64" s="285" t="s">
        <v>90</v>
      </c>
      <c r="H64" s="133" t="n">
        <f aca="false">H61*H63</f>
        <v>1702.68</v>
      </c>
      <c r="I64" s="215"/>
      <c r="J64" s="291" t="n">
        <f aca="false">H64</f>
        <v>1702.68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243.24</v>
      </c>
      <c r="C67" s="215"/>
      <c r="D67" s="291"/>
      <c r="E67" s="216"/>
      <c r="F67" s="63"/>
      <c r="G67" s="285" t="s">
        <v>93</v>
      </c>
      <c r="H67" s="133" t="n">
        <f aca="false">H61*H66</f>
        <v>121.62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 t="n">
        <f aca="false">IF(G18&gt;40000, 325, 0)</f>
        <v>0</v>
      </c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3029.34666666667</v>
      </c>
      <c r="C81" s="215"/>
      <c r="D81" s="215"/>
      <c r="E81" s="216"/>
      <c r="F81" s="63"/>
      <c r="G81" s="303" t="s">
        <v>102</v>
      </c>
      <c r="H81" s="304" t="n">
        <f aca="false">SUM(J64:J80)</f>
        <v>3329.18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252.445555555556</v>
      </c>
      <c r="C82" s="215"/>
      <c r="D82" s="215"/>
      <c r="E82" s="216"/>
      <c r="F82" s="63"/>
      <c r="G82" s="214" t="s">
        <v>103</v>
      </c>
      <c r="H82" s="300" t="n">
        <f aca="false">H81/H29</f>
        <v>277.431666666667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10849.616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11209.416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76.5906736587334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79.1306091165793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10926.2066736587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11188.5566091166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910.517222804894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932.379717426382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910.517222804894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932.379717426382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262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263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264</v>
      </c>
      <c r="AA104" s="63"/>
    </row>
    <row r="105" customFormat="false" ht="18.75" hidden="false" customHeight="true" outlineLevel="0" collapsed="false">
      <c r="A105" s="222" t="s">
        <v>19</v>
      </c>
      <c r="B105" s="312" t="n">
        <v>0</v>
      </c>
      <c r="C105" s="312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265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910.517222804894</v>
      </c>
      <c r="B128" s="321" t="n">
        <f aca="false">IF(A105="YES", B89, 0)</f>
        <v>0</v>
      </c>
      <c r="C128" s="326"/>
      <c r="D128" s="321" t="n">
        <f aca="false">B91</f>
        <v>910.517222804894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932.379717426382</v>
      </c>
      <c r="H130" s="177" t="n">
        <f aca="false">IF(G105="YES", H89*H57, 0)</f>
        <v>0</v>
      </c>
      <c r="I130" s="177"/>
      <c r="J130" s="334" t="n">
        <f aca="false">H91</f>
        <v>932.379717426382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910.517222804894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932.379717426382</v>
      </c>
      <c r="H133" s="103" t="n">
        <f aca="false">IF(G105="YES", H89*H57, 0)</f>
        <v>0</v>
      </c>
      <c r="I133" s="221"/>
      <c r="J133" s="184" t="n">
        <f aca="false">H91*H57</f>
        <v>932.379717426382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910.517222804894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0.147984</v>
      </c>
      <c r="H136" s="103" t="n">
        <f aca="false">IF(G105="YES", E15*0.000002, 0)</f>
        <v>0.049328</v>
      </c>
      <c r="I136" s="103"/>
      <c r="J136" s="103" t="n">
        <f aca="false">G136+H136</f>
        <v>0.197312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910.517222804894</v>
      </c>
      <c r="B137" s="38" t="n">
        <f aca="false">IF(A105="YES", B89, 0)</f>
        <v>0</v>
      </c>
      <c r="C137" s="317"/>
      <c r="D137" s="38" t="n">
        <f aca="false">B91</f>
        <v>910.517222804894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121.62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17.51328</v>
      </c>
      <c r="B140" s="343" t="n">
        <f aca="false">G18*0.000002 *1.2*100</f>
        <v>5.83776</v>
      </c>
      <c r="C140" s="317"/>
      <c r="D140" s="343" t="n">
        <f aca="false">A140+B140</f>
        <v>23.35104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1341.608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243.24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743.23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932.379717426382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910.517222804894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910.517222804894</v>
      </c>
      <c r="B171" s="355" t="n">
        <f aca="false">IF(A105="YES", B89, 0)</f>
        <v>0</v>
      </c>
      <c r="C171" s="358"/>
      <c r="D171" s="355" t="n">
        <f aca="false">B91</f>
        <v>910.517222804894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910.517222804894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910.517222804894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910.517222804894</v>
      </c>
      <c r="B180" s="103" t="n">
        <f aca="false">IF(A105="YES", B89, 0)</f>
        <v>0</v>
      </c>
      <c r="C180" s="353"/>
      <c r="D180" s="103" t="n">
        <f aca="false">B91</f>
        <v>910.517222804894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17.51328</v>
      </c>
      <c r="B183" s="365" t="n">
        <f aca="false">G18*0.000002 *1.2*100</f>
        <v>5.83776</v>
      </c>
      <c r="C183" s="353"/>
      <c r="D183" s="365" t="n">
        <f aca="false">A183+B183</f>
        <v>23.35104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243.24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743.23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1702.68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243.24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1799.43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1702.68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243.24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1799.43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76.5906736587334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96" colorId="64" zoomScale="85" zoomScaleNormal="85" zoomScalePageLayoutView="100" workbookViewId="0">
      <selection pane="topLeft" activeCell="B204" activeCellId="0" sqref="B20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238</v>
      </c>
      <c r="B29" s="223" t="n">
        <v>12345</v>
      </c>
      <c r="C29" s="223"/>
      <c r="D29" s="224" t="n">
        <f aca="true">TODAY()+1</f>
        <v>45196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242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251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n">
        <f aca="false">IF(B38="YES", D38+A41, D38)</f>
        <v>500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253</v>
      </c>
      <c r="B43" s="240" t="s">
        <v>254</v>
      </c>
      <c r="C43" s="230"/>
      <c r="D43" s="240" t="s">
        <v>258</v>
      </c>
      <c r="E43" s="243"/>
      <c r="F43" s="63"/>
      <c r="G43" s="63" t="s">
        <v>255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0</v>
      </c>
      <c r="C44" s="104"/>
      <c r="D44" s="279" t="n">
        <f aca="false">A44+B44</f>
        <v>1</v>
      </c>
      <c r="E44" s="279"/>
      <c r="F44" s="63"/>
      <c r="G44" s="63" t="s">
        <v>256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261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4051.95</v>
      </c>
      <c r="C64" s="215" t="n">
        <v>10000</v>
      </c>
      <c r="D64" s="291" t="n">
        <f aca="false">B64</f>
        <v>4051.95</v>
      </c>
      <c r="E64" s="216"/>
      <c r="F64" s="63"/>
      <c r="G64" s="285" t="s">
        <v>90</v>
      </c>
      <c r="H64" s="133" t="n">
        <f aca="false">H61*H63</f>
        <v>4051.95</v>
      </c>
      <c r="I64" s="215"/>
      <c r="J64" s="291" t="n">
        <f aca="false">H64</f>
        <v>4051.95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578.85</v>
      </c>
      <c r="C67" s="215"/>
      <c r="D67" s="291"/>
      <c r="E67" s="216"/>
      <c r="F67" s="63"/>
      <c r="G67" s="285" t="s">
        <v>93</v>
      </c>
      <c r="H67" s="133" t="n">
        <f aca="false">H61*H66</f>
        <v>289.425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5378.61666666667</v>
      </c>
      <c r="C81" s="215"/>
      <c r="D81" s="215"/>
      <c r="E81" s="216"/>
      <c r="F81" s="63"/>
      <c r="G81" s="303" t="s">
        <v>102</v>
      </c>
      <c r="H81" s="304" t="n">
        <f aca="false">SUM(J64:J80)</f>
        <v>5705.53333333333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448.218055555556</v>
      </c>
      <c r="C82" s="215"/>
      <c r="D82" s="215"/>
      <c r="E82" s="216"/>
      <c r="F82" s="63"/>
      <c r="G82" s="214" t="s">
        <v>103</v>
      </c>
      <c r="H82" s="300" t="n">
        <f aca="false">H81/H29</f>
        <v>475.461111111111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11390.6166666667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14061.04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96.4917103670835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99.2610730133118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11487.1083770338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14060.3110730133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957.259031419479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1171.69258941778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957.259031419479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1171.69258941778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262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263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264</v>
      </c>
      <c r="AA104" s="63"/>
    </row>
    <row r="105" customFormat="false" ht="18.75" hidden="false" customHeight="true" outlineLevel="0" collapsed="false">
      <c r="A105" s="222" t="s">
        <v>19</v>
      </c>
      <c r="B105" s="312" t="n">
        <v>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265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957.259031419479</v>
      </c>
      <c r="B128" s="321" t="n">
        <f aca="false">IF(A105="YES", B89, 0)</f>
        <v>0</v>
      </c>
      <c r="C128" s="326"/>
      <c r="D128" s="321" t="n">
        <f aca="false">B91</f>
        <v>957.259031419479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1171.69258941778</v>
      </c>
      <c r="H130" s="177" t="n">
        <f aca="false">IF(G105="YES", H89*H57, 0)</f>
        <v>0</v>
      </c>
      <c r="I130" s="177"/>
      <c r="J130" s="334" t="n">
        <f aca="false">H91</f>
        <v>1171.69258941778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8615.33128277531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1171.69258941778</v>
      </c>
      <c r="H133" s="103" t="n">
        <f aca="false">IF(G105="YES", H89*H57, 0)</f>
        <v>0</v>
      </c>
      <c r="I133" s="221"/>
      <c r="J133" s="184" t="n">
        <f aca="false">H91*H57</f>
        <v>1171.69258941778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8615.33128277531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957.259031419479</v>
      </c>
      <c r="B137" s="38" t="n">
        <f aca="false">IF(A105="YES", B89, 0)</f>
        <v>0</v>
      </c>
      <c r="C137" s="317"/>
      <c r="D137" s="38" t="n">
        <f aca="false">B91</f>
        <v>957.259031419479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289.425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G18*0.000002 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1509.413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578.85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1078.84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1171.69258941778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957.259031419479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957.259031419479</v>
      </c>
      <c r="B171" s="355" t="n">
        <f aca="false">IF(A105="YES", B89, 0)</f>
        <v>0</v>
      </c>
      <c r="C171" s="358"/>
      <c r="D171" s="355" t="n">
        <f aca="false">B91</f>
        <v>957.259031419479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8615.33128277531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8615.33128277531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957.259031419479</v>
      </c>
      <c r="B180" s="103" t="n">
        <f aca="false">IF(A105="YES", B89, 0)</f>
        <v>0</v>
      </c>
      <c r="C180" s="353"/>
      <c r="D180" s="103" t="n">
        <f aca="false">B91</f>
        <v>957.259031419479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41.6772</v>
      </c>
      <c r="B183" s="365" t="n">
        <f aca="false">G18*0.000002 *1.2*100</f>
        <v>13.8924</v>
      </c>
      <c r="C183" s="353"/>
      <c r="D183" s="365" t="n">
        <f aca="false">A183+B183</f>
        <v>55.5696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578.85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1078.84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4051.95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578.85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3813.09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4051.95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578.85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3813.09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96.4917103670835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4948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2023-09-26T11:57:39Z</dcterms:modified>
  <cp:revision>881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