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<sst xmlns="http://schemas.openxmlformats.org/spreadsheetml/2006/main" count="32306" uniqueCount="396">
  <si>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</si>
  <si>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</si>
  <si>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</si>
  <si>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</si>
  <si>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</si>
  <si>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</si>
  <si>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</si>
  <si>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</si>
  <si>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</si>
  <si>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</si>
  <si>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</si>
  <si>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</si>
  <si>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</si>
  <si>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</si>
  <si>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</si>
  <si>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</si>
  <si>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</si>
  <si>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</si>
  <si>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</si>
  <si>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</si>
  <si>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</si>
  <si>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</si>
  <si>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</si>
  <si>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</si>
  <si>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</si>
  <si>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</si>
  <si>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</si>
  <si>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</si>
  <si>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</si>
  <si>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</si>
  <si>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</si>
  <si>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</si>
  <si>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</si>
  <si>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</si>
  <si>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</si>
  <si>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</si>
  <si>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</si>
  <si>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</si>
  <si>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</si>
  <si>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</si>
  <si>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</si>
  <si>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</si>
  <si>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</si>
  <si>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</si>
  <si>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</si>
  <si>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</si>
  <si>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</si>
  <si>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</si>
  <si>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</si>
  <si>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</si>
  <si>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</si>
  <si>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</si>
  <si>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</si>
  <si>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</si>
  <si>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</si>
  <si>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</si>
  <si>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</si>
  <si>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</si>
  <si>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</si>
  <si>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</si>
  <si>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</si>
  <si>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</si>
  <si>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</si>
  <si>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</si>
  <si>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</si>
  <si>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</si>
  <si>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</si>
  <si>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</si>
  <si>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</si>
  <si>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</si>
  <si>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</si>
  <si>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</si>
  <si>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</si>
  <si>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</si>
  <si>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</si>
  <si>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</si>
  <si>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</si>
  <si>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</si>
  <si>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</si>
  <si>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108.00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</si>
  <si>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</si>
  <si>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</si>
  <si>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</si>
  <si>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</si>
  <si>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</si>
  <si>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</si>
  <si>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</si>
  <si>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</si>
  <si>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</si>
  <si>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</si>
  <si>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</si>
  <si>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</si>
  <si>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</si>
  <si>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</si>
  <si>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</si>
  <si>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</si>
  <si>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</si>
  <si>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</si>
  <si>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</si>
  <si>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</si>
  <si>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</si>
  <si>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</si>
  <si>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</si>
  <si>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</si>
  <si>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</si>
  <si>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</si>
  <si>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</si>
  <si>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</si>
  <si>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</si>
  <si>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</si>
  <si>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</si>
  <si>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</si>
  <si>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</si>
  <si>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</si>
  <si>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</si>
  <si>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</si>
  <si>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</si>
  <si>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</si>
  <si>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</si>
  <si>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</si>
  <si>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</si>
  <si>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</si>
  <si>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</si>
  <si>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</si>
  <si>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</si>
  <si>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</si>
  <si>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</si>
  <si>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</si>
  <si>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</si>
  <si>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</si>
  <si>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</si>
  <si>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</si>
  <si>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</si>
  <si>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</si>
  <si>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</si>
  <si>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</si>
  <si>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</si>
  <si>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</si>
  <si>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</si>
  <si>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</si>
  <si>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</si>
  <si>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</si>
  <si>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</si>
  <si>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</si>
  <si>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</si>
  <si>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</si>
  <si>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</si>
  <si>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</si>
  <si>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</si>
  <si>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</si>
  <si>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</si>
  <si>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</si>
  <si>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</si>
  <si>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</si>
  <si>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</si>
  <si>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</si>
  <si>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</si>
  <si>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</si>
  <si>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</si>
  <si>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</si>
  <si>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</si>
  <si>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</si>
  <si>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</si>
  <si>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</si>
  <si>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</si>
  <si>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</si>
  <si>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</si>
  <si>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</si>
  <si>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</si>
  <si>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</si>
  <si>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</si>
  <si>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</si>
  <si>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</si>
  <si>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</si>
  <si>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</si>
  <si>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</si>
  <si>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</si>
  <si>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</si>
  <si>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</si>
  <si>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</si>
  <si>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</si>
  <si>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</si>
  <si>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</si>
  <si>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</si>
  <si>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</si>
  <si>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</si>
  <si>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</si>
  <si>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</si>
  <si>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</si>
  <si>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</si>
  <si>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</si>
  <si>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</si>
  <si>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</si>
  <si>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</si>
  <si>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</si>
  <si>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</si>
  <si>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</si>
  <si>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</si>
  <si>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</si>
  <si>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</si>
  <si>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</si>
  <si>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</si>
  <si>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</si>
  <si>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</si>
  <si>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</si>
  <si>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</si>
  <si>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</si>
  <si>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</si>
  <si>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</si>
  <si>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</si>
  <si>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</si>
  <si>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</si>
  <si>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</si>
  <si>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</si>
  <si>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</si>
  <si>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</si>
  <si>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</si>
  <si>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</si>
  <si>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</si>
  <si>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</si>
  <si>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</si>
  <si>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</si>
  <si>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</si>
  <si>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</si>
  <si>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</si>
  <si>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</si>
  <si>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</si>
  <si>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</si>
  <si>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</si>
  <si>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</si>
  <si>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</si>
  <si>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</si>
  <si>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</si>
  <si>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50</t>
  </si>
  <si>
    <t xml:space="preserve">162.00</t>
  </si>
  <si>
    <t xml:space="preserve">Limited Credit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</si>
  <si>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</si>
  <si>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</si>
  <si>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</si>
  <si>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</si>
  <si>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</si>
  <si>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</si>
  <si>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</si>
  <si>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</si>
  <si>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</si>
  <si>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19458.33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</si>
  <si>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</si>
  <si>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</si>
  <si>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</si>
  <si>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</si>
  <si>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</si>
  <si>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</si>
  <si>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</si>
  <si>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</si>
  <si>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</si>
  <si>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</si>
  <si>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</si>
  <si>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</si>
  <si>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</si>
  <si>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</si>
  <si>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</si>
  <si>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</si>
  <si>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</si>
  <si>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</si>
  <si>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</si>
  <si>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</si>
  <si>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</si>
  <si>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</si>
  <si>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</si>
  <si>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</si>
  <si>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</si>
  <si>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</si>
  <si>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</si>
  <si>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</si>
  <si>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</si>
  <si>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</si>
  <si>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</si>
  <si>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</si>
  <si>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</si>
  <si>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</si>
  <si>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</si>
  <si>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</si>
  <si>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</si>
  <si>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</si>
  <si>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</si>
  <si>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</si>
  <si>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</si>
  <si>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</si>
  <si>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 Terminal pause with 9 down </t>
  </si>
  <si>
    <t xml:space="preserve">Document fee (Inc. VAT)</t>
  </si>
  <si>
    <t xml:space="preserve">Upsell (Ex. VAT)</t>
  </si>
  <si>
    <t xml:space="preserve">Referral commission (Ex. VAT)</t>
  </si>
  <si>
    <t xml:space="preserve">200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</si>
  <si>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</si>
  <si>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</si>
  <si>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</si>
  <si>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</si>
  <si>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</si>
  <si>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</si>
  <si>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</si>
  <si>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</si>
  <si>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</si>
  <si>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</si>
  <si>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</si>
  <si>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</si>
  <si>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</si>
  <si>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</si>
  <si>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</si>
  <si>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</si>
  <si>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</si>
  <si>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</si>
  <si>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</si>
  <si>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</si>
  <si>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</si>
  <si>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</si>
  <si>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</si>
  <si>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</si>
  <si>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</si>
  <si>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</si>
  <si>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</si>
  <si>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</si>
  <si>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</si>
  <si>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</si>
  <si>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</si>
  <si>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</si>
  <si>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</si>
  <si>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</si>
  <si>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</si>
  <si>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</si>
  <si>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</si>
  <si>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</si>
  <si>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</si>
  <si>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</si>
  <si>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</si>
  <si>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</si>
  <si>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</si>
  <si>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</si>
  <si>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</si>
  <si>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</si>
  <si>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</si>
  <si>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</si>
  <si>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</si>
  <si>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</si>
  <si>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</si>
  <si>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</si>
  <si>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</si>
  <si>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</si>
  <si>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</si>
  <si>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</si>
  <si>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0</t>
  </si>
  <si>
    <t xml:space="preserve">1</t>
  </si>
  <si>
    <t xml:space="preserve">Customer Quote – Finance Lease</t>
  </si>
  <si>
    <t xml:space="preserve">13.50</t>
  </si>
  <si>
    <t xml:space="preserve">8.92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</si>
  <si>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</si>
  <si>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</si>
  <si>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</si>
  <si>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</si>
  <si>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</si>
  <si>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</si>
  <si>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</si>
  <si>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</si>
  <si>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</si>
  <si>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</si>
  <si>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</si>
  <si>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</si>
  <si>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</si>
  <si>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</si>
  <si>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</si>
  <si>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</si>
  <si>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</si>
  <si>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</si>
  <si>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</si>
  <si>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</si>
  <si>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</si>
  <si>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</si>
  <si>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</si>
  <si>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</si>
  <si>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</si>
  <si>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</si>
  <si>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20958.33</t>
  </si>
  <si>
    <t xml:space="preserve">OTR Calculation</t>
  </si>
  <si>
    <t xml:space="preserve">296.00</t>
  </si>
  <si>
    <t xml:space="preserve">17780.00</t>
  </si>
  <si>
    <t xml:space="preserve">60</t>
  </si>
  <si>
    <t xml:space="preserve">2</t>
  </si>
  <si>
    <t xml:space="preserve">RFL included?</t>
  </si>
  <si>
    <t>NO</t>
  </si>
  <si>
    <t>200</t>
  </si>
  <si>
    <t xml:space="preserve"> Terminal pause with 6 down </t>
  </si>
  <si>
    <t>YES</t>
  </si>
  <si>
    <t>0</t>
  </si>
  <si>
    <t>100</t>
  </si>
  <si>
    <t>50</t>
  </si>
  <si>
    <t>A1 Credit</t>
  </si>
  <si>
    <t>199.99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</si>
</sst>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H149" activeCellId="0" sqref="H149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19000</v>
      </c>
      <c r="C2" s="4" t="s">
        <v>2</v>
      </c>
      <c r="D2" s="5" t="n">
        <f aca="false">C9</f>
        <v>3800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22800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19000</v>
      </c>
      <c r="C9" s="14" t="n">
        <f aca="false">B9*0.2</f>
        <v>3800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19000</v>
      </c>
      <c r="C15" s="14" t="n">
        <f aca="false">SUM(C9:C13)</f>
        <v>3800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22800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19000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19000</v>
      </c>
      <c r="B37" s="32"/>
      <c r="C37" s="41" t="s">
        <v>45</v>
      </c>
      <c r="D37" s="41"/>
      <c r="E37" s="32"/>
      <c r="F37" s="43" t="n">
        <f aca="false">A37-C37</f>
        <v>18000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3800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233.333333333333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266.666666666667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269.333333333333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269.333333333333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79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269.333333333333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12376.4536557787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269.333333333333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269.333333333333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269.333333333333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18000</v>
      </c>
      <c r="C90" s="32"/>
      <c r="D90" s="32"/>
      <c r="E90" s="23"/>
      <c r="F90" s="25" t="s">
        <v>105</v>
      </c>
      <c r="G90" s="27" t="n">
        <f aca="false">F37</f>
        <v>18000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6354.94179987962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11645.0582001204</v>
      </c>
      <c r="C97" s="32"/>
      <c r="D97" s="32"/>
      <c r="E97" s="23"/>
      <c r="F97" s="31" t="s">
        <v>112</v>
      </c>
      <c r="G97" s="33" t="n">
        <f aca="false">G90-G95</f>
        <v>11251.930698559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1126.22305961624</v>
      </c>
      <c r="C98" s="32"/>
      <c r="D98" s="32"/>
      <c r="E98" s="23"/>
      <c r="F98" s="31" t="s">
        <v>113</v>
      </c>
      <c r="G98" s="33" t="n">
        <f aca="false">(G97/G96)</f>
        <v>1056.4464263313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12388.4536557787</v>
      </c>
      <c r="C99" s="32"/>
      <c r="D99" s="32"/>
      <c r="E99" s="23"/>
      <c r="F99" s="31" t="s">
        <v>114</v>
      </c>
      <c r="G99" s="33" t="n">
        <f aca="false">((G98*(G94))+G86)</f>
        <v>11620.9106896443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12388.4536557787</v>
      </c>
      <c r="C101" s="32"/>
      <c r="D101" s="32"/>
      <c r="E101" s="23"/>
      <c r="F101" s="56" t="s">
        <v>116</v>
      </c>
      <c r="G101" s="65" t="n">
        <f aca="false">(G99+G100)</f>
        <v>11620.9106896443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1126.22305961624</v>
      </c>
      <c r="C104" s="32"/>
      <c r="D104" s="32"/>
      <c r="E104" s="23"/>
      <c r="F104" s="95" t="s">
        <v>118</v>
      </c>
      <c r="G104" s="96" t="n">
        <f aca="false">G101/(G94)</f>
        <v>1056.4464263313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1126.22305961624</v>
      </c>
      <c r="C105" s="32"/>
      <c r="D105" s="32"/>
      <c r="E105" s="23" t="s">
        <v>19</v>
      </c>
      <c r="F105" s="97" t="s">
        <v>119</v>
      </c>
      <c r="G105" s="98" t="n">
        <f aca="false">G103+G104</f>
        <v>1056.4464263313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22800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22800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22800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22800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22800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19000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3800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22800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22800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2041.67</v>
      </c>
      <c r="I157" s="1" t="n">
        <f aca="false">(H157-G90)/1.2</f>
        <v>-13298.6083333333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1126.22305961624</v>
      </c>
      <c r="B176" s="177" t="n">
        <f aca="false">B103</f>
        <v>0</v>
      </c>
      <c r="C176" s="174"/>
      <c r="D176" s="174"/>
      <c r="E176" s="177" t="n">
        <f aca="false">B105</f>
        <v>1126.22305961624</v>
      </c>
      <c r="F176" s="23"/>
      <c r="G176" s="23" t="n">
        <f aca="false">ROUND(G104, 2)</f>
        <v>1056.45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-6861.55034422132</v>
      </c>
      <c r="B191" s="103" t="str">
        <f aca="false">B123</f>
        <v>239.99</v>
      </c>
      <c r="C191" s="103"/>
      <c r="D191" s="23"/>
      <c r="E191" s="103" t="n">
        <f aca="false">E188+A191+B191+A194</f>
        <v>18638.4436557787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205.200016666667</v>
      </c>
      <c r="C200" s="93"/>
      <c r="D200" s="93"/>
      <c r="E200" s="103" t="n">
        <f aca="false">H157</f>
        <v>2041.67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1126.22305961624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-7629.054</v>
      </c>
      <c r="B210" s="186" t="n">
        <f aca="false">E188+A210+B191+A194</f>
        <v>17870.94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1126.22305961624</v>
      </c>
      <c r="B221" s="177" t="n">
        <f aca="false">B176</f>
        <v>0</v>
      </c>
      <c r="C221" s="174"/>
      <c r="D221" s="174"/>
      <c r="E221" s="177" t="n">
        <f aca="false">E176</f>
        <v>1126.22305961624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-6861.55034422132</v>
      </c>
      <c r="B233" s="103" t="str">
        <f aca="false">B191</f>
        <v>239.99</v>
      </c>
      <c r="C233" s="103"/>
      <c r="D233" s="113"/>
      <c r="E233" s="103" t="n">
        <f aca="false">E191</f>
        <v>18638.4436557787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1126.22305961624</v>
      </c>
      <c r="B239" s="103" t="n">
        <f aca="false">B176</f>
        <v>0</v>
      </c>
      <c r="C239" s="186"/>
      <c r="D239" s="186"/>
      <c r="E239" s="103" t="n">
        <f aca="false">E176</f>
        <v>1126.22305961624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2041.67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2246.87001666666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777.503655778677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751.245302445344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(B98*B68)-(C98*B68)</f>
        <v>12388.4536557787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751.245302445344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48" activeCellId="0" sqref="H14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19083.33</v>
      </c>
      <c r="B37" s="32"/>
      <c r="C37" s="41" t="s">
        <v>45</v>
      </c>
      <c r="D37" s="41"/>
      <c r="E37" s="32"/>
      <c r="F37" s="43" t="n">
        <f aca="false">A37-C37</f>
        <v>18083.33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3816.666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234.722166666667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315.277833333333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317.9445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267.9445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234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317.9445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12331.1999445488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126.25002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317.9445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317.9445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317.9445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18083.33</v>
      </c>
      <c r="C90" s="32"/>
      <c r="D90" s="32"/>
      <c r="E90" s="23"/>
      <c r="F90" s="25" t="s">
        <v>105</v>
      </c>
      <c r="G90" s="27" t="n">
        <f aca="false">F37</f>
        <v>18083.33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6421.35126042292</v>
      </c>
      <c r="C95" s="32"/>
      <c r="D95" s="32"/>
      <c r="E95" s="23"/>
      <c r="F95" s="31" t="s">
        <v>110</v>
      </c>
      <c r="G95" s="33" t="n">
        <f aca="false">(G91/((1+G93)^(G94+1)))</f>
        <v>6748.06930144099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10.3929099999715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11661.9787395771</v>
      </c>
      <c r="C97" s="32"/>
      <c r="D97" s="32"/>
      <c r="E97" s="23"/>
      <c r="F97" s="31" t="s">
        <v>112</v>
      </c>
      <c r="G97" s="33" t="n">
        <f aca="false">G90-G95</f>
        <v>11335.260698559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1122.10908586807</v>
      </c>
      <c r="C98" s="32"/>
      <c r="D98" s="32"/>
      <c r="E98" s="23"/>
      <c r="F98" s="31" t="s">
        <v>113</v>
      </c>
      <c r="G98" s="33" t="n">
        <f aca="false">(G97/G96)</f>
        <v>1064.27029967932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12343.1999445488</v>
      </c>
      <c r="C99" s="32"/>
      <c r="D99" s="32"/>
      <c r="E99" s="23"/>
      <c r="F99" s="31" t="s">
        <v>114</v>
      </c>
      <c r="G99" s="33" t="n">
        <f aca="false">((G98*(G94))+G86)</f>
        <v>11706.9732964725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12343.1999445488</v>
      </c>
      <c r="C101" s="32"/>
      <c r="D101" s="32"/>
      <c r="E101" s="23"/>
      <c r="F101" s="56" t="s">
        <v>116</v>
      </c>
      <c r="G101" s="65" t="n">
        <f aca="false">(G99+G100)</f>
        <v>11706.9732964725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70.9090909090909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1122.10908586807</v>
      </c>
      <c r="C104" s="32"/>
      <c r="D104" s="32"/>
      <c r="E104" s="23"/>
      <c r="F104" s="95" t="s">
        <v>118</v>
      </c>
      <c r="G104" s="96" t="n">
        <f aca="false">G101/(G94)</f>
        <v>1064.27029967932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1193.01817677716</v>
      </c>
      <c r="C105" s="32"/>
      <c r="D105" s="32"/>
      <c r="E105" s="23" t="s">
        <v>18</v>
      </c>
      <c r="F105" s="97" t="s">
        <v>119</v>
      </c>
      <c r="G105" s="98" t="n">
        <f aca="false">G103+G104</f>
        <v>1064.27029967932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22899.996</v>
      </c>
      <c r="C130" s="121" t="n">
        <v>21041.67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22899.996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22899.996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22899.996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22899.996</v>
      </c>
      <c r="C134" s="133" t="n">
        <f aca="false">C130-C133</f>
        <v>21041.67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19083.33</v>
      </c>
      <c r="H144" s="153" t="n">
        <f aca="false">C134+E134+G134+H137</f>
        <v>21041.67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3816.666</v>
      </c>
      <c r="H146" s="33" t="n">
        <f aca="false">(H144+H145)*20%</f>
        <v>4208.334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22899.996</v>
      </c>
      <c r="H150" s="157" t="n">
        <f aca="false">(H144+H145+H148+H149+H146)-H147</f>
        <v>25250.004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22899.996</v>
      </c>
      <c r="H156" s="164" t="n">
        <f aca="false">H150-((H153*1.2)+(H154*1.2)+(H155*1.2)+(H151*1.2))</f>
        <v>25250.004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1958.34</v>
      </c>
      <c r="I157" s="1" t="n">
        <f aca="false">(H157-G90)/1.2</f>
        <v>-13437.4916666667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25250.004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1122.10908586807</v>
      </c>
      <c r="B176" s="177" t="n">
        <f aca="false">B103</f>
        <v>70.9090909090909</v>
      </c>
      <c r="C176" s="174"/>
      <c r="D176" s="174"/>
      <c r="E176" s="177" t="n">
        <f aca="false">B105</f>
        <v>1193.01817677716</v>
      </c>
      <c r="F176" s="23"/>
      <c r="G176" s="23" t="n">
        <f aca="false">ROUND(G104, 2)</f>
        <v>1064.27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21041.67</v>
      </c>
      <c r="B182" s="103" t="n">
        <f aca="false">H146</f>
        <v>4208.334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25250.004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25250.004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-6906.80405545124</v>
      </c>
      <c r="B191" s="103" t="str">
        <f aca="false">B123</f>
        <v>199.99</v>
      </c>
      <c r="C191" s="103"/>
      <c r="D191" s="23"/>
      <c r="E191" s="103" t="n">
        <f aca="false">E188+A191+(B191*1.2)+A194</f>
        <v>18593.1879445488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105.20835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205.19835</v>
      </c>
      <c r="C200" s="93"/>
      <c r="D200" s="93"/>
      <c r="E200" s="103" t="n">
        <f aca="false">H157</f>
        <v>1958.34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1193.01817677716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-7543.034</v>
      </c>
      <c r="B210" s="186" t="n">
        <f aca="false">E188+A210+(B191*1.2)+A194</f>
        <v>17956.958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1122.10908586807</v>
      </c>
      <c r="B221" s="177" t="n">
        <f aca="false">B176</f>
        <v>70.9090909090909</v>
      </c>
      <c r="C221" s="174"/>
      <c r="D221" s="174"/>
      <c r="E221" s="177" t="n">
        <f aca="false">E176</f>
        <v>1193.01817677716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21041.67</v>
      </c>
      <c r="B224" s="103" t="n">
        <f aca="false">B182</f>
        <v>4208.334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25250.004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25250.004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-6906.80405545124</v>
      </c>
      <c r="B233" s="103" t="str">
        <f aca="false">B191</f>
        <v>199.99</v>
      </c>
      <c r="C233" s="103"/>
      <c r="D233" s="113"/>
      <c r="E233" s="103" t="n">
        <f aca="false">E191</f>
        <v>18593.1879445488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1122.10908586807</v>
      </c>
      <c r="B239" s="103" t="n">
        <f aca="false">B176</f>
        <v>70.9090909090909</v>
      </c>
      <c r="C239" s="186"/>
      <c r="D239" s="186"/>
      <c r="E239" s="103" t="n">
        <f aca="false">E176</f>
        <v>1193.01817677716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1958.34</v>
      </c>
      <c r="B249" s="103" t="n">
        <f aca="false">B197</f>
        <v>105.20835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2163.53835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646.229944548759</v>
      </c>
      <c r="C263" s="197"/>
      <c r="D263" s="198" t="s">
        <v>216</v>
      </c>
      <c r="E263" s="198"/>
      <c r="F263" s="200" t="n">
        <f aca="false">F270+F276+F278+B279+B280</f>
        <v>126.25002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619.969924548759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(B98*B68)-(C98*B68)</f>
        <v>12343.1999445488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126.25002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619.969924548759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14892.5045349552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241.4062125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13202.5060889046</v>
      </c>
      <c r="C88" s="93" t="n">
        <f aca="false">B81-B86</f>
        <v>13202.5060889046</v>
      </c>
      <c r="D88" s="93"/>
      <c r="E88" s="113"/>
      <c r="F88" s="31" t="s">
        <v>112</v>
      </c>
      <c r="G88" s="33" t="n">
        <f aca="false">G81-G86</f>
        <v>12433.9570487144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481.027130353713</v>
      </c>
      <c r="C89" s="93" t="n">
        <f aca="false">(B88/B87)</f>
        <v>481.027130353713</v>
      </c>
      <c r="D89" s="93"/>
      <c r="E89" s="113"/>
      <c r="F89" s="31" t="s">
        <v>113</v>
      </c>
      <c r="G89" s="33" t="n">
        <f aca="false">(G88/G87)</f>
        <v>424.257597611893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15392.8681713188</v>
      </c>
      <c r="C90" s="93"/>
      <c r="D90" s="93"/>
      <c r="E90" s="113"/>
      <c r="F90" s="31" t="s">
        <v>114</v>
      </c>
      <c r="G90" s="33" t="n">
        <f aca="false">((G89*(G85))+G77)</f>
        <v>13576.2431235806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15392.8681713188</v>
      </c>
      <c r="C92" s="93"/>
      <c r="D92" s="93"/>
      <c r="E92" s="113"/>
      <c r="F92" s="56" t="s">
        <v>116</v>
      </c>
      <c r="G92" s="65" t="n">
        <f aca="false">(G90+G91)</f>
        <v>13576.2431235806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481.027130353713</v>
      </c>
      <c r="C95" s="93"/>
      <c r="D95" s="93"/>
      <c r="E95" s="113"/>
      <c r="F95" s="95" t="s">
        <v>118</v>
      </c>
      <c r="G95" s="96" t="n">
        <f aca="false">G92/(G85)</f>
        <v>424.257597611893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481.027130353713</v>
      </c>
      <c r="C96" s="93"/>
      <c r="D96" s="93"/>
      <c r="E96" s="113"/>
      <c r="F96" s="97" t="s">
        <v>119</v>
      </c>
      <c r="G96" s="98" t="n">
        <f aca="false">G94+G95</f>
        <v>424.257597611893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481.027130353713</v>
      </c>
      <c r="B167" s="177" t="n">
        <f aca="false">B94</f>
        <v>0</v>
      </c>
      <c r="C167" s="174"/>
      <c r="D167" s="174"/>
      <c r="E167" s="177" t="n">
        <f aca="false">B96</f>
        <v>481.027130353713</v>
      </c>
      <c r="F167" s="23"/>
      <c r="G167" s="23" t="n">
        <f aca="false">ROUND(G95, 2)</f>
        <v>424.26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-3157.12782868118</v>
      </c>
      <c r="B182" s="103" t="str">
        <f aca="false">B114</f>
        <v>239.99</v>
      </c>
      <c r="C182" s="103"/>
      <c r="D182" s="23"/>
      <c r="E182" s="103" t="n">
        <f aca="false">E179+A182+B182+A185</f>
        <v>22842.8581713188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201.17184375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301.163510416667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481.027130353713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-4973.676</v>
      </c>
      <c r="B201" s="186" t="n">
        <f aca="false">E179+A201+B182+A185</f>
        <v>21026.31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481.027130353713</v>
      </c>
      <c r="B212" s="177" t="n">
        <f aca="false">B167</f>
        <v>0</v>
      </c>
      <c r="C212" s="174"/>
      <c r="D212" s="174"/>
      <c r="E212" s="177" t="n">
        <f aca="false">E167</f>
        <v>481.027130353713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-3157.12782868118</v>
      </c>
      <c r="B224" s="103" t="str">
        <f aca="false">B182</f>
        <v>239.99</v>
      </c>
      <c r="C224" s="103"/>
      <c r="D224" s="113"/>
      <c r="E224" s="103" t="n">
        <f aca="false">E182</f>
        <v>22842.8581713188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481.027130353713</v>
      </c>
      <c r="B230" s="103" t="n">
        <f aca="false">B167</f>
        <v>0</v>
      </c>
      <c r="C230" s="186"/>
      <c r="D230" s="186"/>
      <c r="E230" s="103" t="n">
        <f aca="false">E167</f>
        <v>481.027130353713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201.17184375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2301.16351041667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1826.54817131882</v>
      </c>
      <c r="C254" s="197"/>
      <c r="D254" s="198" t="s">
        <v>216</v>
      </c>
      <c r="E254" s="198"/>
      <c r="F254" s="200" t="n">
        <f aca="false">F261+F267+F269+B270+B271</f>
        <v>241.4062125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1685.13362548549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241.4062125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1685.13362548549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12834.9389154658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1205.07544106728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13255.8298517401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13255.8298517401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1205.07544106728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1205.07544106728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1205.08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-5294.11600000001</v>
      </c>
      <c r="B201" s="186" t="n">
        <f aca="false">E179+A201+(B182*1.2)+A185</f>
        <v>20705.868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-369.837543334572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-398.597523334572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-398.597523334572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239.99</v>
      </c>
      <c r="C182" s="103"/>
      <c r="D182" s="23"/>
      <c r="E182" s="103" t="n">
        <f aca="false">E179+A182+B182+A185</f>
        <v>20326.0324566654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107.29165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207.283316666667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E179+A201+B182+A185</f>
        <v>19544.27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239.99</v>
      </c>
      <c r="C224" s="103"/>
      <c r="D224" s="113"/>
      <c r="E224" s="103" t="n">
        <f aca="false">E182</f>
        <v>20326.0324566654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2207.28331666667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763.004143332093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763.004143332093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23349.996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245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18458.33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12375.0424566654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128.74998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18458.33</v>
      </c>
      <c r="C81" s="93"/>
      <c r="D81" s="93"/>
      <c r="E81" s="113"/>
      <c r="F81" s="25" t="s">
        <v>105</v>
      </c>
      <c r="G81" s="27" t="n">
        <f aca="false">B81</f>
        <v>18458.33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110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12103.3882001204</v>
      </c>
      <c r="C88" s="93" t="n">
        <f aca="false">B81-B86</f>
        <v>12103.3882001204</v>
      </c>
      <c r="D88" s="93"/>
      <c r="E88" s="113"/>
      <c r="F88" s="31" t="s">
        <v>112</v>
      </c>
      <c r="G88" s="33" t="n">
        <f aca="false">G81-G86</f>
        <v>11710.260698559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1170.54931424231</v>
      </c>
      <c r="C89" s="93" t="n">
        <f aca="false">(B88/B87)</f>
        <v>1170.54931424231</v>
      </c>
      <c r="D89" s="93"/>
      <c r="E89" s="113"/>
      <c r="F89" s="31" t="s">
        <v>113</v>
      </c>
      <c r="G89" s="33" t="n">
        <f aca="false">(G88/G87)</f>
        <v>1099.47913809893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12876.0424566654</v>
      </c>
      <c r="C90" s="93"/>
      <c r="D90" s="93"/>
      <c r="E90" s="113"/>
      <c r="F90" s="31" t="s">
        <v>114</v>
      </c>
      <c r="G90" s="33" t="n">
        <f aca="false">((G89*(G85))+G77)</f>
        <v>12094.2705190883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12876.0424566654</v>
      </c>
      <c r="C92" s="93"/>
      <c r="D92" s="93"/>
      <c r="E92" s="113"/>
      <c r="F92" s="56" t="s">
        <v>116</v>
      </c>
      <c r="G92" s="65" t="n">
        <f aca="false">(G90+G91)</f>
        <v>12094.2705190883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1170.54931424231</v>
      </c>
      <c r="C95" s="93"/>
      <c r="D95" s="93"/>
      <c r="E95" s="113"/>
      <c r="F95" s="95" t="s">
        <v>118</v>
      </c>
      <c r="G95" s="96" t="n">
        <f aca="false">G92/(G85)</f>
        <v>1099.47913809893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1170.54931424231</v>
      </c>
      <c r="C96" s="93"/>
      <c r="D96" s="93"/>
      <c r="E96" s="113"/>
      <c r="F96" s="97" t="s">
        <v>119</v>
      </c>
      <c r="G96" s="98" t="n">
        <f aca="false">G94+G95</f>
        <v>1099.47913809893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23349.996</v>
      </c>
      <c r="C121" s="121" t="n">
        <v>21458.33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23349.996</v>
      </c>
      <c r="C125" s="133" t="n">
        <f aca="false">C121-C124</f>
        <v>21458.33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19458.33</v>
      </c>
      <c r="H135" s="153" t="n">
        <f aca="false">C125+E125+G125+H128</f>
        <v>21458.33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3891.666</v>
      </c>
      <c r="H137" s="33" t="n">
        <f aca="false">(H135+H136)*20%</f>
        <v>4291.666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23349.996</v>
      </c>
      <c r="H141" s="157" t="n">
        <f aca="false">(H135+H136+H139+H140+H137)-H138</f>
        <v>25749.996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23349.996</v>
      </c>
      <c r="H147" s="164" t="n">
        <f aca="false">H141-((H144*1.2)+(H145*1.2)+(H146*1.2)+(H142*1.2))</f>
        <v>25749.996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-13715.275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25749.996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1170.54931424231</v>
      </c>
      <c r="B167" s="177" t="str">
        <f aca="false">B94</f>
        <v>0</v>
      </c>
      <c r="C167" s="174"/>
      <c r="D167" s="174"/>
      <c r="E167" s="177" t="n">
        <f aca="false">B96</f>
        <v>1170.54931424231</v>
      </c>
      <c r="F167" s="23"/>
      <c r="G167" s="23" t="n">
        <f aca="false">ROUND(G95, 2)</f>
        <v>1099.48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21458.33</v>
      </c>
      <c r="B173" s="103" t="n">
        <f aca="false">H137</f>
        <v>4291.666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25749.996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25749.996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-5673.95354333458</v>
      </c>
      <c r="B182" s="103" t="str">
        <f aca="false">B114</f>
        <v>199.99</v>
      </c>
      <c r="C182" s="103"/>
      <c r="D182" s="23"/>
      <c r="E182" s="103" t="n">
        <f aca="false">E179+A182+(B182*1.2)+A185</f>
        <v>20326.0304566654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107.29165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207.28165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1170.54931424231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-6455.716</v>
      </c>
      <c r="B201" s="186" t="n">
        <f aca="false">E179+A201+(B182*1.2)+A185</f>
        <v>19544.268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1170.54931424231</v>
      </c>
      <c r="B212" s="177" t="str">
        <f aca="false">B167</f>
        <v>0</v>
      </c>
      <c r="C212" s="174"/>
      <c r="D212" s="174"/>
      <c r="E212" s="177" t="n">
        <f aca="false">E167</f>
        <v>1170.54931424231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21458.33</v>
      </c>
      <c r="B215" s="103" t="n">
        <f aca="false">B173</f>
        <v>4291.666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25749.996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-5673.95354333458</v>
      </c>
      <c r="B224" s="103" t="str">
        <f aca="false">B182</f>
        <v>199.99</v>
      </c>
      <c r="C224" s="103"/>
      <c r="D224" s="113"/>
      <c r="E224" s="103" t="n">
        <f aca="false">E182</f>
        <v>20326.0304566654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1170.54931424231</v>
      </c>
      <c r="B230" s="103" t="str">
        <f aca="false">B167</f>
        <v>0</v>
      </c>
      <c r="C230" s="186"/>
      <c r="D230" s="186"/>
      <c r="E230" s="103" t="n">
        <f aca="false">E167</f>
        <v>1170.54931424231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107.29165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2207.28165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791.762456665427</v>
      </c>
      <c r="C254" s="197"/>
      <c r="D254" s="198" t="s">
        <v>216</v>
      </c>
      <c r="E254" s="198"/>
      <c r="F254" s="200" t="n">
        <f aca="false">F261+F267+F269+B270+B271</f>
        <v>128.74998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763.002476665427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128.74998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763.002476665427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33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23349.996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1634.49972</v>
      </c>
      <c r="C64" s="215" t="n">
        <v>10000</v>
      </c>
      <c r="D64" s="291" t="n">
        <f aca="false">B64</f>
        <v>1634.49972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233.49996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2961.16638666667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246.763865555556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10767.799664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76.0131077531263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10843.8127717531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903.65106431276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981.651064312761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903.65106431276</v>
      </c>
      <c r="B128" s="321" t="n">
        <f aca="false">IF(A105="YES", B89, 0)</f>
        <v>78</v>
      </c>
      <c r="C128" s="326"/>
      <c r="D128" s="321" t="n">
        <f aca="false">B91</f>
        <v>981.651064312761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8132.85957881485</v>
      </c>
      <c r="C131" s="317"/>
      <c r="D131" s="38" t="n">
        <f aca="false">IF(A105="YES", B89*B57, 0)</f>
        <v>702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8834.85957881485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903.65106431276</v>
      </c>
      <c r="B137" s="38" t="n">
        <f aca="false">IF(A105="YES", B89, 0)</f>
        <v>78</v>
      </c>
      <c r="C137" s="317"/>
      <c r="D137" s="38" t="n">
        <f aca="false">B91</f>
        <v>981.651064312761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233.49996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981.651064312761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903.65106431276</v>
      </c>
      <c r="B171" s="355" t="n">
        <f aca="false">IF(A105="YES", B89, 0)</f>
        <v>78</v>
      </c>
      <c r="C171" s="358"/>
      <c r="D171" s="355" t="n">
        <f aca="false">B91</f>
        <v>981.651064312761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8132.85957881485</v>
      </c>
      <c r="C174" s="353"/>
      <c r="D174" s="103" t="n">
        <f aca="false">IF(A105="YES", B89*B57, 0)</f>
        <v>702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8834.85957881485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903.65106431276</v>
      </c>
      <c r="B180" s="103" t="n">
        <f aca="false">IF(A105="YES", B89, 0)</f>
        <v>78</v>
      </c>
      <c r="C180" s="353"/>
      <c r="D180" s="103" t="n">
        <f aca="false">B91</f>
        <v>981.651064312761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233.49996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1634.49972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233.49996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1920.98976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1634.49972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233.49996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1920.98976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76.0131077531263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215" t="n">
        <v>10000</v>
      </c>
      <c r="D64" s="291" t="n">
        <f aca="false">B64</f>
        <v>1602.99972</v>
      </c>
      <c r="E64" s="216"/>
      <c r="F64" s="63"/>
      <c r="G64" s="285" t="s">
        <v>90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0.005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114.49998</v>
      </c>
      <c r="C67" s="215"/>
      <c r="D67" s="291"/>
      <c r="E67" s="216"/>
      <c r="F67" s="63"/>
      <c r="G67" s="285" t="s">
        <v>93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160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4.5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54</v>
      </c>
      <c r="C73" s="215"/>
      <c r="D73" s="291" t="n">
        <f aca="false">B73+B71</f>
        <v>214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300</v>
      </c>
      <c r="C79" s="215"/>
      <c r="D79" s="291" t="n">
        <f aca="false">B79</f>
        <v>300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100</v>
      </c>
      <c r="C80" s="215"/>
      <c r="D80" s="291" t="n">
        <f aca="false">B80</f>
        <v>100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2883.66638666667</v>
      </c>
      <c r="C81" s="215"/>
      <c r="D81" s="215"/>
      <c r="E81" s="216"/>
      <c r="F81" s="63"/>
      <c r="G81" s="303" t="s">
        <v>102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240.305532222222</v>
      </c>
      <c r="C82" s="215"/>
      <c r="D82" s="215"/>
      <c r="E82" s="216"/>
      <c r="F82" s="63"/>
      <c r="G82" s="214" t="s">
        <v>103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8895.66638666667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75.3565930294474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8971.02297969612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65.4545454545455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797.36572542692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862.820270881465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264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20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797.36572542692</v>
      </c>
      <c r="B128" s="321" t="n">
        <f aca="false">IF(A105="YES", B89, 0)</f>
        <v>65.4545454545455</v>
      </c>
      <c r="C128" s="326"/>
      <c r="D128" s="321" t="n">
        <f aca="false">B91</f>
        <v>862.820270881465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Spread rentals initial payment </v>
      </c>
      <c r="B131" s="38" t="n">
        <f aca="false">B90*B57</f>
        <v>797.36572542692</v>
      </c>
      <c r="C131" s="317"/>
      <c r="D131" s="38" t="n">
        <f aca="false">IF(A105="YES", B89*B57, 0)</f>
        <v>65.4545454545455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862.820270881465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797.36572542692</v>
      </c>
      <c r="B137" s="38" t="n">
        <f aca="false">IF(A105="YES", B89, 0)</f>
        <v>65.4545454545455</v>
      </c>
      <c r="C137" s="317"/>
      <c r="D137" s="38" t="n">
        <f aca="false">B91</f>
        <v>862.820270881465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114.49998</v>
      </c>
      <c r="B148" s="38" t="n">
        <f aca="false">B102</f>
        <v>400</v>
      </c>
      <c r="C148" s="38"/>
      <c r="D148" s="38" t="n">
        <f aca="false">IF(A105="YES", (A41*B105)*B125, 0)*0.001</f>
        <v>12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626.48998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862.820270881465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797.36572542692</v>
      </c>
      <c r="B171" s="355" t="n">
        <f aca="false">IF(A105="YES", B89, 0)</f>
        <v>65.4545454545455</v>
      </c>
      <c r="C171" s="358"/>
      <c r="D171" s="355" t="n">
        <f aca="false">B91</f>
        <v>862.820270881465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Spread rentals initial payment </v>
      </c>
      <c r="B174" s="103" t="n">
        <f aca="false">B90*B57</f>
        <v>797.36572542692</v>
      </c>
      <c r="C174" s="353"/>
      <c r="D174" s="103" t="n">
        <f aca="false">IF(A105="YES", B89*B57, 0)</f>
        <v>65.4545454545455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862.820270881465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797.36572542692</v>
      </c>
      <c r="B180" s="103" t="n">
        <f aca="false">IF(A105="YES", B89, 0)</f>
        <v>65.4545454545455</v>
      </c>
      <c r="C180" s="353"/>
      <c r="D180" s="103" t="n">
        <f aca="false">B91</f>
        <v>862.820270881465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114.49998</v>
      </c>
      <c r="B191" s="103" t="n">
        <f aca="false">B102</f>
        <v>400</v>
      </c>
      <c r="C191" s="103"/>
      <c r="D191" s="103" t="n">
        <f aca="false">IF(A105="YES", (A38/100*B105)*B125, 0)*0.001</f>
        <v>12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626.48998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1602.99972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114.49998</v>
      </c>
      <c r="C205" s="320" t="s">
        <v>217</v>
      </c>
      <c r="D205" s="370" t="n">
        <f aca="false">B219+E215+B215+B217</f>
        <v>459.99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1948.48974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1602.99972</v>
      </c>
      <c r="C211" s="375" t="s">
        <v>221</v>
      </c>
      <c r="D211" s="317"/>
      <c r="E211" s="376" t="n">
        <f aca="false">B66</f>
        <v>0.005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114.49998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1948.48974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120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160</v>
      </c>
      <c r="C223" s="336" t="s">
        <v>226</v>
      </c>
      <c r="D223" s="343"/>
      <c r="E223" s="149" t="n">
        <f aca="false">B72</f>
        <v>4.5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214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75.3565930294474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300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100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3816.666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234.722166666667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315.277833333333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317.9445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267.9445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317.9445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317.9445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0.005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160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4.5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54</v>
      </c>
      <c r="C79" s="317"/>
      <c r="D79" s="32" t="n">
        <f aca="false">B79+B77</f>
        <v>214</v>
      </c>
      <c r="E79" s="404" t="n">
        <f aca="false">D79+D85+D86</f>
        <v>614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290</v>
      </c>
      <c r="C80" s="317"/>
      <c r="D80" s="317"/>
      <c r="E80" s="404" t="n">
        <f aca="false">E79+D82</f>
        <v>928.166666666667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77.3472222222222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314.166666666667</v>
      </c>
      <c r="C82" s="317"/>
      <c r="D82" s="32" t="n">
        <f aca="false">IF(A50="YES", 0, B82)</f>
        <v>314.166666666667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300</v>
      </c>
      <c r="C85" s="317"/>
      <c r="D85" s="32" t="n">
        <f aca="false">B85</f>
        <v>300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100</v>
      </c>
      <c r="C86" s="317"/>
      <c r="D86" s="32" t="n">
        <f aca="false">B86</f>
        <v>100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4431.65333333333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369.304444444444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267.9445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9176.3848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64.7788358208955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9241.1636358209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770.096969651741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848.096969651741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770.096969651741</v>
      </c>
      <c r="B134" s="321" t="n">
        <f aca="false">IF(A111="YES", B95, 0)</f>
        <v>78</v>
      </c>
      <c r="C134" s="325"/>
      <c r="D134" s="321" t="n">
        <f aca="false">B97</f>
        <v>848.096969651741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770.096969651741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848.096969651741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770.096969651741</v>
      </c>
      <c r="B143" s="38" t="n">
        <f aca="false">IF(A111="YES", B95, 0)</f>
        <v>78</v>
      </c>
      <c r="C143" s="317"/>
      <c r="D143" s="38" t="n">
        <f aca="false">B97</f>
        <v>848.096969651741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632.491646666667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848.096969651741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770.096969651741</v>
      </c>
      <c r="B177" s="355" t="n">
        <f aca="false">IF(A111="YES", B95, 0)</f>
        <v>78</v>
      </c>
      <c r="C177" s="357"/>
      <c r="D177" s="355" t="n">
        <f aca="false">A177+B177</f>
        <v>848.096969651741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770.096969651741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848.096969651741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770.096969651741</v>
      </c>
      <c r="B186" s="103" t="n">
        <f aca="false">IF(A111="YES", B95, 0)</f>
        <v>78</v>
      </c>
      <c r="C186" s="353"/>
      <c r="D186" s="103" t="n">
        <f aca="false">B97</f>
        <v>848.096969651741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632.491646666667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3242.31168666667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0.005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3242.31168666667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64.7788358208955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3891.666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240.972166666667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309.027833333333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311.6945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261.6945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311.6945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90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90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317"/>
      <c r="D73" s="32"/>
      <c r="E73" s="318"/>
      <c r="F73" s="388"/>
      <c r="G73" s="366" t="s">
        <v>93</v>
      </c>
      <c r="H73" s="65" t="n">
        <f aca="false">H67*H72</f>
        <v>202.63</v>
      </c>
      <c r="I73" s="317"/>
      <c r="J73" s="32"/>
      <c r="K73" s="318"/>
      <c r="L73" s="388"/>
      <c r="M73" s="366" t="s">
        <v>93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281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282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102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102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371.783611111111</v>
      </c>
      <c r="C88" s="317"/>
      <c r="D88" s="317"/>
      <c r="E88" s="318"/>
      <c r="F88" s="388"/>
      <c r="G88" s="316" t="s">
        <v>103</v>
      </c>
      <c r="H88" s="33" t="n">
        <f aca="false">H87/H29</f>
        <v>499.200277777778</v>
      </c>
      <c r="I88" s="317"/>
      <c r="J88" s="317"/>
      <c r="K88" s="318"/>
      <c r="L88" s="388"/>
      <c r="M88" s="316" t="s">
        <v>103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261.6945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7601.73733333333</v>
      </c>
      <c r="C91" s="317"/>
      <c r="D91" s="317"/>
      <c r="E91" s="318"/>
      <c r="F91" s="388"/>
      <c r="G91" s="396" t="s">
        <v>114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114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64.3955159338443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115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7666.13284926718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638.844404105598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703.844404105598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638.844404105598</v>
      </c>
      <c r="B134" s="321" t="n">
        <f aca="false">IF(A111="YES", B95, 0)</f>
        <v>65</v>
      </c>
      <c r="C134" s="326"/>
      <c r="D134" s="321" t="n">
        <f aca="false">B97</f>
        <v>703.844404105598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638.844404105598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703.844404105598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638.844404105598</v>
      </c>
      <c r="B143" s="38" t="n">
        <f aca="false">IF(A111="YES", B95, 0)</f>
        <v>65</v>
      </c>
      <c r="C143" s="317"/>
      <c r="D143" s="38" t="n">
        <f aca="false">B97</f>
        <v>703.844404105598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3891.666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703.844404105598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638.844404105598</v>
      </c>
      <c r="B177" s="355" t="n">
        <f aca="false">IF(A111="YES", B95, 0)</f>
        <v>65</v>
      </c>
      <c r="C177" s="358"/>
      <c r="D177" s="355" t="n">
        <f aca="false">B91</f>
        <v>7601.73733333333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638.844404105598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703.844404105598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638.844404105598</v>
      </c>
      <c r="B186" s="103" t="n">
        <f aca="false">IF(A111="YES", B95, 0)</f>
        <v>65</v>
      </c>
      <c r="C186" s="353"/>
      <c r="D186" s="103" t="n">
        <f aca="false">B97</f>
        <v>703.844404105598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3123.31004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2836.82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3123.31004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64.3955159338443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2961.16638666667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246.763865555556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8973.16638666667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76.0131077531263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9049.17949441979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754.098291201649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754.098291201649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754.098291201649</v>
      </c>
      <c r="B134" s="321" t="n">
        <f aca="false">IF(A111="YES", B95, 0)</f>
        <v>0</v>
      </c>
      <c r="C134" s="326"/>
      <c r="D134" s="321" t="n">
        <f aca="false">B97</f>
        <v>754.098291201649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6786.88462081485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6786.88462081485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754.098291201649</v>
      </c>
      <c r="B143" s="38" t="n">
        <f aca="false">IF(A111="YES", B95, 0)</f>
        <v>0</v>
      </c>
      <c r="C143" s="317"/>
      <c r="D143" s="38" t="n">
        <f aca="false">B97</f>
        <v>754.098291201649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733.48996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754.098291201649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754.098291201649</v>
      </c>
      <c r="B177" s="355" t="n">
        <f aca="false">IF(A111="YES", B95, 0)</f>
        <v>0</v>
      </c>
      <c r="C177" s="358"/>
      <c r="D177" s="355" t="n">
        <f aca="false">B91</f>
        <v>8973.16638666667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6786.88462081485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6786.88462081485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754.098291201649</v>
      </c>
      <c r="B186" s="103" t="n">
        <f aca="false">IF(A111="YES", B95, 0)</f>
        <v>0</v>
      </c>
      <c r="C186" s="353"/>
      <c r="D186" s="103" t="n">
        <f aca="false">B97</f>
        <v>754.098291201649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733.48996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1740.98976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1740.98976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76.0131077531263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0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B97</f>
        <v>866.515752695173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290</v>
      </c>
      <c r="C80" s="215"/>
      <c r="D80" s="215"/>
      <c r="E80" s="430" t="n">
        <f aca="false">E79+D82</f>
        <v>928.166666666667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77.3472222222222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314.166666666667</v>
      </c>
      <c r="C82" s="215"/>
      <c r="D82" s="291" t="n">
        <f aca="false">IF(A50="YES", 0, B82)</f>
        <v>314.166666666667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3197.83305333333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266.486087777778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9209.83305333333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78.0179484146833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9287.85100174802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773.987583479001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773.987583479001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773.987583479001</v>
      </c>
      <c r="B134" s="321" t="n">
        <f aca="false">IF(A111="YES", B95, 0)</f>
        <v>0</v>
      </c>
      <c r="C134" s="326"/>
      <c r="D134" s="321" t="n">
        <f aca="false">B97</f>
        <v>773.987583479001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6965.88825131101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6965.88825131101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773.987583479001</v>
      </c>
      <c r="B143" s="38" t="n">
        <f aca="false">IF(A111="YES", B95, 0)</f>
        <v>0</v>
      </c>
      <c r="C143" s="317"/>
      <c r="D143" s="38" t="n">
        <f aca="false">B97</f>
        <v>773.987583479001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614.48998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773.987583479001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773.987583479001</v>
      </c>
      <c r="B177" s="355" t="n">
        <f aca="false">IF(A111="YES", B95, 0)</f>
        <v>0</v>
      </c>
      <c r="C177" s="358"/>
      <c r="D177" s="355" t="n">
        <f aca="false">B91</f>
        <v>9209.83305333333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6965.88825131101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6965.88825131101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773.987583479001</v>
      </c>
      <c r="B186" s="103" t="n">
        <f aca="false">IF(A111="YES", B95, 0)</f>
        <v>0</v>
      </c>
      <c r="C186" s="353"/>
      <c r="D186" s="103" t="n">
        <f aca="false">B97</f>
        <v>773.987583479001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614.48998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1828.48974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1828.48974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78.0179484146833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290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13.50</v>
      </c>
      <c r="E32" s="226"/>
      <c r="F32" s="63"/>
      <c r="G32" s="227" t="s">
        <v>244</v>
      </c>
      <c r="H32" s="225" t="str">
        <f aca="false">A41</f>
        <v>13.50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513.5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352</v>
      </c>
      <c r="B41" s="241" t="n">
        <f aca="false">IF(B38="YES", D38+A41, D38)</f>
        <v>513.5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13.50</v>
      </c>
      <c r="I44" s="394" t="n">
        <f aca="false">((A41*(B35-1))+D32)/B35</f>
        <v>13.5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514.5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514.5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22899.996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1602.99972</v>
      </c>
      <c r="C70" s="215" t="n">
        <v>10000</v>
      </c>
      <c r="D70" s="291" t="n">
        <f aca="false">B70-A149</f>
        <v>1602.99972</v>
      </c>
      <c r="E70" s="216" t="n">
        <f aca="false">D70/12</f>
        <v>133.58331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0.005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0.005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114.49998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160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4.5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54</v>
      </c>
      <c r="C79" s="215"/>
      <c r="D79" s="291" t="n">
        <f aca="false">B79+B77</f>
        <v>214</v>
      </c>
      <c r="E79" s="430" t="n">
        <f aca="false">D79+D85+D86</f>
        <v>614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614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51.1666666666667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300</v>
      </c>
      <c r="C85" s="215"/>
      <c r="D85" s="291" t="n">
        <f aca="false">B85</f>
        <v>300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100</v>
      </c>
      <c r="C86" s="215"/>
      <c r="D86" s="291" t="n">
        <f aca="false">B86</f>
        <v>100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2216.99972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184.749976666667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8228.99972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69.709154546188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8298.70887454619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13.5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691.559072878849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691.559072878849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691.559072878849</v>
      </c>
      <c r="B134" s="321" t="n">
        <f aca="false">IF(A111="YES", B95, 0)</f>
        <v>0</v>
      </c>
      <c r="C134" s="326"/>
      <c r="D134" s="321" t="n">
        <f aca="false">B97</f>
        <v>691.559072878849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6224.03165590964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6224.03165590964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691.559072878849</v>
      </c>
      <c r="B143" s="38" t="n">
        <f aca="false">IF(A111="YES", B95, 0)</f>
        <v>0</v>
      </c>
      <c r="C143" s="317"/>
      <c r="D143" s="38" t="n">
        <f aca="false">B97</f>
        <v>691.559072878849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3.24</v>
      </c>
      <c r="H148" s="103" t="n">
        <f aca="false">G108-100</f>
        <v>139.988</v>
      </c>
      <c r="I148" s="103"/>
      <c r="J148" s="103" t="n">
        <f aca="false">(H145+J145+G148+H148)-H151</f>
        <v>1392.08633333333</v>
      </c>
      <c r="K148" s="105"/>
      <c r="L148" s="63"/>
      <c r="M148" s="111" t="n">
        <f aca="false">IF(M111="YES", ((A41*N111)*0.1)*(M133), 0)</f>
        <v>3.24</v>
      </c>
      <c r="N148" s="103" t="n">
        <f aca="false">M108-100</f>
        <v>99.99</v>
      </c>
      <c r="O148" s="103"/>
      <c r="P148" s="103" t="n">
        <f aca="false">(N145+P145+M148+N148)-N151</f>
        <v>1352.08833333333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114.49998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214.48998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691.559072878849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691.559072878849</v>
      </c>
      <c r="B177" s="355" t="n">
        <f aca="false">IF(A111="YES", B95, 0)</f>
        <v>0</v>
      </c>
      <c r="C177" s="358"/>
      <c r="D177" s="355" t="n">
        <f aca="false">B91</f>
        <v>8228.99972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6224.03165590964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6224.03165590964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691.559072878849</v>
      </c>
      <c r="B186" s="103" t="n">
        <f aca="false">IF(A111="YES", B95, 0)</f>
        <v>0</v>
      </c>
      <c r="C186" s="353"/>
      <c r="D186" s="103" t="n">
        <f aca="false">B97</f>
        <v>691.559072878849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114.49998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214.48998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114.49998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1588.48974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1602.99972</v>
      </c>
      <c r="C217" s="375" t="s">
        <v>221</v>
      </c>
      <c r="D217" s="317"/>
      <c r="E217" s="376" t="n">
        <f aca="false">B72</f>
        <v>0.005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114.49998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1588.48974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160</v>
      </c>
      <c r="C229" s="336" t="s">
        <v>226</v>
      </c>
      <c r="D229" s="343"/>
      <c r="E229" s="149" t="n">
        <f aca="false">B78</f>
        <v>4.5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214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69.709154546188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300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100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2592.41638666667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216.034698888889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10325.299664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72.8893683420734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10398.1890323421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866.515752695173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866.515752695173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866.515752695173</v>
      </c>
      <c r="B134" s="321" t="n">
        <f aca="false">IF(A111="YES", B95, 0)</f>
        <v>0</v>
      </c>
      <c r="C134" s="326"/>
      <c r="D134" s="321" t="n">
        <f aca="false">B97</f>
        <v>866.515752695173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866.515752695173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866.515752695173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866.515752695173</v>
      </c>
      <c r="B143" s="38" t="n">
        <f aca="false">IF(A111="YES", B95, 0)</f>
        <v>0</v>
      </c>
      <c r="C143" s="317"/>
      <c r="D143" s="38" t="n">
        <f aca="false">B97</f>
        <v>866.515752695173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333.491626666667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866.515752695173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866.515752695173</v>
      </c>
      <c r="B177" s="355" t="n">
        <f aca="false">IF(A111="YES", B95, 0)</f>
        <v>0</v>
      </c>
      <c r="C177" s="358"/>
      <c r="D177" s="355" t="n">
        <f aca="false">B91</f>
        <v>10325.299664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866.515752695173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866.515752695173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866.515752695173</v>
      </c>
      <c r="B186" s="103" t="n">
        <f aca="false">IF(A111="YES", B95, 0)</f>
        <v>0</v>
      </c>
      <c r="C186" s="353"/>
      <c r="D186" s="103" t="n">
        <f aca="false">B97</f>
        <v>866.515752695173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333.491626666667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1500.99142666667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1500.99142666667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72.8893683420734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19458.33</v>
      </c>
      <c r="C2" s="4" t="s">
        <v>2</v>
      </c>
      <c r="D2" s="5" t="n">
        <f aca="false">C9</f>
        <v>3891.666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23349.996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19458.33</v>
      </c>
      <c r="C9" s="14" t="n">
        <f aca="false">B9*0.2</f>
        <v>3891.666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19458.33</v>
      </c>
      <c r="C15" s="14" t="n">
        <f aca="false">SUM(C9:C13)</f>
        <v>3891.666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23349.996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19458.33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8.92</v>
      </c>
      <c r="E32" s="226"/>
      <c r="F32" s="63"/>
      <c r="G32" s="227" t="s">
        <v>244</v>
      </c>
      <c r="H32" s="225" t="str">
        <f aca="false">A41</f>
        <v>8.92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508.92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353</v>
      </c>
      <c r="B41" s="241" t="n">
        <f aca="false">IF(B38="YES", D38+A41, D38)</f>
        <v>508.92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8.92</v>
      </c>
      <c r="I44" s="394" t="n">
        <f aca="false">((A41*(B35-1))+D32)/B35</f>
        <v>8.92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509.92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509.92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23349.996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1634.49972</v>
      </c>
      <c r="C70" s="215" t="n">
        <v>10000</v>
      </c>
      <c r="D70" s="291" t="n">
        <f aca="false">B70-A149</f>
        <v>1634.49972</v>
      </c>
      <c r="E70" s="216" t="n">
        <f aca="false">D70/12</f>
        <v>136.20831</v>
      </c>
      <c r="F70" s="63"/>
      <c r="G70" s="285" t="s">
        <v>90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90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233.49996</v>
      </c>
      <c r="C73" s="215"/>
      <c r="D73" s="291"/>
      <c r="E73" s="216"/>
      <c r="F73" s="63"/>
      <c r="G73" s="285" t="s">
        <v>93</v>
      </c>
      <c r="H73" s="133" t="n">
        <f aca="false">H67*H72</f>
        <v>202.63</v>
      </c>
      <c r="I73" s="215"/>
      <c r="J73" s="291"/>
      <c r="K73" s="216"/>
      <c r="L73" s="63"/>
      <c r="M73" s="285" t="s">
        <v>93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3259.08305333333</v>
      </c>
      <c r="C87" s="215"/>
      <c r="D87" s="215"/>
      <c r="E87" s="216"/>
      <c r="F87" s="63"/>
      <c r="G87" s="303" t="s">
        <v>102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102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271.590254444444</v>
      </c>
      <c r="C88" s="215"/>
      <c r="D88" s="215"/>
      <c r="E88" s="216"/>
      <c r="F88" s="63"/>
      <c r="G88" s="214" t="s">
        <v>103</v>
      </c>
      <c r="H88" s="300" t="n">
        <f aca="false">H87/H29</f>
        <v>499.200277777778</v>
      </c>
      <c r="I88" s="215"/>
      <c r="J88" s="215"/>
      <c r="K88" s="216"/>
      <c r="L88" s="63"/>
      <c r="M88" s="214" t="s">
        <v>103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9271.08305333333</v>
      </c>
      <c r="C91" s="215"/>
      <c r="D91" s="215"/>
      <c r="E91" s="216"/>
      <c r="F91" s="63"/>
      <c r="G91" s="288" t="s">
        <v>114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114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78.5368068253328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115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9349.61986015867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11.596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779.134988346555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790.730988346555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779.134988346555</v>
      </c>
      <c r="B134" s="321" t="n">
        <f aca="false">IF(A111="YES", B95, 0)</f>
        <v>11.596</v>
      </c>
      <c r="C134" s="326"/>
      <c r="D134" s="321" t="n">
        <f aca="false">B97</f>
        <v>790.730988346555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779.134988346555</v>
      </c>
      <c r="C137" s="317"/>
      <c r="D137" s="38" t="n">
        <f aca="false">IF(A111="YES", B95*B63, 0)</f>
        <v>11.596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790.730988346555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779.134988346555</v>
      </c>
      <c r="B143" s="38" t="n">
        <f aca="false">IF(A111="YES", B95, 0)</f>
        <v>11.596</v>
      </c>
      <c r="C143" s="317"/>
      <c r="D143" s="38" t="n">
        <f aca="false">B97</f>
        <v>790.730988346555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2.1408</v>
      </c>
      <c r="H148" s="103" t="n">
        <f aca="false">G108-100</f>
        <v>139.988</v>
      </c>
      <c r="I148" s="103"/>
      <c r="J148" s="103" t="n">
        <f aca="false">(H145+J145+G148+H148)-H151</f>
        <v>1390.98713333333</v>
      </c>
      <c r="K148" s="105"/>
      <c r="L148" s="63"/>
      <c r="M148" s="111" t="n">
        <f aca="false">IF(M111="YES", ((A41*N111)*0.1)*(M133), 0)</f>
        <v>2.1408</v>
      </c>
      <c r="N148" s="103" t="n">
        <f aca="false">M108-100</f>
        <v>99.99</v>
      </c>
      <c r="O148" s="103"/>
      <c r="P148" s="103" t="n">
        <f aca="false">(N145+P145+M148+N148)-N151</f>
        <v>1350.98913333333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233.49996</v>
      </c>
      <c r="B154" s="38" t="n">
        <f aca="false">B108</f>
        <v>400</v>
      </c>
      <c r="C154" s="38"/>
      <c r="D154" s="38" t="n">
        <f aca="false">IF(A111="YES", (A41/100*B111)*B131, 0)*0.1</f>
        <v>3.2112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736.70116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790.730988346555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779.134988346555</v>
      </c>
      <c r="B177" s="355" t="n">
        <f aca="false">IF(A111="YES", B95, 0)</f>
        <v>11.596</v>
      </c>
      <c r="C177" s="358"/>
      <c r="D177" s="355" t="n">
        <f aca="false">B91</f>
        <v>9271.08305333333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779.134988346555</v>
      </c>
      <c r="C180" s="353"/>
      <c r="D180" s="103" t="n">
        <f aca="false">IF(A111="YES", B95*B63, 0)</f>
        <v>11.596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790.730988346555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779.134988346555</v>
      </c>
      <c r="B186" s="103" t="n">
        <f aca="false">IF(A111="YES", B95, 0)</f>
        <v>11.596</v>
      </c>
      <c r="C186" s="353"/>
      <c r="D186" s="103" t="n">
        <f aca="false">B97</f>
        <v>790.730988346555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233.49996</v>
      </c>
      <c r="B197" s="103" t="n">
        <f aca="false">B108</f>
        <v>400</v>
      </c>
      <c r="C197" s="103"/>
      <c r="D197" s="103" t="n">
        <f aca="false">IF(A111="YES", (A41/100*B111)*B131, 0)*0.1</f>
        <v>3.2112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736.70116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1634.49972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233.49996</v>
      </c>
      <c r="C211" s="320" t="s">
        <v>217</v>
      </c>
      <c r="D211" s="370" t="n">
        <f aca="false">B225+E221+B221+B223</f>
        <v>372.102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1773.10176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1634.49972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233.49996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1773.10176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32.112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78.5368068253328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319.490633657329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319.490633657329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34761.1439986715</v>
      </c>
      <c r="N39" s="1" t="n">
        <f aca="false">K39-L39</f>
        <v>-15677.8139986715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-15677.8139986715</v>
      </c>
      <c r="N40" s="1" t="n">
        <f aca="false">N38-N39</f>
        <v>18589.4939986715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10424.1770913269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319.490633657329</v>
      </c>
      <c r="L47" s="2" t="n">
        <f aca="false">L49-K42</f>
        <v>800</v>
      </c>
      <c r="M47" s="1" t="n">
        <f aca="false">K47-L47</f>
        <v>-480.509366342671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319.490633657329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319.490633657329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8993.06438371291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210.4167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319.490633657329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319.490633657329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319.490633657329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319.490633657329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16817.0873089448</v>
      </c>
      <c r="C88" s="93"/>
      <c r="D88" s="93"/>
      <c r="E88" s="113"/>
      <c r="F88" s="31" t="s">
        <v>112</v>
      </c>
      <c r="G88" s="33" t="n">
        <f aca="false">G81-G86</f>
        <v>14802.736015686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585.563634153622</v>
      </c>
      <c r="C89" s="93"/>
      <c r="D89" s="93"/>
      <c r="E89" s="113"/>
      <c r="F89" s="31" t="s">
        <v>113</v>
      </c>
      <c r="G89" s="33" t="n">
        <f aca="false">(G88/G87)</f>
        <v>465.433062234454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20494.7271953768</v>
      </c>
      <c r="C90" s="93"/>
      <c r="D90" s="93"/>
      <c r="E90" s="113"/>
      <c r="F90" s="31" t="s">
        <v>114</v>
      </c>
      <c r="G90" s="33" t="n">
        <f aca="false">((G89*(G85))+G77)</f>
        <v>16290.1571782059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20494.7271953768</v>
      </c>
      <c r="C92" s="93"/>
      <c r="D92" s="93"/>
      <c r="E92" s="113"/>
      <c r="F92" s="56" t="s">
        <v>116</v>
      </c>
      <c r="G92" s="65" t="n">
        <f aca="false">(G90+G91)</f>
        <v>16290.1571782059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585.563634153622</v>
      </c>
      <c r="C95" s="93"/>
      <c r="D95" s="93"/>
      <c r="E95" s="113"/>
      <c r="F95" s="95" t="s">
        <v>118</v>
      </c>
      <c r="G95" s="96" t="n">
        <f aca="false">G92/(G85)</f>
        <v>465.433062234454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585.563634153622</v>
      </c>
      <c r="C96" s="93"/>
      <c r="D96" s="93"/>
      <c r="E96" s="113"/>
      <c r="F96" s="97" t="s">
        <v>119</v>
      </c>
      <c r="G96" s="98" t="n">
        <f aca="false">G94+G95</f>
        <v>465.433062234454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585.563634153622</v>
      </c>
      <c r="B167" s="177" t="str">
        <f aca="false">B94</f>
        <v>0</v>
      </c>
      <c r="C167" s="174"/>
      <c r="D167" s="174"/>
      <c r="E167" s="177" t="n">
        <f aca="false">B96</f>
        <v>585.563634153622</v>
      </c>
      <c r="F167" s="23"/>
      <c r="G167" s="23" t="n">
        <f aca="false">ROUND(G95, 2)</f>
        <v>465.43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180" t="n">
        <f aca="false">K30</f>
        <v>10000</v>
      </c>
      <c r="C170" s="181"/>
      <c r="D170" s="23"/>
      <c r="E170" s="182" t="n">
        <f aca="false">IF(A111="YES",A40,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7934.72319537677</v>
      </c>
      <c r="B182" s="103" t="str">
        <f aca="false">B114</f>
        <v>239.99</v>
      </c>
      <c r="C182" s="103"/>
      <c r="D182" s="23"/>
      <c r="E182" s="103" t="n">
        <f aca="false">E179+A182+B182+A185</f>
        <v>33434.7171953768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210.4167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310.408366666667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585.563634153622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3730.04600000001</v>
      </c>
      <c r="B201" s="186" t="n">
        <f aca="false">E179+A201+B182+A185</f>
        <v>29230.04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585.563634153622</v>
      </c>
      <c r="B212" s="177" t="str">
        <f aca="false">B167</f>
        <v>0</v>
      </c>
      <c r="C212" s="174"/>
      <c r="D212" s="174"/>
      <c r="E212" s="177" t="n">
        <f aca="false">E167</f>
        <v>585.563634153622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7934.72319537677</v>
      </c>
      <c r="B224" s="103" t="str">
        <f aca="false">B182</f>
        <v>239.99</v>
      </c>
      <c r="C224" s="103"/>
      <c r="D224" s="113"/>
      <c r="E224" s="103" t="n">
        <f aca="false">E182</f>
        <v>33434.7171953768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585.563634153622</v>
      </c>
      <c r="B230" s="103" t="str">
        <f aca="false">B167</f>
        <v>0</v>
      </c>
      <c r="C230" s="186"/>
      <c r="D230" s="186"/>
      <c r="E230" s="103" t="n">
        <f aca="false">E167</f>
        <v>585.563634153622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210.4167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2268.74836666666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4214.67719537676</v>
      </c>
      <c r="C254" s="197"/>
      <c r="D254" s="198" t="s">
        <v>216</v>
      </c>
      <c r="E254" s="198"/>
      <c r="F254" s="200" t="n">
        <f aca="false">F261+F267+F269+B270+B271</f>
        <v>252.50004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4062.16882204343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4214.67719537676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252.50004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4062.16882204343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50000</v>
      </c>
      <c r="C2" s="4" t="s">
        <v>2</v>
      </c>
      <c r="D2" s="5" t="n">
        <f aca="false">C9</f>
        <v>10000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60000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50000</v>
      </c>
      <c r="C9" s="14" t="n">
        <f aca="false">B9*0.2</f>
        <v>10000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50000</v>
      </c>
      <c r="C15" s="14" t="n">
        <f aca="false">SUM(C9:C13)</f>
        <v>10000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60000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50000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12690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1267.05574141944</v>
      </c>
      <c r="F33" s="232"/>
      <c r="G33" s="232"/>
      <c r="H33" s="47"/>
      <c r="I33" s="2"/>
      <c r="J33" s="34" t="s">
        <v>356</v>
      </c>
      <c r="K33" s="48" t="n">
        <f aca="false">E21</f>
        <v>50000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1267.05574141944</v>
      </c>
      <c r="B36" s="232" t="str">
        <f aca="false">IF(B26="YES", K42, "0.00")</f>
        <v>0.00</v>
      </c>
      <c r="C36" s="232"/>
      <c r="D36" s="232"/>
      <c r="E36" s="232" t="n">
        <f aca="false">K31</f>
        <v>12690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50000</v>
      </c>
      <c r="L39" s="2" t="n">
        <f aca="false">(L47*K46)+K44</f>
        <v>34761.1439986715</v>
      </c>
      <c r="N39" s="1" t="n">
        <f aca="false">K39-L39</f>
        <v>15238.8560013285</v>
      </c>
      <c r="P39" s="212"/>
    </row>
    <row r="40" customFormat="false" ht="17.35" hidden="false" customHeight="false" outlineLevel="0" collapsed="false">
      <c r="A40" s="107" t="n">
        <f aca="false">E36*A45/100</f>
        <v>12690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10575</v>
      </c>
      <c r="L40" s="2" t="n">
        <f aca="false">K39-L39</f>
        <v>15238.8560013285</v>
      </c>
      <c r="N40" s="1" t="n">
        <f aca="false">N38-N39</f>
        <v>-12327.1760013285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8659.15290867306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40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41340.8470913269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1267.05574141944</v>
      </c>
      <c r="L47" s="2" t="n">
        <f aca="false">L49-K42</f>
        <v>800</v>
      </c>
      <c r="M47" s="1" t="n">
        <f aca="false">K47-L47</f>
        <v>467.05574141944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1267.05574141944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1267.05574141944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17717.4832387736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503.333333333333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1267.05574141944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1267.05574141944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1267.05574141944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1267.05574141944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60400</v>
      </c>
      <c r="C81" s="93"/>
      <c r="D81" s="93"/>
      <c r="E81" s="113"/>
      <c r="F81" s="25" t="s">
        <v>105</v>
      </c>
      <c r="G81" s="27" t="n">
        <f aca="false">G158</f>
        <v>60400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12690</v>
      </c>
      <c r="C82" s="93"/>
      <c r="D82" s="93"/>
      <c r="E82" s="113"/>
      <c r="F82" s="31" t="s">
        <v>106</v>
      </c>
      <c r="G82" s="33" t="n">
        <f aca="false">IF(A111="YES",A40,0)</f>
        <v>12690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12690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12690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8432.91669105517</v>
      </c>
      <c r="C86" s="93"/>
      <c r="D86" s="93"/>
      <c r="E86" s="113"/>
      <c r="F86" s="31" t="s">
        <v>110</v>
      </c>
      <c r="G86" s="33" t="n">
        <f aca="false">(G82/((1+G84)^(G85+1)))</f>
        <v>10447.267984314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8584.37698639577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8584.37698639577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28.719487222345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51967.0833089448</v>
      </c>
      <c r="C88" s="93"/>
      <c r="D88" s="93"/>
      <c r="E88" s="113"/>
      <c r="F88" s="31" t="s">
        <v>112</v>
      </c>
      <c r="G88" s="33" t="n">
        <f aca="false">G81-G86</f>
        <v>49952.732015686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1809.47114085353</v>
      </c>
      <c r="C89" s="93"/>
      <c r="D89" s="93"/>
      <c r="E89" s="113"/>
      <c r="F89" s="31" t="s">
        <v>113</v>
      </c>
      <c r="G89" s="33" t="n">
        <f aca="false">(G88/G87)</f>
        <v>1570.63214559801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63331.4899298735</v>
      </c>
      <c r="C90" s="93"/>
      <c r="D90" s="93"/>
      <c r="E90" s="113"/>
      <c r="F90" s="31" t="s">
        <v>114</v>
      </c>
      <c r="G90" s="33" t="n">
        <f aca="false">((G89*(G85))+G77)</f>
        <v>54972.1250959303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63331.4899298735</v>
      </c>
      <c r="C92" s="93"/>
      <c r="D92" s="93"/>
      <c r="E92" s="113"/>
      <c r="F92" s="56" t="s">
        <v>116</v>
      </c>
      <c r="G92" s="65" t="n">
        <f aca="false">(G90+G91)</f>
        <v>54972.1250959303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1809.47114085353</v>
      </c>
      <c r="C95" s="93"/>
      <c r="D95" s="93"/>
      <c r="E95" s="113"/>
      <c r="F95" s="95" t="s">
        <v>118</v>
      </c>
      <c r="G95" s="96" t="n">
        <f aca="false">G92/(G85)</f>
        <v>1570.63214559801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1809.47114085353</v>
      </c>
      <c r="C96" s="93"/>
      <c r="D96" s="93"/>
      <c r="E96" s="113"/>
      <c r="F96" s="97" t="s">
        <v>119</v>
      </c>
      <c r="G96" s="98" t="n">
        <f aca="false">G94+G95</f>
        <v>1570.63214559801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50000</v>
      </c>
      <c r="C121" s="121" t="n">
        <v>50000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60000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60000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60000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50000</v>
      </c>
      <c r="C125" s="133" t="n">
        <f aca="false">C121-C124</f>
        <v>50000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50000</v>
      </c>
      <c r="H135" s="153" t="n">
        <f aca="false">C125+E125+G125+H128</f>
        <v>50000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10000</v>
      </c>
      <c r="H137" s="33" t="n">
        <f aca="false">(H135+H136)*20%</f>
        <v>10000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60000</v>
      </c>
      <c r="H141" s="157" t="n">
        <f aca="false">(H135+H136+H139+H140+H137)-H138</f>
        <v>60000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60000</v>
      </c>
      <c r="H147" s="164" t="n">
        <f aca="false">H141-((H144*1.2)+(H145*1.2)+(H146*1.2)+(H142*1.2))</f>
        <v>60000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-50333.3333333333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1200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3600</v>
      </c>
      <c r="F153" s="166"/>
      <c r="G153" s="107" t="n">
        <v>3600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-3600</v>
      </c>
      <c r="F154" s="166"/>
      <c r="G154" s="167" t="n">
        <f aca="false">G152-G153</f>
        <v>-2400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-1200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60400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1809.47114085353</v>
      </c>
      <c r="B167" s="177" t="str">
        <f aca="false">B94</f>
        <v>0</v>
      </c>
      <c r="C167" s="174"/>
      <c r="D167" s="174"/>
      <c r="E167" s="177" t="n">
        <f aca="false">B96</f>
        <v>1809.47114085353</v>
      </c>
      <c r="F167" s="23"/>
      <c r="G167" s="23" t="n">
        <f aca="false">ROUND(G95, 2)</f>
        <v>1570.63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12690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12690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12690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12690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50000</v>
      </c>
      <c r="B173" s="103" t="n">
        <f aca="false">H137</f>
        <v>10000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60000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-2400</v>
      </c>
      <c r="C179" s="103"/>
      <c r="D179" s="23"/>
      <c r="E179" s="103" t="n">
        <f aca="false">A176-A179-B179</f>
        <v>60400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15621.4899298735</v>
      </c>
      <c r="B182" s="103" t="str">
        <f aca="false">B114</f>
        <v>239.99</v>
      </c>
      <c r="C182" s="103"/>
      <c r="D182" s="23"/>
      <c r="E182" s="103" t="n">
        <f aca="false">E179+A182+B182+A185</f>
        <v>76271.4799298735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12700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12710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12700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12700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604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703.991666666667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1809.47114085353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7262.05</v>
      </c>
      <c r="B201" s="186" t="n">
        <f aca="false">E179+A201+B182+A185</f>
        <v>67912.04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1809.47114085353</v>
      </c>
      <c r="B212" s="177" t="str">
        <f aca="false">B167</f>
        <v>0</v>
      </c>
      <c r="C212" s="174"/>
      <c r="D212" s="174"/>
      <c r="E212" s="177" t="n">
        <f aca="false">E167</f>
        <v>1809.47114085353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50000</v>
      </c>
      <c r="B215" s="103" t="n">
        <f aca="false">B173</f>
        <v>10000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60000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-2400</v>
      </c>
      <c r="C221" s="103"/>
      <c r="D221" s="113"/>
      <c r="E221" s="103" t="n">
        <f aca="false">E179</f>
        <v>60400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15621.4899298735</v>
      </c>
      <c r="B224" s="103" t="str">
        <f aca="false">B182</f>
        <v>239.99</v>
      </c>
      <c r="C224" s="103"/>
      <c r="D224" s="113"/>
      <c r="E224" s="103" t="n">
        <f aca="false">E182</f>
        <v>76271.4799298735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1809.47114085353</v>
      </c>
      <c r="B230" s="103" t="str">
        <f aca="false">B167</f>
        <v>0</v>
      </c>
      <c r="C230" s="186"/>
      <c r="D230" s="186"/>
      <c r="E230" s="103" t="n">
        <f aca="false">E167</f>
        <v>1809.47114085353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12690</v>
      </c>
      <c r="B233" s="103" t="n">
        <f aca="false">E185</f>
        <v>12700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503.333333333333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603.325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8369.43992987345</v>
      </c>
      <c r="C254" s="197"/>
      <c r="D254" s="198" t="s">
        <v>216</v>
      </c>
      <c r="E254" s="198"/>
      <c r="F254" s="200" t="n">
        <f aca="false">F261+F267+F269+B270+B271</f>
        <v>604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7865.43159654012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8369.43992987345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604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7865.43159654012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12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18720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201.96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408.726417095459</v>
      </c>
      <c r="F33" s="232"/>
      <c r="G33" s="232"/>
      <c r="H33" s="47"/>
      <c r="I33" s="2"/>
      <c r="J33" s="34" t="s">
        <v>356</v>
      </c>
      <c r="K33" s="48" t="n">
        <f aca="false">E21</f>
        <v>19083.33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391.896417095458</v>
      </c>
      <c r="B36" s="232" t="n">
        <f aca="false">IF(B26="YES", K42, "0.00")</f>
        <v>16.83</v>
      </c>
      <c r="C36" s="232"/>
      <c r="D36" s="232"/>
      <c r="E36" s="232" t="n">
        <f aca="false">K31</f>
        <v>18720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19083.33</v>
      </c>
      <c r="L39" s="2" t="n">
        <f aca="false">(L47*K46)+K44</f>
        <v>23617.3952217881</v>
      </c>
      <c r="N39" s="1" t="n">
        <f aca="false">K39-L39</f>
        <v>-4534.06522178812</v>
      </c>
      <c r="P39" s="212"/>
    </row>
    <row r="40" customFormat="false" ht="17.35" hidden="false" customHeight="false" outlineLevel="0" collapsed="false">
      <c r="A40" s="107" t="n">
        <f aca="false">E36*A45/100</f>
        <v>18720</v>
      </c>
      <c r="B40" s="107" t="n">
        <f aca="false">IF(B26="YES", K42, "0.00")</f>
        <v>16.83</v>
      </c>
      <c r="C40" s="107"/>
      <c r="D40" s="107"/>
      <c r="E40" s="182" t="n">
        <f aca="false">K32</f>
        <v>201.96</v>
      </c>
      <c r="F40" s="186"/>
      <c r="G40" s="186"/>
      <c r="H40" s="47"/>
      <c r="J40" s="2" t="s">
        <v>106</v>
      </c>
      <c r="K40" s="2" t="n">
        <f aca="false">(A40)/1.2</f>
        <v>15600</v>
      </c>
      <c r="L40" s="2" t="n">
        <f aca="false">K39-L39</f>
        <v>-4534.06522178812</v>
      </c>
      <c r="N40" s="1" t="n">
        <f aca="false">N38-N39</f>
        <v>7445.74522178812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16.83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14542.0473963917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4541.28260360831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11.5879666297182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391.896417095458</v>
      </c>
      <c r="L47" s="2" t="n">
        <f aca="false">L49-K42</f>
        <v>783.17</v>
      </c>
      <c r="M47" s="1" t="n">
        <f aca="false">K47-L47</f>
        <v>-391.273582904541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408.726417095459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408.726417095459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449.861993574134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105.20835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391.896417095458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391.896417095458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408.726417095459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408.726417095459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25250.004</v>
      </c>
      <c r="C81" s="93"/>
      <c r="D81" s="93"/>
      <c r="E81" s="113"/>
      <c r="F81" s="25" t="s">
        <v>105</v>
      </c>
      <c r="G81" s="27" t="n">
        <f aca="false">G158</f>
        <v>25250.004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IF(A111="YES",A40,0)*1.2</f>
        <v>22464</v>
      </c>
      <c r="C82" s="93"/>
      <c r="D82" s="93"/>
      <c r="E82" s="113"/>
      <c r="F82" s="31" t="s">
        <v>106</v>
      </c>
      <c r="G82" s="33" t="n">
        <f aca="false">IF(A111="YES",A40,0)*1.2</f>
        <v>22464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18720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18720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31" t="s">
        <v>109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20344.7780500269</v>
      </c>
      <c r="C86" s="93"/>
      <c r="D86" s="93"/>
      <c r="E86" s="113"/>
      <c r="F86" s="31" t="s">
        <v>110</v>
      </c>
      <c r="G86" s="33" t="n">
        <f aca="false">(G82/((1+G84)^(G85+1)))</f>
        <v>21053.9762204959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16263.4495442108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16263.4495442108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/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31" t="s">
        <v>111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4905.22594997312</v>
      </c>
      <c r="C88" s="93"/>
      <c r="D88" s="93"/>
      <c r="E88" s="113"/>
      <c r="F88" s="31" t="s">
        <v>112</v>
      </c>
      <c r="G88" s="33" t="n">
        <f aca="false">G81-G86</f>
        <v>4196.02777950411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468.419908974512</v>
      </c>
      <c r="C89" s="93"/>
      <c r="D89" s="93"/>
      <c r="E89" s="113"/>
      <c r="F89" s="31" t="s">
        <v>113</v>
      </c>
      <c r="G89" s="33" t="n">
        <f aca="false">(G88/G87)</f>
        <v>393.966037580706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5152.61899871964</v>
      </c>
      <c r="C90" s="93"/>
      <c r="D90" s="93"/>
      <c r="E90" s="113"/>
      <c r="F90" s="31" t="s">
        <v>114</v>
      </c>
      <c r="G90" s="33" t="n">
        <f aca="false">((G89*(G85))+G77)</f>
        <v>4333.62641338777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5152.61899871964</v>
      </c>
      <c r="C92" s="93"/>
      <c r="D92" s="93"/>
      <c r="E92" s="113"/>
      <c r="F92" s="56" t="s">
        <v>116</v>
      </c>
      <c r="G92" s="65" t="n">
        <f aca="false">(G90+G91)</f>
        <v>4333.62641338777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22.032</v>
      </c>
      <c r="C94" s="93"/>
      <c r="D94" s="93"/>
      <c r="E94" s="113"/>
      <c r="F94" s="88" t="s">
        <v>117</v>
      </c>
      <c r="G94" s="94" t="n">
        <f aca="false">IF(B26="YES",((E40/B85)*(1+A108)*(C45/100)),"0")</f>
        <v>22.032</v>
      </c>
      <c r="H94" s="33"/>
      <c r="J94" s="88" t="s">
        <v>117</v>
      </c>
      <c r="K94" s="89" t="n">
        <f aca="false">((E40/K85)*(1+J108))*1.2</f>
        <v>26.2548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22.032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26.4384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468.419908974512</v>
      </c>
      <c r="C95" s="93"/>
      <c r="D95" s="93"/>
      <c r="E95" s="113"/>
      <c r="F95" s="95" t="s">
        <v>118</v>
      </c>
      <c r="G95" s="96" t="n">
        <f aca="false">G92/(G85)</f>
        <v>393.966037580706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490.451908974513</v>
      </c>
      <c r="C96" s="93"/>
      <c r="D96" s="93"/>
      <c r="E96" s="113"/>
      <c r="F96" s="97" t="s">
        <v>119</v>
      </c>
      <c r="G96" s="98" t="n">
        <f aca="false">G94+G95</f>
        <v>415.998037580706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19083.33</v>
      </c>
      <c r="C121" s="121" t="n">
        <v>21041.67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22899.996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22899.996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22899.996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19083.33</v>
      </c>
      <c r="C125" s="133" t="n">
        <f aca="false">C121-C124</f>
        <v>21041.67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19083.33</v>
      </c>
      <c r="H135" s="153" t="n">
        <f aca="false">C125+E125+G125+H128</f>
        <v>21041.67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3816.666</v>
      </c>
      <c r="H137" s="33" t="n">
        <f aca="false">(H135+H136)*20%</f>
        <v>4208.334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22899.996</v>
      </c>
      <c r="H141" s="157" t="n">
        <f aca="false">(H135+H136+H139+H140+H137)-H138</f>
        <v>25250.004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22899.996</v>
      </c>
      <c r="H147" s="164" t="n">
        <f aca="false">H141-((H144*1.2)+(H145*1.2)+(H146*1.2)+(H142*1.2))</f>
        <v>25250.004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-19409.72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25250.004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468.419908974512</v>
      </c>
      <c r="B167" s="177" t="n">
        <f aca="false">B94</f>
        <v>22.032</v>
      </c>
      <c r="C167" s="174"/>
      <c r="D167" s="174"/>
      <c r="E167" s="177" t="n">
        <f aca="false">B96</f>
        <v>490.451908974513</v>
      </c>
      <c r="F167" s="23"/>
      <c r="G167" s="23" t="n">
        <f aca="false">ROUND(G95, 2)</f>
        <v>393.97</v>
      </c>
      <c r="H167" s="33"/>
      <c r="J167" s="176" t="e">
        <f aca="false">K95</f>
        <v>#VALUE!</v>
      </c>
      <c r="K167" s="177" t="n">
        <f aca="false">K94</f>
        <v>26.2548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22.032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26.4384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18720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18720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18720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18720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21041.67</v>
      </c>
      <c r="B173" s="103" t="n">
        <f aca="false">H137</f>
        <v>4208.334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25250.004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25250.004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-1377.38500128036</v>
      </c>
      <c r="B182" s="103" t="str">
        <f aca="false">B114</f>
        <v>199.99</v>
      </c>
      <c r="C182" s="103"/>
      <c r="D182" s="23"/>
      <c r="E182" s="103" t="n">
        <f aca="false">E179+A182+(B182*1.2)+A185</f>
        <v>24122.6069987196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18730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18740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18730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18730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105.20835</v>
      </c>
      <c r="C188" s="93"/>
      <c r="D188" s="93"/>
      <c r="E188" s="103" t="n">
        <f aca="false">(E40*A108)*0.1*(C45/100)</f>
        <v>4.0392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6.0588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4.0392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4.0392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209.23755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490.451908974513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-2196.334</v>
      </c>
      <c r="B201" s="186" t="n">
        <f aca="false">E179+A201+(B182*1.2)+A185</f>
        <v>23303.658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468.419908974512</v>
      </c>
      <c r="B212" s="177" t="n">
        <f aca="false">B167</f>
        <v>22.032</v>
      </c>
      <c r="C212" s="174"/>
      <c r="D212" s="174"/>
      <c r="E212" s="177" t="n">
        <f aca="false">E167</f>
        <v>490.451908974513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21041.67</v>
      </c>
      <c r="B215" s="103" t="n">
        <f aca="false">B173</f>
        <v>4208.334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25250.004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25250.004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-1377.38500128036</v>
      </c>
      <c r="B224" s="103" t="str">
        <f aca="false">B182</f>
        <v>199.99</v>
      </c>
      <c r="C224" s="103"/>
      <c r="D224" s="113"/>
      <c r="E224" s="103" t="n">
        <f aca="false">E182</f>
        <v>24122.6069987196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468.419908974512</v>
      </c>
      <c r="B230" s="103" t="n">
        <f aca="false">B167</f>
        <v>22.032</v>
      </c>
      <c r="C230" s="186"/>
      <c r="D230" s="186"/>
      <c r="E230" s="103" t="n">
        <f aca="false">E167</f>
        <v>490.451908974513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18720</v>
      </c>
      <c r="B233" s="103" t="n">
        <f aca="false">E185</f>
        <v>18730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105.20835</v>
      </c>
      <c r="C240" s="93"/>
      <c r="D240" s="93"/>
      <c r="E240" s="103" t="n">
        <f aca="false">E188</f>
        <v>4.0392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2167.57754999999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828.948998719639</v>
      </c>
      <c r="C254" s="197"/>
      <c r="D254" s="198" t="s">
        <v>216</v>
      </c>
      <c r="E254" s="198"/>
      <c r="F254" s="200" t="n">
        <f aca="false">F261+F267+F269+B270+B271</f>
        <v>126.25002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140.382</v>
      </c>
      <c r="C255" s="197"/>
      <c r="D255" s="198" t="s">
        <v>218</v>
      </c>
      <c r="E255" s="198"/>
      <c r="F255" s="200" t="n">
        <f aca="false">(B254-F254)+B255</f>
        <v>843.08097871964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828.948998719639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B68*1.2</f>
        <v>126.25002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40.392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843.08097871964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5" activeCellId="0" sqref="B65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16740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976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1334.56481288654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1310.16481288654</v>
      </c>
      <c r="B36" s="103" t="n">
        <f aca="false">IF(B26="YES", H42, "")</f>
        <v>24.4</v>
      </c>
      <c r="C36" s="221"/>
      <c r="D36" s="184" t="n">
        <f aca="false">H31</f>
        <v>16740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19841.5907646801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5022</v>
      </c>
      <c r="B40" s="107" t="n">
        <f aca="false">IF(B26="YES",H42,"0")</f>
        <v>24.4</v>
      </c>
      <c r="C40" s="107"/>
      <c r="D40" s="184" t="n">
        <f aca="false">I32</f>
        <v>976</v>
      </c>
      <c r="E40" s="216"/>
      <c r="F40" s="63"/>
      <c r="G40" s="63" t="s">
        <v>106</v>
      </c>
      <c r="H40" s="238" t="n">
        <f aca="false">A40/1.2</f>
        <v>4185</v>
      </c>
      <c r="I40" s="238" t="n">
        <f aca="false">H39-I39</f>
        <v>-758.260764680101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24.4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3901.18386883969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15182.1461311603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1310.16481288654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1334.56481288654</v>
      </c>
      <c r="I48" s="238" t="n">
        <f aca="false">I49-H42</f>
        <v>1375.6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1334.56481288654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1602.99972</v>
      </c>
      <c r="C64" s="465" t="n">
        <v>10000</v>
      </c>
      <c r="D64" s="291" t="n">
        <f aca="false">B64</f>
        <v>1602.99972</v>
      </c>
      <c r="E64" s="466" t="n">
        <f aca="false">D64/(B58+B57)</f>
        <v>133.58331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227</v>
      </c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99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37.037037037037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2929.66638666667</v>
      </c>
      <c r="C81" s="473"/>
      <c r="D81" s="474"/>
      <c r="E81" s="466"/>
      <c r="F81" s="63"/>
      <c r="G81" s="303" t="s">
        <v>102</v>
      </c>
      <c r="H81" s="304" t="n">
        <f aca="false">SUM(J64:J80)</f>
        <v>627.75</v>
      </c>
      <c r="I81" s="215"/>
      <c r="J81" s="215"/>
      <c r="K81" s="216"/>
      <c r="L81" s="63"/>
      <c r="M81" s="303" t="s">
        <v>102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244.138865555556</v>
      </c>
      <c r="C82" s="473"/>
      <c r="D82" s="215"/>
      <c r="E82" s="466"/>
      <c r="F82" s="63"/>
      <c r="G82" s="214" t="s">
        <v>103</v>
      </c>
      <c r="H82" s="300" t="n">
        <f aca="false">H81/H29</f>
        <v>52.3125</v>
      </c>
      <c r="I82" s="215"/>
      <c r="J82" s="215"/>
      <c r="K82" s="216"/>
      <c r="L82" s="63"/>
      <c r="M82" s="214" t="s">
        <v>103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1310.16481288654</v>
      </c>
      <c r="C83" s="473"/>
      <c r="D83" s="215"/>
      <c r="E83" s="466" t="n">
        <f aca="false">B83+E80+E77+E64</f>
        <v>1535.78515992358</v>
      </c>
      <c r="F83" s="63"/>
      <c r="G83" s="305" t="s">
        <v>104</v>
      </c>
      <c r="H83" s="306" t="n">
        <f aca="false">H47</f>
        <v>1310.16481288654</v>
      </c>
      <c r="I83" s="215"/>
      <c r="J83" s="215"/>
      <c r="K83" s="216"/>
      <c r="L83" s="63"/>
      <c r="M83" s="305" t="s">
        <v>104</v>
      </c>
      <c r="N83" s="306" t="n">
        <f aca="false">H47</f>
        <v>1310.16481288654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18651.6441413052</v>
      </c>
      <c r="C85" s="473"/>
      <c r="D85" s="473"/>
      <c r="E85" s="466" t="n">
        <f aca="false">B85/(B58+B57)</f>
        <v>1554.3036784421</v>
      </c>
      <c r="F85" s="63"/>
      <c r="G85" s="288" t="s">
        <v>114</v>
      </c>
      <c r="H85" s="131" t="n">
        <f aca="false">((H83*H29)+H81)*1.2</f>
        <v>19619.6733055662</v>
      </c>
      <c r="I85" s="215"/>
      <c r="J85" s="215"/>
      <c r="K85" s="216"/>
      <c r="L85" s="63"/>
      <c r="M85" s="288" t="s">
        <v>114</v>
      </c>
      <c r="N85" s="131" t="n">
        <f aca="false">((N83*H29)+N81)</f>
        <v>16335.9777546385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158.001019349499</v>
      </c>
      <c r="C86" s="473" t="s">
        <v>230</v>
      </c>
      <c r="D86" s="215"/>
      <c r="E86" s="466" t="n">
        <f aca="false">B86/(B58+B57)</f>
        <v>13.1667516124583</v>
      </c>
      <c r="F86" s="63"/>
      <c r="G86" s="214" t="s">
        <v>115</v>
      </c>
      <c r="H86" s="300" t="n">
        <f aca="false">((((H83*H29)+H81))/(1-H70))*H70</f>
        <v>138.501122568539</v>
      </c>
      <c r="I86" s="215"/>
      <c r="J86" s="215"/>
      <c r="K86" s="216"/>
      <c r="L86" s="63"/>
      <c r="M86" s="214" t="s">
        <v>115</v>
      </c>
      <c r="N86" s="300" t="n">
        <f aca="false">(N85/(1-N70))*N70</f>
        <v>138.384644149822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18809.6451606547</v>
      </c>
      <c r="C87" s="473"/>
      <c r="D87" s="475"/>
      <c r="E87" s="466" t="n">
        <f aca="false">E86+E85</f>
        <v>1567.47043005456</v>
      </c>
      <c r="F87" s="63"/>
      <c r="G87" s="285" t="s">
        <v>116</v>
      </c>
      <c r="H87" s="133" t="n">
        <f aca="false">IF(H110="YES",((H85+H86)-K114),(H85+H86))</f>
        <v>19758.1744281348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16474.3623987883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29.28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82.6729411764706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68.8941176470588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1567.47043005456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1162.24555459616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969.080141105197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1596.75043005456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1244.91849577263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1037.97425875226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1162.24555459616</v>
      </c>
      <c r="H127" s="177" t="n">
        <f aca="false">IF(G105="YES", H89*H57, 0)</f>
        <v>496.037647058824</v>
      </c>
      <c r="I127" s="177"/>
      <c r="J127" s="334" t="n">
        <f aca="false">H91</f>
        <v>1244.91849577263</v>
      </c>
      <c r="K127" s="216"/>
      <c r="L127" s="63"/>
      <c r="M127" s="333" t="n">
        <f aca="false">N90</f>
        <v>969.080141105197</v>
      </c>
      <c r="N127" s="177" t="n">
        <f aca="false">IF(M105="YES", N89*N57, 0)</f>
        <v>413.364705882353</v>
      </c>
      <c r="O127" s="177"/>
      <c r="P127" s="177" t="n">
        <f aca="false">N91</f>
        <v>1037.97425875226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1567.47043005456</v>
      </c>
      <c r="B128" s="321" t="n">
        <f aca="false">IF(A105="YES", B89, 0)</f>
        <v>29.28</v>
      </c>
      <c r="C128" s="325"/>
      <c r="D128" s="321" t="n">
        <f aca="false">B91</f>
        <v>1596.75043005456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1567.47043005456</v>
      </c>
      <c r="C131" s="317"/>
      <c r="D131" s="38" t="n">
        <f aca="false">IF(A105="YES", B89*B57, 0)</f>
        <v>29.28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6973.47332757698</v>
      </c>
      <c r="H133" s="103" t="n">
        <f aca="false">IF(G105="YES", H89*H57, 0)</f>
        <v>496.037647058824</v>
      </c>
      <c r="I133" s="221"/>
      <c r="J133" s="184" t="n">
        <f aca="false">H91*H57</f>
        <v>7469.5109746358</v>
      </c>
      <c r="K133" s="216"/>
      <c r="L133" s="63"/>
      <c r="M133" s="185" t="n">
        <f aca="false">N90*N57</f>
        <v>5814.48084663118</v>
      </c>
      <c r="N133" s="103" t="n">
        <f aca="false">IF(M105="YES", N89*N57, 0)</f>
        <v>413.364705882353</v>
      </c>
      <c r="O133" s="221"/>
      <c r="P133" s="184" t="n">
        <f aca="false">N91*N57</f>
        <v>6227.84555251353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1596.75043005456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1567.47043005456</v>
      </c>
      <c r="B137" s="38" t="n">
        <f aca="false">IF(A105="YES", B89, 0)</f>
        <v>29.28</v>
      </c>
      <c r="C137" s="317"/>
      <c r="D137" s="38" t="n">
        <f aca="false">B91</f>
        <v>1596.75043005456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5.856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5.856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400</v>
      </c>
      <c r="C148" s="38"/>
      <c r="D148" s="38" t="n">
        <f aca="false">IF(A105="YES", (B40*B105)*B125, 0)*0.1</f>
        <v>5.856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734.84596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1244.91849577263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1037.97425875226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1596.75043005456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1567.47043005456</v>
      </c>
      <c r="B177" s="355" t="n">
        <f aca="false">IF(A105="YES", B89, 0)</f>
        <v>29.28</v>
      </c>
      <c r="C177" s="357"/>
      <c r="D177" s="355" t="n">
        <f aca="false">B91</f>
        <v>1596.75043005456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1567.47043005456</v>
      </c>
      <c r="C180" s="353"/>
      <c r="D180" s="103" t="n">
        <f aca="false">IF(A105="YES", B89*B57, 0)</f>
        <v>29.28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1596.75043005456</v>
      </c>
      <c r="B183" s="103" t="n">
        <f aca="false">E114</f>
        <v>4000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1567.47043005456</v>
      </c>
      <c r="B186" s="103" t="n">
        <f aca="false">IF(A105="YES", B89, 0)</f>
        <v>29.28</v>
      </c>
      <c r="C186" s="353"/>
      <c r="D186" s="103" t="n">
        <f aca="false">B91</f>
        <v>1596.75043005456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400</v>
      </c>
      <c r="C197" s="103"/>
      <c r="D197" s="103" t="n">
        <f aca="false">IF(A105="YES", (B40*B105)*B125, 0)*0.1</f>
        <v>5.856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734.84596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1602.99972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398.55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1772.54976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1602.99972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1772.54976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58.56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158.001019349499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1.2*10575</f>
        <v>12690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66.791655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45.2199074074074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431.502196064737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18640.8948699966</v>
      </c>
      <c r="C85" s="473"/>
      <c r="D85" s="473"/>
      <c r="E85" s="466" t="n">
        <f aca="false">B85/(B58+B57)</f>
        <v>517.802635277684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3.65532316150039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18772.4865038106</v>
      </c>
      <c r="C87" s="473"/>
      <c r="D87" s="475"/>
      <c r="E87" s="466" t="n">
        <f aca="false">E86+E85</f>
        <v>521.457958439184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521.457958439184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521.457958439184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(E118)+E117-E114</f>
        <v>3639.99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521.457958439184</v>
      </c>
      <c r="B128" s="321" t="n">
        <f aca="false">IF(A105="YES", B89, 0)</f>
        <v>0</v>
      </c>
      <c r="C128" s="325"/>
      <c r="D128" s="321" t="n">
        <f aca="false">B91</f>
        <v>521.457958439184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521.457958439184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521.457958439184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521.457958439184</v>
      </c>
      <c r="B137" s="38" t="n">
        <f aca="false">IF(A105="YES", B89, 0)</f>
        <v>0</v>
      </c>
      <c r="C137" s="317"/>
      <c r="D137" s="38" t="n">
        <f aca="false">B91</f>
        <v>521.457958439184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328.991626666667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521.457958439184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521.457958439184</v>
      </c>
      <c r="B177" s="355" t="n">
        <f aca="false">IF(A105="YES", B89, 0)</f>
        <v>0</v>
      </c>
      <c r="C177" s="357"/>
      <c r="D177" s="355" t="n">
        <f aca="false">B91</f>
        <v>521.457958439184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521.457958439184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521.457958439184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521.457958439184</v>
      </c>
      <c r="B186" s="103" t="n">
        <f aca="false">IF(A105="YES", B89, 0)</f>
        <v>0</v>
      </c>
      <c r="C186" s="353"/>
      <c r="D186" s="103" t="n">
        <f aca="false">B91</f>
        <v>521.457958439184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2275.49128666667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2275.49128666667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3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19083.33</v>
      </c>
      <c r="C2" s="4" t="s">
        <v>2</v>
      </c>
      <c r="D2" s="5" t="n">
        <f aca="false">C9</f>
        <v>3816.666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22899.996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19083.33</v>
      </c>
      <c r="C9" s="14" t="n">
        <f aca="false">B9*0.2</f>
        <v>3816.666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19083.33</v>
      </c>
      <c r="C15" s="14" t="n">
        <f aca="false">SUM(C9:C13)</f>
        <v>3816.666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22899.996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19083.33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f aca="false">10575*1.2</f>
        <v>12690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319.490633657329</v>
      </c>
      <c r="E33" s="216"/>
      <c r="F33" s="63"/>
      <c r="G33" s="219" t="s">
        <v>356</v>
      </c>
      <c r="H33" s="460" t="n">
        <f aca="false">E21-E11</f>
        <v>19083.33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319.490633657329</v>
      </c>
      <c r="B36" s="103" t="str">
        <f aca="false">IF(B26="YES", H42, "")</f>
        <v/>
      </c>
      <c r="C36" s="221"/>
      <c r="D36" s="184" t="n">
        <f aca="false">H31</f>
        <v>12690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19083.33</v>
      </c>
      <c r="I39" s="238" t="n">
        <f aca="false">(I48*H46)+H44</f>
        <v>54337.6373161703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12690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10575</v>
      </c>
      <c r="I40" s="238" t="n">
        <f aca="false">H39-I39</f>
        <v>-35254.3073161703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8659.15290867306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10424.1770913269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319.490633657329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319.490633657329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319.490633657329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6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22899.996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2404.49958</v>
      </c>
      <c r="C64" s="465" t="n">
        <v>10000</v>
      </c>
      <c r="D64" s="291" t="n">
        <f aca="false">B64</f>
        <v>2404.49958</v>
      </c>
      <c r="E64" s="466" t="n">
        <f aca="false">D64/(B58+B57)</f>
        <v>58.6463312195122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0.005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228.99996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275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847.916666666667</v>
      </c>
      <c r="C76" s="215"/>
      <c r="D76" s="291" t="n">
        <f aca="false">B76</f>
        <v>847.916666666667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39.7052845528455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4032.41624666667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112.011562407407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319.490633657329</v>
      </c>
      <c r="C83" s="473"/>
      <c r="D83" s="215"/>
      <c r="E83" s="466" t="n">
        <f aca="false">B83+E80+E77+E64</f>
        <v>417.842249429687</v>
      </c>
      <c r="F83" s="63"/>
      <c r="G83" s="305" t="s">
        <v>104</v>
      </c>
      <c r="H83" s="306" t="n">
        <f aca="false">H47</f>
        <v>319.490633657329</v>
      </c>
      <c r="I83" s="215"/>
      <c r="J83" s="215"/>
      <c r="K83" s="216"/>
      <c r="L83" s="63"/>
      <c r="M83" s="305" t="s">
        <v>104</v>
      </c>
      <c r="N83" s="306" t="n">
        <f aca="false">H47</f>
        <v>319.490633657329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15534.0790583305</v>
      </c>
      <c r="C85" s="473"/>
      <c r="D85" s="473"/>
      <c r="E85" s="466" t="n">
        <f aca="false">B85/(B58+B57)</f>
        <v>378.879977032452</v>
      </c>
      <c r="F85" s="63"/>
      <c r="G85" s="288" t="s">
        <v>114</v>
      </c>
      <c r="H85" s="131" t="n">
        <f aca="false">((H83*H29)+H81)*1.2</f>
        <v>15080.8953739966</v>
      </c>
      <c r="I85" s="215"/>
      <c r="J85" s="215"/>
      <c r="K85" s="216"/>
      <c r="L85" s="63"/>
      <c r="M85" s="288" t="s">
        <v>114</v>
      </c>
      <c r="N85" s="131" t="n">
        <f aca="false">((N83*H29)+N81)</f>
        <v>12223.6628116639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131.591633814014</v>
      </c>
      <c r="C86" s="473" t="s">
        <v>230</v>
      </c>
      <c r="D86" s="215"/>
      <c r="E86" s="466" t="n">
        <f aca="false">B86/(B58+B57)</f>
        <v>3.20955204424425</v>
      </c>
      <c r="F86" s="63"/>
      <c r="G86" s="214" t="s">
        <v>115</v>
      </c>
      <c r="H86" s="300" t="n">
        <f aca="false">((((H83*H29)+H81))/(1-H70))*H70</f>
        <v>106.460536121396</v>
      </c>
      <c r="I86" s="215"/>
      <c r="J86" s="215"/>
      <c r="K86" s="216"/>
      <c r="L86" s="63"/>
      <c r="M86" s="214" t="s">
        <v>115</v>
      </c>
      <c r="N86" s="300" t="n">
        <f aca="false">(N85/(1-N70))*N70</f>
        <v>103.548575653466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15665.6706921445</v>
      </c>
      <c r="C87" s="473"/>
      <c r="D87" s="475"/>
      <c r="E87" s="466" t="n">
        <f aca="false">E86+E85</f>
        <v>382.089529076696</v>
      </c>
      <c r="F87" s="63"/>
      <c r="G87" s="285" t="s">
        <v>116</v>
      </c>
      <c r="H87" s="133" t="n">
        <f aca="false">IF(H110="YES",((H85+H86)-K114),(H85+H86))</f>
        <v>15187.355910118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12327.2113873173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382.089529076696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370.423314880927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300.663692373593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382.089529076696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370.423314880927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300.663692373593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266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1200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3600</v>
      </c>
      <c r="E113" s="107" t="n">
        <v>3600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-3600</v>
      </c>
      <c r="E114" s="167" t="n">
        <f aca="false">E112-E113</f>
        <v>-2400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-1200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3639.988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370.423314880927</v>
      </c>
      <c r="H127" s="177" t="n">
        <f aca="false">IF(G105="YES", H89*H57, 0)</f>
        <v>0</v>
      </c>
      <c r="I127" s="177"/>
      <c r="J127" s="334" t="n">
        <f aca="false">H91</f>
        <v>370.423314880927</v>
      </c>
      <c r="K127" s="216"/>
      <c r="L127" s="63"/>
      <c r="M127" s="333" t="n">
        <f aca="false">N90</f>
        <v>300.663692373593</v>
      </c>
      <c r="N127" s="177" t="n">
        <f aca="false">IF(M105="YES", N89*N57, 0)</f>
        <v>0</v>
      </c>
      <c r="O127" s="177"/>
      <c r="P127" s="177" t="n">
        <f aca="false">N91</f>
        <v>300.663692373593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382.089529076696</v>
      </c>
      <c r="B128" s="321" t="n">
        <f aca="false">IF(A105="YES", B89, 0)</f>
        <v>0</v>
      </c>
      <c r="C128" s="325"/>
      <c r="D128" s="321" t="n">
        <f aca="false">B91</f>
        <v>382.089529076696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Spread rentals with 6 down </v>
      </c>
      <c r="B131" s="38" t="n">
        <f aca="false">B90*B57</f>
        <v>2292.53717446018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2222.53988928556</v>
      </c>
      <c r="H133" s="103" t="n">
        <f aca="false">IF(G105="YES", H89*H57, 0)</f>
        <v>0</v>
      </c>
      <c r="I133" s="221"/>
      <c r="J133" s="184" t="n">
        <f aca="false">H91*H57</f>
        <v>2222.53988928556</v>
      </c>
      <c r="K133" s="216"/>
      <c r="L133" s="63"/>
      <c r="M133" s="185" t="n">
        <f aca="false">N90*N57</f>
        <v>1803.98215424156</v>
      </c>
      <c r="N133" s="103" t="n">
        <f aca="false">IF(M105="YES", N89*N57, 0)</f>
        <v>0</v>
      </c>
      <c r="O133" s="221"/>
      <c r="P133" s="184" t="n">
        <f aca="false">N91*N57</f>
        <v>1803.98215424156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2292.53717446018</v>
      </c>
      <c r="B134" s="38" t="n">
        <f aca="false">E114</f>
        <v>-2400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382.089529076696</v>
      </c>
      <c r="B137" s="38" t="n">
        <f aca="false">IF(A105="YES", B89, 0)</f>
        <v>0</v>
      </c>
      <c r="C137" s="317"/>
      <c r="D137" s="38" t="n">
        <f aca="false">B91</f>
        <v>382.089529076696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228.99996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328.98996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370.423314880927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300.663692373593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382.089529076696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382.089529076696</v>
      </c>
      <c r="B177" s="355" t="n">
        <f aca="false">IF(A105="YES", B89, 0)</f>
        <v>0</v>
      </c>
      <c r="C177" s="357"/>
      <c r="D177" s="355" t="n">
        <f aca="false">B91</f>
        <v>382.089529076696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Spread rentals with 6 down </v>
      </c>
      <c r="B180" s="103" t="n">
        <f aca="false">B90*B57</f>
        <v>2292.53717446018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2292.53717446018</v>
      </c>
      <c r="B183" s="103" t="n">
        <f aca="false">E114</f>
        <v>-2400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382.089529076696</v>
      </c>
      <c r="B186" s="103" t="n">
        <f aca="false">IF(A105="YES", B89, 0)</f>
        <v>0</v>
      </c>
      <c r="C186" s="353"/>
      <c r="D186" s="103" t="n">
        <f aca="false">B91</f>
        <v>382.089529076696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228.99996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328.98996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2404.49958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228.99996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2275.48962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2404.49958</v>
      </c>
      <c r="C217" s="375" t="s">
        <v>221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228.99996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2275.48962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131.591633814014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239.99</v>
      </c>
      <c r="C191" s="103"/>
      <c r="D191" s="23"/>
      <c r="E191" s="103" t="n">
        <f aca="false">E188+A191+B191+A194</f>
        <v>21848.560496829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213.533316666667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E188+A210+B191+A194</f>
        <v>21055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239.99</v>
      </c>
      <c r="C233" s="103"/>
      <c r="D233" s="113"/>
      <c r="E233" s="103" t="n">
        <f aca="false">E191</f>
        <v>21848.560496829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1963.53331666667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99.9916666666667</v>
      </c>
      <c r="C264" s="197"/>
      <c r="D264" s="198" t="s">
        <v>218</v>
      </c>
      <c r="E264" s="198"/>
      <c r="F264" s="200" t="n">
        <f aca="false">(B263-F263)+B264</f>
        <v>767.302183495673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767.302183495673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B15</f>
        <v>20958.33</v>
      </c>
      <c r="B37" s="32"/>
      <c r="C37" s="41" t="s">
        <v>45</v>
      </c>
      <c r="D37" s="41"/>
      <c r="E37" s="32"/>
      <c r="F37" s="43" t="n">
        <f aca="false">A37-C37</f>
        <v>19958.33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4191.666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265.972166666667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234.027833333333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236.6945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236.6945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250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236.6945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0.0105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15586.570496829</v>
      </c>
      <c r="C74" s="32"/>
      <c r="D74" s="32"/>
      <c r="E74" s="23"/>
      <c r="F74" s="23"/>
      <c r="G74" s="23"/>
      <c r="H74" s="33"/>
      <c r="J74" s="56" t="s">
        <v>90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90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90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136.24998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93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236.6945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236.6945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236.6945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19958.33</v>
      </c>
      <c r="C90" s="32"/>
      <c r="D90" s="32"/>
      <c r="E90" s="23"/>
      <c r="F90" s="25" t="s">
        <v>105</v>
      </c>
      <c r="G90" s="27" t="n">
        <f aca="false">F37</f>
        <v>19958.33</v>
      </c>
      <c r="H90" s="33"/>
      <c r="J90" s="25" t="s">
        <v>105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105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105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</f>
        <v>6000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0.1255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0.0104583333333333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11</v>
      </c>
      <c r="C94" s="32"/>
      <c r="D94" s="32"/>
      <c r="E94" s="23"/>
      <c r="F94" s="31" t="s">
        <v>109</v>
      </c>
      <c r="G94" s="33" t="n">
        <f aca="false">IF(G91=0, (B68+B67), (B68))</f>
        <v>11</v>
      </c>
      <c r="H94" s="33"/>
      <c r="J94" s="31" t="s">
        <v>109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5295.78483323301</v>
      </c>
      <c r="C95" s="32"/>
      <c r="D95" s="32"/>
      <c r="E95" s="23"/>
      <c r="F95" s="31" t="s">
        <v>110</v>
      </c>
      <c r="G95" s="33" t="n">
        <f aca="false">(G91/((1+G93)^(G94+1)))</f>
        <v>5623.39108453416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10.3399216528992</v>
      </c>
      <c r="C96" s="32"/>
      <c r="D96" s="32"/>
      <c r="E96" s="23"/>
      <c r="F96" s="31" t="s">
        <v>111</v>
      </c>
      <c r="G96" s="33" t="n">
        <f aca="false">((1-(1/((1+G93)^G94)))/G93)</f>
        <v>10.6507347822959</v>
      </c>
      <c r="H96" s="33"/>
      <c r="J96" s="31" t="s">
        <v>111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14662.545166767</v>
      </c>
      <c r="C97" s="32"/>
      <c r="D97" s="32"/>
      <c r="E97" s="23"/>
      <c r="F97" s="31" t="s">
        <v>112</v>
      </c>
      <c r="G97" s="33" t="n">
        <f aca="false">G90-G95</f>
        <v>14334.9389154658</v>
      </c>
      <c r="H97" s="33"/>
      <c r="J97" s="31" t="s">
        <v>112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112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112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1418.05186334809</v>
      </c>
      <c r="C98" s="32"/>
      <c r="D98" s="32"/>
      <c r="E98" s="23"/>
      <c r="F98" s="31" t="s">
        <v>113</v>
      </c>
      <c r="G98" s="33" t="n">
        <f aca="false">(G97/G96)</f>
        <v>1345.91079474573</v>
      </c>
      <c r="H98" s="33"/>
      <c r="J98" s="31" t="s">
        <v>113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113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113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15598.570496829</v>
      </c>
      <c r="C99" s="32"/>
      <c r="D99" s="32"/>
      <c r="E99" s="23"/>
      <c r="F99" s="31" t="s">
        <v>114</v>
      </c>
      <c r="G99" s="33" t="n">
        <f aca="false">((G98*(G94))+G86)</f>
        <v>14805.018742203</v>
      </c>
      <c r="H99" s="33"/>
      <c r="J99" s="31" t="s">
        <v>114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114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114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115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115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15598.570496829</v>
      </c>
      <c r="C101" s="32"/>
      <c r="D101" s="32"/>
      <c r="E101" s="23"/>
      <c r="F101" s="56" t="s">
        <v>116</v>
      </c>
      <c r="G101" s="65" t="n">
        <f aca="false">(G99+G100)</f>
        <v>14805.018742203</v>
      </c>
      <c r="H101" s="33"/>
      <c r="J101" s="56" t="s">
        <v>116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116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116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0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1418.05186334809</v>
      </c>
      <c r="C104" s="32"/>
      <c r="D104" s="32"/>
      <c r="E104" s="23"/>
      <c r="F104" s="95" t="s">
        <v>118</v>
      </c>
      <c r="G104" s="96" t="n">
        <f aca="false">G101/(G94)</f>
        <v>1345.91079474573</v>
      </c>
      <c r="H104" s="33"/>
      <c r="J104" s="95" t="s">
        <v>118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118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118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1418.05186334809</v>
      </c>
      <c r="C105" s="32"/>
      <c r="D105" s="32"/>
      <c r="E105" s="23" t="s">
        <v>18</v>
      </c>
      <c r="F105" s="97" t="s">
        <v>119</v>
      </c>
      <c r="G105" s="98" t="n">
        <f aca="false">G103+G104</f>
        <v>1345.91079474573</v>
      </c>
      <c r="H105" s="33"/>
      <c r="J105" s="97" t="s">
        <v>119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119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119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236</v>
      </c>
      <c r="C114" s="103"/>
      <c r="D114" s="103"/>
      <c r="E114" s="104" t="s">
        <v>19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120" t="n">
        <f aca="false">E19</f>
        <v>25149.996</v>
      </c>
      <c r="C130" s="121" t="n">
        <v>22708.33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149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149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149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150</v>
      </c>
      <c r="K131" s="127" t="n">
        <f aca="false">B4</f>
        <v>25149.996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150</v>
      </c>
      <c r="T131" s="127" t="n">
        <f aca="false">B4</f>
        <v>25149.996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150</v>
      </c>
      <c r="AC131" s="127" t="n">
        <f aca="false">B4</f>
        <v>25149.996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151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152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153</v>
      </c>
      <c r="B134" s="132" t="n">
        <f aca="false">B130-B133</f>
        <v>25149.996</v>
      </c>
      <c r="C134" s="133" t="n">
        <f aca="false">C130-C133</f>
        <v>22708.33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153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153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153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6" t="n">
        <f aca="false">E21</f>
        <v>20958.33</v>
      </c>
      <c r="H144" s="153" t="n">
        <f aca="false">C134+E134+G134+H137</f>
        <v>22708.33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33" t="n">
        <f aca="false">(G144+G145)*20%</f>
        <v>4191.666</v>
      </c>
      <c r="H146" s="33" t="n">
        <f aca="false">(H144+H145)*20%</f>
        <v>4541.666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7" t="n">
        <f aca="false">(G144+G145+G148+G149+G146)-G147</f>
        <v>25149.996</v>
      </c>
      <c r="H150" s="157" t="n">
        <f aca="false">(H144+H145+H148+H149+H146)-H147</f>
        <v>27249.996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64" t="n">
        <f aca="false">G150-((G153*1.2)+(G154*1.2)+(G155*1.2)+(G151*1.2))</f>
        <v>25149.996</v>
      </c>
      <c r="H156" s="164" t="n">
        <f aca="false">H150-((H153*1.2)+(H154*1.2)+(H155*1.2)+(H151*1.2))</f>
        <v>27249.996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1750</v>
      </c>
      <c r="I157" s="1" t="n">
        <f aca="false">(H157-G90)/1.2</f>
        <v>-15173.6083333333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172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27249.996</v>
      </c>
      <c r="H167" s="170"/>
      <c r="J167" s="169" t="s">
        <v>179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179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179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1418.05186334809</v>
      </c>
      <c r="B176" s="177" t="n">
        <f aca="false">B103</f>
        <v>0</v>
      </c>
      <c r="C176" s="174"/>
      <c r="D176" s="174"/>
      <c r="E176" s="177" t="n">
        <f aca="false">B105</f>
        <v>1418.05186334809</v>
      </c>
      <c r="F176" s="23"/>
      <c r="G176" s="23" t="n">
        <f aca="false">ROUND(G104, 2)</f>
        <v>1345.91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22708.33</v>
      </c>
      <c r="B182" s="103" t="n">
        <f aca="false">H146</f>
        <v>4541.666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27249.996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27249.996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-5651.42550317099</v>
      </c>
      <c r="B191" s="103" t="str">
        <f aca="false">B123</f>
        <v>199.99</v>
      </c>
      <c r="C191" s="103"/>
      <c r="D191" s="23"/>
      <c r="E191" s="103" t="n">
        <f aca="false">E188+A191+(B191*1.2)+A194</f>
        <v>21848.558496829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113.54165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213.53165</v>
      </c>
      <c r="C200" s="93"/>
      <c r="D200" s="93"/>
      <c r="E200" s="103" t="n">
        <f aca="false">H157</f>
        <v>1750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1418.05186334809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-6444.986</v>
      </c>
      <c r="B210" s="186" t="n">
        <f aca="false">E188+A210+(B191*1.2)+A194</f>
        <v>21054.998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1418.05186334809</v>
      </c>
      <c r="B221" s="177" t="n">
        <f aca="false">B176</f>
        <v>0</v>
      </c>
      <c r="C221" s="174"/>
      <c r="D221" s="174"/>
      <c r="E221" s="177" t="n">
        <f aca="false">E176</f>
        <v>1418.05186334809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22708.33</v>
      </c>
      <c r="B224" s="103" t="n">
        <f aca="false">B182</f>
        <v>4541.666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27249.996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27249.996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-5651.42550317099</v>
      </c>
      <c r="B233" s="103" t="str">
        <f aca="false">B191</f>
        <v>199.99</v>
      </c>
      <c r="C233" s="103"/>
      <c r="D233" s="113"/>
      <c r="E233" s="103" t="n">
        <f aca="false">E191</f>
        <v>21848.558496829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1418.05186334809</v>
      </c>
      <c r="B239" s="103" t="n">
        <f aca="false">B176</f>
        <v>0</v>
      </c>
      <c r="C239" s="186"/>
      <c r="D239" s="186"/>
      <c r="E239" s="103" t="n">
        <f aca="false">E176</f>
        <v>1418.05186334809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1750</v>
      </c>
      <c r="B249" s="103" t="n">
        <f aca="false">B197</f>
        <v>113.54165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1963.53165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803.560496829006</v>
      </c>
      <c r="C263" s="197"/>
      <c r="D263" s="198" t="s">
        <v>216</v>
      </c>
      <c r="E263" s="198"/>
      <c r="F263" s="200" t="n">
        <f aca="false">F270+F276+F278+B279+B280</f>
        <v>136.24998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99.99</v>
      </c>
      <c r="C264" s="197"/>
      <c r="D264" s="198" t="s">
        <v>218</v>
      </c>
      <c r="E264" s="198"/>
      <c r="F264" s="200" t="n">
        <f aca="false">(B263-F263)+B264</f>
        <v>767.300516829006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0.1255</v>
      </c>
      <c r="C269" s="43"/>
      <c r="D269" s="166" t="s">
        <v>215</v>
      </c>
      <c r="E269" s="166"/>
      <c r="F269" s="146" t="n">
        <f aca="false">B263</f>
        <v>803.560496829006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0.005</v>
      </c>
      <c r="C270" s="32"/>
      <c r="D270" s="166" t="s">
        <v>221</v>
      </c>
      <c r="E270" s="166"/>
      <c r="F270" s="151" t="n">
        <f aca="false">B77</f>
        <v>136.24998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767.300516829006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17662.6606535404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255.4687125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15578.4767407538</v>
      </c>
      <c r="C88" s="93" t="n">
        <f aca="false">B81-B86</f>
        <v>15578.4767407538</v>
      </c>
      <c r="D88" s="93"/>
      <c r="E88" s="113"/>
      <c r="F88" s="31" t="s">
        <v>112</v>
      </c>
      <c r="G88" s="33" t="n">
        <f aca="false">G81-G86</f>
        <v>14938.019207262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567.594509059502</v>
      </c>
      <c r="C89" s="93" t="n">
        <f aca="false">(B88/B87)</f>
        <v>567.594509059502</v>
      </c>
      <c r="D89" s="93"/>
      <c r="E89" s="113"/>
      <c r="F89" s="31" t="s">
        <v>113</v>
      </c>
      <c r="G89" s="33" t="n">
        <f aca="false">(G88/G87)</f>
        <v>509.698410339013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18163.0242899041</v>
      </c>
      <c r="C90" s="93"/>
      <c r="D90" s="93"/>
      <c r="E90" s="113"/>
      <c r="F90" s="31" t="s">
        <v>114</v>
      </c>
      <c r="G90" s="33" t="n">
        <f aca="false">((G89*(G85))+G77)</f>
        <v>16310.3491308484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18163.0242899041</v>
      </c>
      <c r="C92" s="93"/>
      <c r="D92" s="93"/>
      <c r="E92" s="113"/>
      <c r="F92" s="56" t="s">
        <v>116</v>
      </c>
      <c r="G92" s="65" t="n">
        <f aca="false">(G90+G91)</f>
        <v>16310.3491308484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567.594509059502</v>
      </c>
      <c r="C95" s="93"/>
      <c r="D95" s="93"/>
      <c r="E95" s="113"/>
      <c r="F95" s="95" t="s">
        <v>118</v>
      </c>
      <c r="G95" s="96" t="n">
        <f aca="false">G92/(G85)</f>
        <v>509.698410339013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567.594509059502</v>
      </c>
      <c r="C96" s="93"/>
      <c r="D96" s="93"/>
      <c r="E96" s="113"/>
      <c r="F96" s="97" t="s">
        <v>119</v>
      </c>
      <c r="G96" s="98" t="n">
        <f aca="false">G94+G95</f>
        <v>509.698410339013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567.594509059502</v>
      </c>
      <c r="B167" s="177" t="str">
        <f aca="false">B94</f>
        <v>0</v>
      </c>
      <c r="C167" s="174"/>
      <c r="D167" s="174"/>
      <c r="E167" s="177" t="n">
        <f aca="false">B96</f>
        <v>567.594509059502</v>
      </c>
      <c r="F167" s="23"/>
      <c r="G167" s="23" t="n">
        <f aca="false">ROUND(G95, 2)</f>
        <v>509.7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-3086.97171009595</v>
      </c>
      <c r="B182" s="103" t="str">
        <f aca="false">B114</f>
        <v>239.99</v>
      </c>
      <c r="C182" s="103"/>
      <c r="D182" s="23"/>
      <c r="E182" s="103" t="n">
        <f aca="false">E179+A182+B182+A185</f>
        <v>24413.0142899041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212.89059375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312.882260416667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567.594509059502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-4939.596</v>
      </c>
      <c r="B201" s="186" t="n">
        <f aca="false">E179+A201+B182+A185</f>
        <v>22560.39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567.594509059502</v>
      </c>
      <c r="B212" s="177" t="str">
        <f aca="false">B167</f>
        <v>0</v>
      </c>
      <c r="C212" s="174"/>
      <c r="D212" s="174"/>
      <c r="E212" s="177" t="n">
        <f aca="false">E167</f>
        <v>567.594509059502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-3086.97171009595</v>
      </c>
      <c r="B224" s="103" t="str">
        <f aca="false">B182</f>
        <v>239.99</v>
      </c>
      <c r="C224" s="103"/>
      <c r="D224" s="113"/>
      <c r="E224" s="103" t="n">
        <f aca="false">E182</f>
        <v>24413.0142899041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567.594509059502</v>
      </c>
      <c r="B230" s="103" t="str">
        <f aca="false">B167</f>
        <v>0</v>
      </c>
      <c r="C230" s="186"/>
      <c r="D230" s="186"/>
      <c r="E230" s="103" t="n">
        <f aca="false">E167</f>
        <v>567.594509059502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212.89059375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2062.88226041667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1862.62428990405</v>
      </c>
      <c r="C254" s="197"/>
      <c r="D254" s="198" t="s">
        <v>216</v>
      </c>
      <c r="E254" s="198"/>
      <c r="F254" s="200" t="n">
        <f aca="false">F261+F267+F269+B270+B271</f>
        <v>255.4687125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1707.14724407071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1862.62428990405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255.4687125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1707.14724407071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250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15387.4472240485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0.1475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0.0122916666666667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14776.4982206957</v>
      </c>
      <c r="C88" s="93" t="n">
        <f aca="false">B81-B86</f>
        <v>14776.4982206957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1444.40429309532</v>
      </c>
      <c r="C89" s="93" t="n">
        <f aca="false">(B88/B87)</f>
        <v>1444.40429309532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15888.4472240485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15888.4472240485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1444.40429309532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1444.40429309532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1444.40429309532</v>
      </c>
      <c r="B167" s="177" t="n">
        <f aca="false">B94</f>
        <v>0</v>
      </c>
      <c r="C167" s="174"/>
      <c r="D167" s="174"/>
      <c r="E167" s="177" t="n">
        <f aca="false">B96</f>
        <v>1444.40429309532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-5361.5487759515</v>
      </c>
      <c r="B182" s="103" t="str">
        <f aca="false">B114</f>
        <v>199.99</v>
      </c>
      <c r="C182" s="103"/>
      <c r="D182" s="23"/>
      <c r="E182" s="103" t="n">
        <f aca="false">E179+A182+(B182*1.2)+A185</f>
        <v>22138.4352240485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1444.40429309532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1444.40429309532</v>
      </c>
      <c r="B212" s="177" t="n">
        <f aca="false">B167</f>
        <v>0</v>
      </c>
      <c r="C212" s="174"/>
      <c r="D212" s="174"/>
      <c r="E212" s="177" t="n">
        <f aca="false">E167</f>
        <v>1444.40429309532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-5361.5487759515</v>
      </c>
      <c r="B224" s="103" t="str">
        <f aca="false">B182</f>
        <v>199.99</v>
      </c>
      <c r="C224" s="103"/>
      <c r="D224" s="113"/>
      <c r="E224" s="103" t="n">
        <f aca="false">E182</f>
        <v>22138.4352240485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1444.40429309532</v>
      </c>
      <c r="B230" s="103" t="n">
        <f aca="false">B167</f>
        <v>0</v>
      </c>
      <c r="C230" s="186"/>
      <c r="D230" s="186"/>
      <c r="E230" s="103" t="n">
        <f aca="false">E167</f>
        <v>1444.40429309532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1093.4372240485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1057.1772440485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0.1475</v>
      </c>
      <c r="C260" s="43"/>
      <c r="D260" s="166" t="s">
        <v>215</v>
      </c>
      <c r="E260" s="166"/>
      <c r="F260" s="146" t="n">
        <f aca="false">B254</f>
        <v>1093.4372240485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1057.1772440485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45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14755.8916889165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0.0995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0.00829166666666667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5433.96849626786</v>
      </c>
      <c r="C86" s="93" t="n">
        <f aca="false">(B82/((1+B84)^(B85+1)))</f>
        <v>5433.96849626786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10.4718562469129</v>
      </c>
      <c r="C87" s="93" t="n">
        <f aca="false">((1-(1/((1+B84)^B85)))/B84)</f>
        <v>10.4718562469129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14524.3615037321</v>
      </c>
      <c r="C88" s="93" t="n">
        <f aca="false">B81-B86</f>
        <v>14524.3615037321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1386.99015353786</v>
      </c>
      <c r="C89" s="93" t="n">
        <f aca="false">(B88/B87)</f>
        <v>1386.99015353786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15256.8916889165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15256.8916889165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IF(B38="YES",((H36/B85)*(1+A108)*1.2),"0")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1386.99015353786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1386.99015353786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0.0995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1386.99015353786</v>
      </c>
      <c r="B167" s="177" t="str">
        <f aca="false">B94</f>
        <v>0</v>
      </c>
      <c r="C167" s="174"/>
      <c r="D167" s="174"/>
      <c r="E167" s="177" t="n">
        <f aca="false">B96</f>
        <v>1386.99015353786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-5993.10431108352</v>
      </c>
      <c r="B182" s="103" t="str">
        <f aca="false">B114</f>
        <v>239.99</v>
      </c>
      <c r="C182" s="103"/>
      <c r="D182" s="23"/>
      <c r="E182" s="103" t="n">
        <f aca="false">E179+A182+B182+A185</f>
        <v>21506.8816889165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113.54165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213.533316666667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1386.99015353786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E179+A201+B182+A185</f>
        <v>21055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1386.99015353786</v>
      </c>
      <c r="B212" s="177" t="str">
        <f aca="false">B167</f>
        <v>0</v>
      </c>
      <c r="C212" s="174"/>
      <c r="D212" s="174"/>
      <c r="E212" s="177" t="n">
        <f aca="false">E167</f>
        <v>1386.99015353786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-5993.10431108352</v>
      </c>
      <c r="B224" s="103" t="str">
        <f aca="false">B182</f>
        <v>239.99</v>
      </c>
      <c r="C224" s="103"/>
      <c r="D224" s="113"/>
      <c r="E224" s="103" t="n">
        <f aca="false">E182</f>
        <v>21506.8816889165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1386.99015353786</v>
      </c>
      <c r="B230" s="103" t="str">
        <f aca="false">B167</f>
        <v>0</v>
      </c>
      <c r="C230" s="186"/>
      <c r="D230" s="186"/>
      <c r="E230" s="103" t="n">
        <f aca="false">E167</f>
        <v>1386.99015353786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1963.53331666667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0.0995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461.881688916481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425.623375583148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0.0995</v>
      </c>
      <c r="C260" s="43"/>
      <c r="D260" s="166" t="s">
        <v>215</v>
      </c>
      <c r="E260" s="166"/>
      <c r="F260" s="146" t="n">
        <f aca="false">B254</f>
        <v>461.881688916481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425.623375583148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19958.33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15097.570496829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136.24998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19958.33</v>
      </c>
      <c r="C81" s="93"/>
      <c r="D81" s="93"/>
      <c r="E81" s="113"/>
      <c r="F81" s="25" t="s">
        <v>105</v>
      </c>
      <c r="G81" s="27" t="n">
        <f aca="false">B81</f>
        <v>19958.33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</f>
        <v>6000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0.1255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0.0104583333333333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11</v>
      </c>
      <c r="C85" s="93"/>
      <c r="D85" s="93"/>
      <c r="E85" s="113"/>
      <c r="F85" s="31" t="s">
        <v>109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110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111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14662.545166767</v>
      </c>
      <c r="C88" s="93" t="n">
        <f aca="false">B81-B86</f>
        <v>14662.545166767</v>
      </c>
      <c r="D88" s="93"/>
      <c r="E88" s="113"/>
      <c r="F88" s="31" t="s">
        <v>112</v>
      </c>
      <c r="G88" s="33" t="n">
        <f aca="false">G81-G86</f>
        <v>14334.9389154658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1418.05186334809</v>
      </c>
      <c r="C89" s="93" t="n">
        <f aca="false">(B88/B87)</f>
        <v>1418.05186334809</v>
      </c>
      <c r="D89" s="93"/>
      <c r="E89" s="113"/>
      <c r="F89" s="31" t="s">
        <v>113</v>
      </c>
      <c r="G89" s="33" t="n">
        <f aca="false">(G88/G87)</f>
        <v>1345.91079474573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15598.570496829</v>
      </c>
      <c r="C90" s="93"/>
      <c r="D90" s="93"/>
      <c r="E90" s="113"/>
      <c r="F90" s="31" t="s">
        <v>114</v>
      </c>
      <c r="G90" s="33" t="n">
        <f aca="false">((G89*(G85))+G77)</f>
        <v>14805.018742203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15598.570496829</v>
      </c>
      <c r="C92" s="93"/>
      <c r="D92" s="93"/>
      <c r="E92" s="113"/>
      <c r="F92" s="56" t="s">
        <v>116</v>
      </c>
      <c r="G92" s="65" t="n">
        <f aca="false">(G90+G91)</f>
        <v>14805.018742203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1418.05186334809</v>
      </c>
      <c r="C95" s="93"/>
      <c r="D95" s="93"/>
      <c r="E95" s="113"/>
      <c r="F95" s="95" t="s">
        <v>118</v>
      </c>
      <c r="G95" s="96" t="n">
        <f aca="false">G92/(G85)</f>
        <v>1345.91079474573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1418.05186334809</v>
      </c>
      <c r="C96" s="93"/>
      <c r="D96" s="93"/>
      <c r="E96" s="113"/>
      <c r="F96" s="97" t="s">
        <v>119</v>
      </c>
      <c r="G96" s="98" t="n">
        <f aca="false">G94+G95</f>
        <v>1345.91079474573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E19</f>
        <v>25149.996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25149.996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E21</f>
        <v>20958.33</v>
      </c>
      <c r="H135" s="153" t="n">
        <f aca="false">C125+E125+G125+H128</f>
        <v>22708.33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164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-15173.6083333333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27249.996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1418.05186334809</v>
      </c>
      <c r="B167" s="177" t="str">
        <f aca="false">B94</f>
        <v>0</v>
      </c>
      <c r="C167" s="174"/>
      <c r="D167" s="174"/>
      <c r="E167" s="177" t="n">
        <f aca="false">B96</f>
        <v>1418.05186334809</v>
      </c>
      <c r="F167" s="23"/>
      <c r="G167" s="23" t="n">
        <f aca="false">ROUND(G95, 2)</f>
        <v>1345.91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27249.996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-5651.42550317099</v>
      </c>
      <c r="B182" s="103" t="str">
        <f aca="false">B114</f>
        <v>199.99</v>
      </c>
      <c r="C182" s="103"/>
      <c r="D182" s="23"/>
      <c r="E182" s="103" t="n">
        <f aca="false">E179+A182+(B182*1.2)+A185</f>
        <v>21848.558496829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113.54165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213.53165</v>
      </c>
      <c r="C191" s="93"/>
      <c r="D191" s="93"/>
      <c r="E191" s="103" t="n">
        <f aca="false">H148</f>
        <v>1750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1418.05186334809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-6444.986</v>
      </c>
      <c r="B201" s="186" t="n">
        <f aca="false">E179+A201+(B182*1.2)+A185</f>
        <v>21054.998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1418.05186334809</v>
      </c>
      <c r="B212" s="177" t="str">
        <f aca="false">B167</f>
        <v>0</v>
      </c>
      <c r="C212" s="174"/>
      <c r="D212" s="174"/>
      <c r="E212" s="177" t="n">
        <f aca="false">E167</f>
        <v>1418.05186334809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27249.996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-5651.42550317099</v>
      </c>
      <c r="B224" s="103" t="str">
        <f aca="false">B182</f>
        <v>199.99</v>
      </c>
      <c r="C224" s="103"/>
      <c r="D224" s="113"/>
      <c r="E224" s="103" t="n">
        <f aca="false">E182</f>
        <v>21848.558496829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1418.05186334809</v>
      </c>
      <c r="B230" s="103" t="str">
        <f aca="false">B167</f>
        <v>0</v>
      </c>
      <c r="C230" s="186"/>
      <c r="D230" s="186"/>
      <c r="E230" s="103" t="n">
        <f aca="false">E167</f>
        <v>1418.05186334809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B188</f>
        <v>113.54165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1963.53165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803.560496829006</v>
      </c>
      <c r="C254" s="197"/>
      <c r="D254" s="198" t="s">
        <v>216</v>
      </c>
      <c r="E254" s="198"/>
      <c r="F254" s="200" t="n">
        <f aca="false">F261+F267+F269+B270+B271</f>
        <v>136.24998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767.300516829006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0.1255</v>
      </c>
      <c r="C260" s="43"/>
      <c r="D260" s="166" t="s">
        <v>215</v>
      </c>
      <c r="E260" s="166"/>
      <c r="F260" s="146" t="n">
        <f aca="false">B254</f>
        <v>803.560496829006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0.005</v>
      </c>
      <c r="C261" s="32"/>
      <c r="D261" s="166" t="s">
        <v>221</v>
      </c>
      <c r="E261" s="166"/>
      <c r="F261" s="151" t="n">
        <f aca="false">B68</f>
        <v>136.24998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767.300516829006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8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236.6945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8356.8368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8415.8302021783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701.319183514858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701.319183514858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701.319183514858</v>
      </c>
      <c r="B134" s="321" t="n">
        <f aca="false">IF(A111="YES", B95, 0)</f>
        <v>0</v>
      </c>
      <c r="C134" s="325"/>
      <c r="D134" s="321" t="n">
        <f aca="false">B97</f>
        <v>701.319183514858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701.319183514858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701.319183514858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701.319183514858</v>
      </c>
      <c r="B143" s="38" t="n">
        <f aca="false">IF(A111="YES", B95, 0)</f>
        <v>0</v>
      </c>
      <c r="C143" s="317"/>
      <c r="D143" s="38" t="n">
        <f aca="false">B97</f>
        <v>701.319183514858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751.491626666667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701.319183514858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701.319183514858</v>
      </c>
      <c r="B177" s="355" t="n">
        <f aca="false">IF(A111="YES", B95, 0)</f>
        <v>0</v>
      </c>
      <c r="C177" s="357"/>
      <c r="D177" s="355" t="n">
        <f aca="false">A177+B177</f>
        <v>701.319183514858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701.319183514858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701.319183514858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701.319183514858</v>
      </c>
      <c r="B186" s="103" t="n">
        <f aca="false">IF(A111="YES", B95, 0)</f>
        <v>0</v>
      </c>
      <c r="C186" s="353"/>
      <c r="D186" s="103" t="n">
        <f aca="false">B97</f>
        <v>701.319183514858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751.491626666667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0</v>
      </c>
      <c r="B35" s="223" t="s">
        <v>45</v>
      </c>
      <c r="C35" s="223"/>
      <c r="D35" s="279" t="n">
        <f aca="false">A35-B35</f>
        <v>-1000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4191.666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338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265.972166666667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234.027833333333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236.6945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236.6945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236.6945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278</v>
      </c>
      <c r="B68" s="293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90</v>
      </c>
      <c r="B70" s="133" t="n">
        <f aca="false">B67*B69</f>
        <v>2618.28</v>
      </c>
      <c r="C70" s="317" t="n">
        <v>10000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90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90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91</v>
      </c>
      <c r="B71" s="293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317"/>
      <c r="D73" s="32"/>
      <c r="E73" s="318"/>
      <c r="F73" s="388"/>
      <c r="G73" s="366" t="s">
        <v>93</v>
      </c>
      <c r="H73" s="65" t="n">
        <f aca="false">H67*H72</f>
        <v>187.02</v>
      </c>
      <c r="I73" s="317"/>
      <c r="J73" s="32"/>
      <c r="K73" s="318"/>
      <c r="L73" s="388"/>
      <c r="M73" s="366" t="s">
        <v>93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165</v>
      </c>
      <c r="C80" s="317"/>
      <c r="D80" s="317"/>
      <c r="E80" s="404" t="n">
        <f aca="false">E79+D82</f>
        <v>838.75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69.8958333333333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102</v>
      </c>
      <c r="H87" s="413" t="n">
        <f aca="false">SUM(J70:J86)</f>
        <v>5744.78</v>
      </c>
      <c r="I87" s="317"/>
      <c r="J87" s="317"/>
      <c r="K87" s="318"/>
      <c r="L87" s="388"/>
      <c r="M87" s="412" t="s">
        <v>102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343.641388888889</v>
      </c>
      <c r="C88" s="317"/>
      <c r="D88" s="317"/>
      <c r="E88" s="318"/>
      <c r="F88" s="388"/>
      <c r="G88" s="316" t="s">
        <v>103</v>
      </c>
      <c r="H88" s="33" t="n">
        <f aca="false">H87/H29</f>
        <v>478.731666666667</v>
      </c>
      <c r="I88" s="317"/>
      <c r="J88" s="317"/>
      <c r="K88" s="318"/>
      <c r="L88" s="388"/>
      <c r="M88" s="316" t="s">
        <v>103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236.6945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6964.03066666667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114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58.9934021782977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115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7023.02406884496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585.25200573708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585.25200573708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288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s">
        <v>292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585.25200573708</v>
      </c>
      <c r="B134" s="321" t="n">
        <f aca="false">IF(A111="YES", B95, 0)</f>
        <v>0</v>
      </c>
      <c r="C134" s="326"/>
      <c r="D134" s="321" t="n">
        <f aca="false">B97</f>
        <v>585.25200573708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5267.26805163372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5267.26805163372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585.25200573708</v>
      </c>
      <c r="B143" s="38" t="n">
        <f aca="false">IF(A111="YES", B95, 0)</f>
        <v>0</v>
      </c>
      <c r="C143" s="317"/>
      <c r="D143" s="38" t="n">
        <f aca="false">B97</f>
        <v>585.25200573708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4191.666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585.25200573708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585.25200573708</v>
      </c>
      <c r="B177" s="355" t="n">
        <f aca="false">IF(A111="YES", B95, 0)</f>
        <v>0</v>
      </c>
      <c r="C177" s="358"/>
      <c r="D177" s="355" t="n">
        <f aca="false">B91</f>
        <v>6964.03066666667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5267.26805163372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5267.26805163372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585.25200573708</v>
      </c>
      <c r="B186" s="103" t="n">
        <f aca="false">IF(A111="YES", B95, 0)</f>
        <v>0</v>
      </c>
      <c r="C186" s="353"/>
      <c r="D186" s="103" t="n">
        <f aca="false">B97</f>
        <v>585.25200573708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2706.77004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2618.28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2706.77004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58.9934021782977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349</v>
      </c>
      <c r="B41" s="241" t="str">
        <f aca="false">IF(B38="YES", D38+A41, D38)</f>
        <v>500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349</v>
      </c>
      <c r="E44" s="104"/>
      <c r="F44" s="63"/>
      <c r="G44" s="63" t="s">
        <v>258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764.687238357761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764.687238357761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764.687238357761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764.687238357761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11133.499664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11212.0943570698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934.341196422482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1012.34119642248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934.341196422482</v>
      </c>
      <c r="B134" s="321" t="n">
        <f aca="false">IF(A111="YES", B95, 0)</f>
        <v>78</v>
      </c>
      <c r="C134" s="326"/>
      <c r="D134" s="321" t="n">
        <f aca="false">B97</f>
        <v>1012.34119642248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934.341196422482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1012.34119642248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934.341196422482</v>
      </c>
      <c r="B143" s="38" t="n">
        <f aca="false">IF(A111="YES", B95, 0)</f>
        <v>78</v>
      </c>
      <c r="C143" s="317"/>
      <c r="D143" s="38" t="n">
        <f aca="false">B97</f>
        <v>1012.34119642248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769.491626666667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1012.34119642248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934.341196422482</v>
      </c>
      <c r="B177" s="355" t="n">
        <f aca="false">IF(A111="YES", B95, 0)</f>
        <v>78</v>
      </c>
      <c r="C177" s="358"/>
      <c r="D177" s="355" t="n">
        <f aca="false">B97</f>
        <v>1012.34119642248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934.341196422482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1012.34119642248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934.341196422482</v>
      </c>
      <c r="B186" s="103" t="n">
        <f aca="false">IF(A111="YES", B95, 0)</f>
        <v>78</v>
      </c>
      <c r="C186" s="353"/>
      <c r="D186" s="103" t="n">
        <f aca="false">B97</f>
        <v>1012.34119642248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769.491626666667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2028.99142666667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2028.99142666667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3265.91638666667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272.159698888889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9277.91638666667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78.5946930697862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9356.51107973645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779.709256644705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779.709256644705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779.709256644705</v>
      </c>
      <c r="B134" s="321" t="n">
        <f aca="false">IF(A111="YES", B95, 0)</f>
        <v>0</v>
      </c>
      <c r="C134" s="326"/>
      <c r="D134" s="321" t="n">
        <f aca="false">B97</f>
        <v>779.709256644705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779.709256644705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779.709256644705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779.709256644705</v>
      </c>
      <c r="B143" s="38" t="n">
        <f aca="false">IF(A111="YES", B95, 0)</f>
        <v>0</v>
      </c>
      <c r="C143" s="317"/>
      <c r="D143" s="38" t="n">
        <f aca="false">B97</f>
        <v>779.709256644705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779.709256644705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779.709256644705</v>
      </c>
      <c r="B177" s="355" t="n">
        <f aca="false">IF(A111="YES", B95, 0)</f>
        <v>0</v>
      </c>
      <c r="C177" s="358"/>
      <c r="D177" s="355" t="n">
        <f aca="false">B91</f>
        <v>9277.91638666667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779.709256644705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779.709256644705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779.709256644705</v>
      </c>
      <c r="B186" s="103" t="n">
        <f aca="false">IF(A111="YES", B95, 0)</f>
        <v>0</v>
      </c>
      <c r="C186" s="353"/>
      <c r="D186" s="103" t="n">
        <f aca="false">B97</f>
        <v>779.709256644705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78.5946930697862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3087.16638666667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257.263865555556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9099.16638666667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77.0804736264623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9176.24686029313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764.687238357761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764.687238357761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288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292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764.687238357761</v>
      </c>
      <c r="B134" s="321" t="n">
        <f aca="false">IF(A111="YES", B95, 0)</f>
        <v>0</v>
      </c>
      <c r="C134" s="326"/>
      <c r="D134" s="321" t="n">
        <f aca="false">B97</f>
        <v>764.687238357761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6882.18514521985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6882.18514521985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764.687238357761</v>
      </c>
      <c r="B143" s="38" t="n">
        <f aca="false">IF(A111="YES", B95, 0)</f>
        <v>0</v>
      </c>
      <c r="C143" s="317"/>
      <c r="D143" s="38" t="n">
        <f aca="false">B97</f>
        <v>764.687238357761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751.48996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764.687238357761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764.687238357761</v>
      </c>
      <c r="B177" s="355" t="n">
        <f aca="false">IF(A111="YES", B95, 0)</f>
        <v>0</v>
      </c>
      <c r="C177" s="358"/>
      <c r="D177" s="355" t="n">
        <f aca="false">B91</f>
        <v>9099.16638666667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6882.18514521985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6882.18514521985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764.687238357761</v>
      </c>
      <c r="B186" s="103" t="n">
        <f aca="false">IF(A111="YES", B95, 0)</f>
        <v>0</v>
      </c>
      <c r="C186" s="353"/>
      <c r="D186" s="103" t="n">
        <f aca="false">B97</f>
        <v>764.687238357761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751.48996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1848.98976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1848.98976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77.0804736264623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25149.996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1760.49972</v>
      </c>
      <c r="C70" s="215" t="n">
        <v>10000</v>
      </c>
      <c r="D70" s="291" t="n">
        <f aca="false">B70-A149</f>
        <v>1760.49972</v>
      </c>
      <c r="E70" s="216" t="n">
        <f aca="false">D70/12</f>
        <v>146.70831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251.49996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2599.24972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216.604143333333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10333.499664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72.9472545865268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10406.4469185865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867.20390988221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867.20390988221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867.20390988221</v>
      </c>
      <c r="B134" s="321" t="n">
        <f aca="false">IF(A111="YES", B95, 0)</f>
        <v>0</v>
      </c>
      <c r="C134" s="326"/>
      <c r="D134" s="321" t="n">
        <f aca="false">B97</f>
        <v>867.20390988221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867.20390988221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867.20390988221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867.20390988221</v>
      </c>
      <c r="B143" s="38" t="n">
        <f aca="false">IF(A111="YES", B95, 0)</f>
        <v>0</v>
      </c>
      <c r="C143" s="317"/>
      <c r="D143" s="38" t="n">
        <f aca="false">B97</f>
        <v>867.20390988221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251.49996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351.491626666667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867.20390988221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867.20390988221</v>
      </c>
      <c r="B177" s="355" t="n">
        <f aca="false">IF(A111="YES", B95, 0)</f>
        <v>0</v>
      </c>
      <c r="C177" s="358"/>
      <c r="D177" s="355" t="n">
        <f aca="false">B91</f>
        <v>10333.499664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867.20390988221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867.20390988221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867.20390988221</v>
      </c>
      <c r="B186" s="103" t="n">
        <f aca="false">IF(A111="YES", B95, 0)</f>
        <v>0</v>
      </c>
      <c r="C186" s="353"/>
      <c r="D186" s="103" t="n">
        <f aca="false">B97</f>
        <v>867.20390988221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251.49996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351.491626666667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1760.49972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251.49996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1608.99142666667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1760.49972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251.49996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1608.99142666667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72.9472545865268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277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B66*B69</f>
        <v>5040</v>
      </c>
      <c r="C70" s="215" t="n">
        <v>10000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90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90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B66*B72</f>
        <v>720</v>
      </c>
      <c r="C73" s="215"/>
      <c r="D73" s="291"/>
      <c r="E73" s="216"/>
      <c r="F73" s="63"/>
      <c r="G73" s="285" t="s">
        <v>93</v>
      </c>
      <c r="H73" s="133" t="n">
        <f aca="false">H67*H72</f>
        <v>187.02</v>
      </c>
      <c r="I73" s="215"/>
      <c r="J73" s="291"/>
      <c r="K73" s="216"/>
      <c r="L73" s="63"/>
      <c r="M73" s="285" t="s">
        <v>93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165</v>
      </c>
      <c r="C80" s="215"/>
      <c r="D80" s="215"/>
      <c r="E80" s="430" t="n">
        <f aca="false">E79+D82</f>
        <v>838.75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69.8958333333333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102</v>
      </c>
      <c r="H87" s="304" t="n">
        <f aca="false">SUM(J70:J86)</f>
        <v>5744.78</v>
      </c>
      <c r="I87" s="215"/>
      <c r="J87" s="215"/>
      <c r="K87" s="216"/>
      <c r="L87" s="63"/>
      <c r="M87" s="303" t="s">
        <v>102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545.451388888889</v>
      </c>
      <c r="C88" s="215"/>
      <c r="D88" s="215"/>
      <c r="E88" s="216"/>
      <c r="F88" s="63"/>
      <c r="G88" s="214" t="s">
        <v>103</v>
      </c>
      <c r="H88" s="300" t="n">
        <f aca="false">H87/H29</f>
        <v>478.731666666667</v>
      </c>
      <c r="I88" s="215"/>
      <c r="J88" s="215"/>
      <c r="K88" s="216"/>
      <c r="L88" s="63"/>
      <c r="M88" s="214" t="s">
        <v>103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114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115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720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5040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720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171" colorId="64" zoomScale="85" zoomScaleNormal="85" zoomScalePageLayoutView="100" workbookViewId="0">
      <selection pane="topLeft" activeCell="E186" activeCellId="0" sqref="E186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19708.33</v>
      </c>
      <c r="C2" s="4" t="s">
        <v>2</v>
      </c>
      <c r="D2" s="5" t="n">
        <f aca="false">C9</f>
        <v>3941.666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23649.996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19708.33</v>
      </c>
      <c r="C9" s="14" t="n">
        <f aca="false">B9*0.2</f>
        <v>3941.666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19708.33</v>
      </c>
      <c r="C15" s="14" t="n">
        <f aca="false">SUM(C9:C13)</f>
        <v>3941.666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23649.996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19708.33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1200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624.040662861208</v>
      </c>
      <c r="F33" s="232"/>
      <c r="G33" s="232"/>
      <c r="H33" s="47"/>
      <c r="I33" s="2"/>
      <c r="J33" s="34" t="s">
        <v>356</v>
      </c>
      <c r="K33" s="48" t="n">
        <f aca="false">E21</f>
        <v>19708.33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604.040662861208</v>
      </c>
      <c r="B36" s="232" t="n">
        <f aca="false">IF(B26="YES", K42, "0.00")</f>
        <v>20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19708.33</v>
      </c>
      <c r="L39" s="2" t="n">
        <f aca="false">(L47*K46)+K44</f>
        <v>25449.4413127485</v>
      </c>
      <c r="N39" s="1" t="n">
        <f aca="false">K39-L39</f>
        <v>-5741.11131274846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-5741.11131274846</v>
      </c>
      <c r="N40" s="1" t="n">
        <f aca="false">N38-N39</f>
        <v>8652.79131274846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40</v>
      </c>
      <c r="B45" s="93"/>
      <c r="C45" s="62" t="n">
        <v>60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19708.33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604.040662861208</v>
      </c>
      <c r="L47" s="2" t="n">
        <f aca="false">L49-K42</f>
        <v>780</v>
      </c>
      <c r="M47" s="1" t="n">
        <f aca="false">K47-L47</f>
        <v>-175.959337138792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624.040662861208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624.040662861208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6845.54350701396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209.1667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604.040662861208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604.040662861208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624.040662861208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624.040662861208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25100.004</v>
      </c>
      <c r="C81" s="93"/>
      <c r="D81" s="93"/>
      <c r="E81" s="113"/>
      <c r="F81" s="25" t="s">
        <v>105</v>
      </c>
      <c r="G81" s="27" t="n">
        <f aca="false">G158</f>
        <v>25100.004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0</v>
      </c>
      <c r="C82" s="93"/>
      <c r="D82" s="93"/>
      <c r="E82" s="113"/>
      <c r="F82" s="31" t="s">
        <v>106</v>
      </c>
      <c r="G82" s="33" t="n">
        <f aca="false">IF(A111="YES",A40,0)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36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30.7264493562845</v>
      </c>
      <c r="C87" s="93"/>
      <c r="D87" s="93"/>
      <c r="E87" s="113"/>
      <c r="F87" s="31" t="s">
        <v>111</v>
      </c>
      <c r="G87" s="33" t="n">
        <f aca="false">((1-(1/((1+G84)^G85)))/G84)</f>
        <v>32.627488862498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25100.004</v>
      </c>
      <c r="C88" s="93"/>
      <c r="D88" s="93"/>
      <c r="E88" s="113"/>
      <c r="F88" s="31" t="s">
        <v>112</v>
      </c>
      <c r="G88" s="33" t="n">
        <f aca="false">G81-G86</f>
        <v>25100.004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816.885924857642</v>
      </c>
      <c r="C89" s="93"/>
      <c r="D89" s="93"/>
      <c r="E89" s="113"/>
      <c r="F89" s="31" t="s">
        <v>113</v>
      </c>
      <c r="G89" s="33" t="n">
        <f aca="false">(G88/G87)</f>
        <v>769.290094796412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28591.0073700175</v>
      </c>
      <c r="C90" s="93"/>
      <c r="D90" s="93"/>
      <c r="E90" s="113"/>
      <c r="F90" s="31" t="s">
        <v>114</v>
      </c>
      <c r="G90" s="33" t="n">
        <f aca="false">((G89*(G85))+G77)</f>
        <v>27694.4434126708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28591.0073700175</v>
      </c>
      <c r="C92" s="93"/>
      <c r="D92" s="93"/>
      <c r="E92" s="113"/>
      <c r="F92" s="56" t="s">
        <v>116</v>
      </c>
      <c r="G92" s="65" t="n">
        <f aca="false">(G90+G91)</f>
        <v>27694.4434126708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IF(B26="YES",((E40/B85)*(1+A108)*1.2*(C45/100)),"0")</f>
        <v>29.6228571428571</v>
      </c>
      <c r="C94" s="93"/>
      <c r="D94" s="93"/>
      <c r="E94" s="113"/>
      <c r="F94" s="88" t="s">
        <v>117</v>
      </c>
      <c r="G94" s="94" t="n">
        <f aca="false">IF(B26="YES",((E40/B85)*(1+A108)*(C45/100)),"0")</f>
        <v>24.6857142857143</v>
      </c>
      <c r="H94" s="33"/>
      <c r="J94" s="88" t="s">
        <v>117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816.885924857642</v>
      </c>
      <c r="C95" s="93"/>
      <c r="D95" s="93"/>
      <c r="E95" s="113"/>
      <c r="F95" s="95" t="s">
        <v>118</v>
      </c>
      <c r="G95" s="96" t="n">
        <f aca="false">G92/(G85)</f>
        <v>769.290094796412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846.508782000499</v>
      </c>
      <c r="C96" s="93"/>
      <c r="D96" s="93"/>
      <c r="E96" s="113"/>
      <c r="F96" s="97" t="s">
        <v>119</v>
      </c>
      <c r="G96" s="98" t="n">
        <f aca="false">G94+G95</f>
        <v>793.975809082127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</v>
      </c>
      <c r="C111" s="107"/>
      <c r="D111" s="107"/>
      <c r="E111" s="107" t="n">
        <v>200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19708.33</v>
      </c>
      <c r="C121" s="121" t="n">
        <v>21666.67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23649.996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23649.996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23649.996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19708.33</v>
      </c>
      <c r="C125" s="133" t="n">
        <f aca="false">C121-C124</f>
        <v>21666.67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19708.33</v>
      </c>
      <c r="H135" s="153" t="n">
        <f aca="false">C125+E125+G125+H128</f>
        <v>21666.67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3941.666</v>
      </c>
      <c r="H137" s="33" t="n">
        <f aca="false">(H135+H136)*20%</f>
        <v>4333.334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23649.996</v>
      </c>
      <c r="H141" s="157" t="n">
        <f aca="false">(H135+H136+H139+H140+H137)-H138</f>
        <v>26000.004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23649.996</v>
      </c>
      <c r="H147" s="164" t="n">
        <f aca="false">H141-((H144*1.2)+(H145*1.2)+(H146*1.2)+(H142*1.2))</f>
        <v>26000.004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1958.34</v>
      </c>
      <c r="I148" s="1" t="n">
        <f aca="false">(H148-G81)/1.2</f>
        <v>-19284.72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25100.004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816.885924857642</v>
      </c>
      <c r="B167" s="177" t="n">
        <f aca="false">B94</f>
        <v>29.6228571428571</v>
      </c>
      <c r="C167" s="174"/>
      <c r="D167" s="174"/>
      <c r="E167" s="177" t="n">
        <f aca="false">B96</f>
        <v>846.508782000499</v>
      </c>
      <c r="F167" s="23"/>
      <c r="G167" s="23" t="n">
        <f aca="false">ROUND(G95, 2)</f>
        <v>769.29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21666.67</v>
      </c>
      <c r="B173" s="103" t="n">
        <f aca="false">H137</f>
        <v>4333.334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26000.004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25100.004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4337.51215201796</v>
      </c>
      <c r="B182" s="103" t="str">
        <f aca="false">B114</f>
        <v>239.99</v>
      </c>
      <c r="C182" s="103"/>
      <c r="D182" s="23"/>
      <c r="E182" s="103" t="n">
        <f aca="false">E179+A182+B182+A185</f>
        <v>29687.506152018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IF(A40=0,(E167+A185),(E170+A185))</f>
        <v>856.508782000499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209.1667</v>
      </c>
      <c r="C188" s="93"/>
      <c r="D188" s="93"/>
      <c r="E188" s="103" t="n">
        <f aca="false">(E40*A108)*0.1*(C45/100)</f>
        <v>14.4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323.558366666667</v>
      </c>
      <c r="C191" s="93"/>
      <c r="D191" s="93"/>
      <c r="E191" s="103" t="n">
        <f aca="false">H148</f>
        <v>1958.34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846.508782000499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2671.6547820005</v>
      </c>
      <c r="B201" s="186" t="n">
        <f aca="false">E179+A201+B182+A185</f>
        <v>28021.6487820005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816.885924857642</v>
      </c>
      <c r="B212" s="177" t="n">
        <f aca="false">B167</f>
        <v>29.6228571428571</v>
      </c>
      <c r="C212" s="174"/>
      <c r="D212" s="174"/>
      <c r="E212" s="177" t="n">
        <f aca="false">E167</f>
        <v>846.508782000499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21666.67</v>
      </c>
      <c r="B215" s="103" t="n">
        <f aca="false">B173</f>
        <v>4333.334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26000.004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25100.004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4337.51215201796</v>
      </c>
      <c r="B224" s="103" t="str">
        <f aca="false">B182</f>
        <v>239.99</v>
      </c>
      <c r="C224" s="103"/>
      <c r="D224" s="113"/>
      <c r="E224" s="103" t="n">
        <f aca="false">E182</f>
        <v>29687.506152018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816.885924857642</v>
      </c>
      <c r="B230" s="103" t="n">
        <f aca="false">B167</f>
        <v>29.6228571428571</v>
      </c>
      <c r="C230" s="186"/>
      <c r="D230" s="186"/>
      <c r="E230" s="103" t="n">
        <f aca="false">E167</f>
        <v>846.508782000499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856.508782000499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1958.34</v>
      </c>
      <c r="B240" s="103" t="n">
        <f aca="false">B68</f>
        <v>209.1667</v>
      </c>
      <c r="C240" s="93"/>
      <c r="D240" s="93"/>
      <c r="E240" s="103" t="n">
        <f aca="false">E188</f>
        <v>14.4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2281.89836666666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1675.85737001746</v>
      </c>
      <c r="C254" s="197"/>
      <c r="D254" s="198" t="s">
        <v>216</v>
      </c>
      <c r="E254" s="198"/>
      <c r="F254" s="200" t="n">
        <f aca="false">F261+F267+F269+B270+B271</f>
        <v>251.00004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243.991666666667</v>
      </c>
      <c r="C255" s="197"/>
      <c r="D255" s="198" t="s">
        <v>218</v>
      </c>
      <c r="E255" s="198"/>
      <c r="F255" s="200" t="n">
        <f aca="false">(B254-F254)+B255</f>
        <v>1668.84899668413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1675.85737001746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251.00004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144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1668.84899668413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1080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254.078626612779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224.078626612779</v>
      </c>
      <c r="B36" s="232" t="n">
        <f aca="false">IF(B26="YES", K42, "0.00")</f>
        <v>30</v>
      </c>
      <c r="C36" s="232"/>
      <c r="D36" s="232"/>
      <c r="E36" s="232" t="n">
        <f aca="false">K31</f>
        <v>20000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38770.3735299912</v>
      </c>
      <c r="N39" s="1" t="n">
        <f aca="false">K39-L39</f>
        <v>-17812.0435299912</v>
      </c>
      <c r="P39" s="212"/>
    </row>
    <row r="40" customFormat="false" ht="17.35" hidden="false" customHeight="false" outlineLevel="0" collapsed="false">
      <c r="A40" s="107" t="n">
        <f aca="false">E36*A45/100</f>
        <v>20000</v>
      </c>
      <c r="B40" s="107" t="n">
        <f aca="false">IF(B26="YES", K42, "0.00")</f>
        <v>30</v>
      </c>
      <c r="C40" s="107"/>
      <c r="D40" s="107"/>
      <c r="E40" s="182" t="n">
        <f aca="false">K32</f>
        <v>1080</v>
      </c>
      <c r="F40" s="186"/>
      <c r="G40" s="186"/>
      <c r="H40" s="47"/>
      <c r="J40" s="2" t="s">
        <v>106</v>
      </c>
      <c r="K40" s="2" t="n">
        <f aca="false">(A40)/1.2</f>
        <v>16666.6666666667</v>
      </c>
      <c r="L40" s="2" t="n">
        <f aca="false">K39-L39</f>
        <v>-17812.0435299912</v>
      </c>
      <c r="N40" s="1" t="n">
        <f aca="false">N38-N39</f>
        <v>20723.7235299912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30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13647.2071058677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7311.1228941323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224.078626612779</v>
      </c>
      <c r="L47" s="2" t="n">
        <f aca="false">L49-K42</f>
        <v>770</v>
      </c>
      <c r="M47" s="1" t="n">
        <f aca="false">K47-L47</f>
        <v>-545.921373387221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254.078626612779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254.078626612779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4415.76039775361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224.078626612779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224.078626612779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254.078626612779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254.078626612779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20000</v>
      </c>
      <c r="C82" s="93"/>
      <c r="D82" s="93"/>
      <c r="E82" s="113"/>
      <c r="F82" s="31" t="s">
        <v>106</v>
      </c>
      <c r="G82" s="33" t="n">
        <f aca="false">IF(A111 = "Yes", A40, 0)</f>
        <v>20000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20000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20000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B59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14187.6931927125</v>
      </c>
      <c r="C86" s="93"/>
      <c r="D86" s="93"/>
      <c r="E86" s="113"/>
      <c r="F86" s="31" t="s">
        <v>110</v>
      </c>
      <c r="G86" s="33" t="n">
        <f aca="false">(G82/((1+G84)^(G85+1)))</f>
        <v>16465.3553732294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13529.3569525544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13529.3569525544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29.6156943349079</v>
      </c>
      <c r="C87" s="93"/>
      <c r="D87" s="93"/>
      <c r="E87" s="113"/>
      <c r="F87" s="31" t="s">
        <v>111</v>
      </c>
      <c r="G87" s="33" t="n">
        <f aca="false">((1-(1/((1+G84)^G85)))/G84)</f>
        <v>31.8042210938366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10562.3028072875</v>
      </c>
      <c r="C88" s="93"/>
      <c r="D88" s="93"/>
      <c r="E88" s="113"/>
      <c r="F88" s="31" t="s">
        <v>112</v>
      </c>
      <c r="G88" s="33" t="n">
        <f aca="false">G81-G86</f>
        <v>8284.64062677062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356.64545588039</v>
      </c>
      <c r="C89" s="93"/>
      <c r="D89" s="93"/>
      <c r="E89" s="113"/>
      <c r="F89" s="31" t="s">
        <v>113</v>
      </c>
      <c r="G89" s="33" t="n">
        <f aca="false">(G88/G87)</f>
        <v>260.488713190845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12482.5909558137</v>
      </c>
      <c r="C90" s="93"/>
      <c r="D90" s="93"/>
      <c r="E90" s="113"/>
      <c r="F90" s="31" t="s">
        <v>114</v>
      </c>
      <c r="G90" s="33" t="n">
        <f aca="false">((G89*(G85))+G77)</f>
        <v>9117.10496167959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12482.5909558137</v>
      </c>
      <c r="C92" s="93"/>
      <c r="D92" s="93"/>
      <c r="E92" s="113"/>
      <c r="F92" s="56" t="s">
        <v>116</v>
      </c>
      <c r="G92" s="65" t="n">
        <f aca="false">(G90+G91)</f>
        <v>9117.10496167959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n">
        <f aca="false">IF(B26="YES",((E40/B85)*(1+A108)*(C45/100)),"0")</f>
        <v>37.0285714285714</v>
      </c>
      <c r="C94" s="93"/>
      <c r="D94" s="93"/>
      <c r="E94" s="113"/>
      <c r="F94" s="88" t="s">
        <v>117</v>
      </c>
      <c r="G94" s="94" t="n">
        <f aca="false">IF(B26="YES",((E40/B85)*(1+A108)*(C45/100)),"0")</f>
        <v>37.0285714285714</v>
      </c>
      <c r="H94" s="33"/>
      <c r="J94" s="88" t="s">
        <v>117</v>
      </c>
      <c r="K94" s="89" t="n">
        <f aca="false">((E40/K85)*(1+J108))*1.2</f>
        <v>46.8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37.0285714285714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44.4342857142857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(B92/B85)</f>
        <v>356.64545588039</v>
      </c>
      <c r="C95" s="93"/>
      <c r="D95" s="93"/>
      <c r="E95" s="113"/>
      <c r="F95" s="95" t="s">
        <v>118</v>
      </c>
      <c r="G95" s="96" t="n">
        <f aca="false">G92/(G85)</f>
        <v>260.488713190845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393.674027308961</v>
      </c>
      <c r="C96" s="93"/>
      <c r="D96" s="93"/>
      <c r="E96" s="113"/>
      <c r="F96" s="97" t="s">
        <v>119</v>
      </c>
      <c r="G96" s="98" t="n">
        <f aca="false">G94+G95</f>
        <v>297.517284619417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18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356.64545588039</v>
      </c>
      <c r="B167" s="177" t="n">
        <f aca="false">B94</f>
        <v>37.0285714285714</v>
      </c>
      <c r="C167" s="174"/>
      <c r="D167" s="174"/>
      <c r="E167" s="177" t="n">
        <f aca="false">B96</f>
        <v>393.674027308961</v>
      </c>
      <c r="F167" s="23"/>
      <c r="G167" s="23" t="n">
        <f aca="false">ROUND(G95, 2)</f>
        <v>260.49</v>
      </c>
      <c r="H167" s="33"/>
      <c r="J167" s="176" t="e">
        <f aca="false">K95</f>
        <v>#VALUE!</v>
      </c>
      <c r="K167" s="177" t="n">
        <f aca="false">K94</f>
        <v>46.8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37.0285714285714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44.4342857142857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20000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20000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20000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20000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7732.59495581365</v>
      </c>
      <c r="B182" s="103" t="str">
        <f aca="false">B114</f>
        <v>199.99</v>
      </c>
      <c r="C182" s="103"/>
      <c r="D182" s="23"/>
      <c r="E182" s="103" t="n">
        <f aca="false">E179+A182+(B182*1.2)+A185</f>
        <v>32732.5789558137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20010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20010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20010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21.6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32.4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21.6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21.6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327.839966666667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393.674027308961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4367.154</v>
      </c>
      <c r="B201" s="186" t="n">
        <f aca="false">E179+A201+(B182*1.2)+A185</f>
        <v>29367.138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356.64545588039</v>
      </c>
      <c r="B212" s="177" t="n">
        <f aca="false">B167</f>
        <v>37.0285714285714</v>
      </c>
      <c r="C212" s="174"/>
      <c r="D212" s="174"/>
      <c r="E212" s="177" t="n">
        <f aca="false">E167</f>
        <v>393.674027308961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7732.59495581365</v>
      </c>
      <c r="B224" s="103" t="str">
        <f aca="false">B182</f>
        <v>199.99</v>
      </c>
      <c r="C224" s="103"/>
      <c r="D224" s="113"/>
      <c r="E224" s="103" t="n">
        <f aca="false">E182</f>
        <v>32732.5789558137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356.64545588039</v>
      </c>
      <c r="B230" s="103" t="n">
        <f aca="false">B167</f>
        <v>37.0285714285714</v>
      </c>
      <c r="C230" s="186"/>
      <c r="D230" s="186"/>
      <c r="E230" s="103" t="n">
        <f aca="false">E167</f>
        <v>393.674027308961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20000</v>
      </c>
      <c r="B233" s="103" t="n">
        <f aca="false">E185</f>
        <v>20010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7.481</v>
      </c>
      <c r="B236" s="103" t="n">
        <f aca="false">E233+A236</f>
        <v>29.924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21.6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2077.83996666667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3375.44095581365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315.99</v>
      </c>
      <c r="C255" s="197"/>
      <c r="D255" s="198" t="s">
        <v>218</v>
      </c>
      <c r="E255" s="198"/>
      <c r="F255" s="200" t="n">
        <f aca="false">(B254-F254)+B255</f>
        <v>3443.93099581365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3375.44095581365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216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3443.93099581365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282.47277985001</v>
      </c>
      <c r="F33" s="232"/>
      <c r="G33" s="232"/>
      <c r="H33" s="47"/>
      <c r="I33" s="2"/>
      <c r="J33" s="34" t="s">
        <v>356</v>
      </c>
      <c r="K33" s="48" t="n">
        <f aca="false">E21</f>
        <v>20958.33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282.47277985001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20958.33</v>
      </c>
      <c r="L39" s="2" t="n">
        <f aca="false">(L47*K46)+K44</f>
        <v>37719.2069181402</v>
      </c>
      <c r="N39" s="1" t="n">
        <f aca="false">K39-L39</f>
        <v>-16760.8769181402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-16760.8769181402</v>
      </c>
      <c r="N40" s="1" t="n">
        <f aca="false">N38-N39</f>
        <v>19672.5569181402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9148.29464316638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282.47277985001</v>
      </c>
      <c r="L47" s="2" t="n">
        <f aca="false">L49-K42</f>
        <v>800</v>
      </c>
      <c r="M47" s="1" t="n">
        <f aca="false">K47-L47</f>
        <v>-517.527220149989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282.47277985001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282.47277985001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4667.59050163793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282.47277985001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282.47277985001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282.47277985001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282.47277985001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20958.33</v>
      </c>
      <c r="C121" s="121" t="n">
        <v>22708.33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25149.996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25149.996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25149.996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20958.33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20958.33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4191.666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25149.996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25149.996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1750</v>
      </c>
      <c r="I148" s="1" t="n">
        <f aca="false">(H148-G81)/1.2</f>
        <v>-19166.6633333333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239.99</v>
      </c>
      <c r="C182" s="103"/>
      <c r="D182" s="23"/>
      <c r="E182" s="103" t="n">
        <f aca="false">E179+A182+B182+A185</f>
        <v>32661.6005762383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306.241633333333</v>
      </c>
      <c r="C191" s="93"/>
      <c r="D191" s="93"/>
      <c r="E191" s="103" t="n">
        <f aca="false">H148</f>
        <v>1750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E179+A201+B182+A185</f>
        <v>29458.64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239.99</v>
      </c>
      <c r="C224" s="103"/>
      <c r="D224" s="113"/>
      <c r="E224" s="103" t="n">
        <f aca="false">E182</f>
        <v>32661.6005762383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1750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2056.24163333333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99.9916666666667</v>
      </c>
      <c r="C255" s="197"/>
      <c r="D255" s="198" t="s">
        <v>218</v>
      </c>
      <c r="E255" s="198"/>
      <c r="F255" s="200" t="n">
        <f aca="false">(B254-F254)+B255</f>
        <v>3065.45228290497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3065.45228290497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21375</v>
      </c>
      <c r="C2" s="4" t="s">
        <v>2</v>
      </c>
      <c r="D2" s="5" t="n">
        <f aca="false">C9</f>
        <v>4275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25650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21375</v>
      </c>
      <c r="C9" s="14" t="n">
        <f aca="false">B9*0.2</f>
        <v>4275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21375</v>
      </c>
      <c r="C15" s="14" t="n">
        <f aca="false">SUM(C9:C13)</f>
        <v>4275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25650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21375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82</v>
      </c>
      <c r="K29" s="448" t="n">
        <v>36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17575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295.338339800905</v>
      </c>
      <c r="F33" s="232"/>
      <c r="G33" s="232"/>
      <c r="H33" s="47"/>
      <c r="I33" s="2"/>
      <c r="J33" s="34" t="s">
        <v>356</v>
      </c>
      <c r="K33" s="48" t="n">
        <f aca="false">E21</f>
        <v>21375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295.338339800905</v>
      </c>
      <c r="B36" s="232" t="str">
        <f aca="false">IF(B26="YES", K42, "0.00")</f>
        <v>0.00</v>
      </c>
      <c r="C36" s="232"/>
      <c r="D36" s="232"/>
      <c r="E36" s="232" t="n">
        <f aca="false">K31</f>
        <v>17575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21375</v>
      </c>
      <c r="L39" s="2" t="n">
        <f aca="false">(L47*K46)+K44</f>
        <v>37719.2069181402</v>
      </c>
      <c r="N39" s="1" t="n">
        <f aca="false">K39-L39</f>
        <v>-16344.2069181402</v>
      </c>
      <c r="P39" s="212"/>
    </row>
    <row r="40" customFormat="false" ht="17.35" hidden="false" customHeight="false" outlineLevel="0" collapsed="false">
      <c r="A40" s="107" t="n">
        <f aca="false">E36*A45/100</f>
        <v>17575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14645.8333333333</v>
      </c>
      <c r="L40" s="2" t="n">
        <f aca="false">K39-L39</f>
        <v>-16344.2069181402</v>
      </c>
      <c r="N40" s="1" t="n">
        <f aca="false">N38-N39</f>
        <v>19255.8869181402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11810.0353568336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9564.96464316637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295.338339800905</v>
      </c>
      <c r="L47" s="2" t="n">
        <f aca="false">L49-K42</f>
        <v>800</v>
      </c>
      <c r="M47" s="1" t="n">
        <f aca="false">K47-L47</f>
        <v>-504.661660199095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295.338339800905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295.338339800905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4204.43034340573</v>
      </c>
      <c r="C65" s="93"/>
      <c r="D65" s="93"/>
      <c r="E65" s="113"/>
      <c r="F65" s="113"/>
      <c r="G65" s="113"/>
      <c r="H65" s="33"/>
      <c r="J65" s="56" t="s">
        <v>90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90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90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206.249966666667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93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295.338339800905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295.338339800905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295.338339800905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295.338339800905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24749.996</v>
      </c>
      <c r="C81" s="93"/>
      <c r="D81" s="93"/>
      <c r="E81" s="113"/>
      <c r="F81" s="25" t="s">
        <v>105</v>
      </c>
      <c r="G81" s="27" t="n">
        <f aca="false">G158</f>
        <v>24749.996</v>
      </c>
      <c r="H81" s="33"/>
      <c r="J81" s="25" t="s">
        <v>105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105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105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17575</v>
      </c>
      <c r="C82" s="93"/>
      <c r="D82" s="93"/>
      <c r="E82" s="113"/>
      <c r="F82" s="31" t="s">
        <v>106</v>
      </c>
      <c r="G82" s="33" t="n">
        <f aca="false">IF(A111 = "Yes", A40, 0)</f>
        <v>17575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17575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17575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0.12</v>
      </c>
      <c r="C83" s="93"/>
      <c r="D83" s="93"/>
      <c r="E83" s="113"/>
      <c r="F83" s="31" t="s">
        <v>107</v>
      </c>
      <c r="G83" s="91" t="n">
        <f aca="false">B63</f>
        <v>0.07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0.01</v>
      </c>
      <c r="C84" s="93"/>
      <c r="D84" s="93"/>
      <c r="E84" s="113"/>
      <c r="F84" s="31" t="s">
        <v>108</v>
      </c>
      <c r="G84" s="92" t="n">
        <f aca="false">G83/12</f>
        <v>0.00583333333333333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35</v>
      </c>
      <c r="C85" s="93"/>
      <c r="D85" s="93"/>
      <c r="E85" s="113"/>
      <c r="F85" s="31" t="s">
        <v>109</v>
      </c>
      <c r="G85" s="33" t="n">
        <f aca="false">IF(G82=0, (B59+B58), (B59))</f>
        <v>35</v>
      </c>
      <c r="H85" s="33"/>
      <c r="J85" s="31" t="s">
        <v>109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12283.6059896991</v>
      </c>
      <c r="C86" s="93"/>
      <c r="D86" s="93"/>
      <c r="E86" s="113"/>
      <c r="F86" s="31" t="s">
        <v>110</v>
      </c>
      <c r="G86" s="33" t="n">
        <f aca="false">(G82/((1+G84)^(G85+1)))</f>
        <v>14254.7126756982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11888.9224220572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11888.9224220572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29.4085800876469</v>
      </c>
      <c r="C87" s="93"/>
      <c r="D87" s="93"/>
      <c r="E87" s="113"/>
      <c r="F87" s="31" t="s">
        <v>111</v>
      </c>
      <c r="G87" s="33" t="n">
        <f aca="false">((1-(1/((1+G84)^G85)))/G84)</f>
        <v>31.5753854942677</v>
      </c>
      <c r="H87" s="33"/>
      <c r="J87" s="31" t="s">
        <v>111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12466.3900103009</v>
      </c>
      <c r="C88" s="93"/>
      <c r="D88" s="93"/>
      <c r="E88" s="113"/>
      <c r="F88" s="31" t="s">
        <v>112</v>
      </c>
      <c r="G88" s="33" t="n">
        <f aca="false">G81-G86</f>
        <v>10495.2833243018</v>
      </c>
      <c r="H88" s="33"/>
      <c r="J88" s="31" t="s">
        <v>112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112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112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423.903159321094</v>
      </c>
      <c r="C89" s="93"/>
      <c r="D89" s="93"/>
      <c r="E89" s="113"/>
      <c r="F89" s="31" t="s">
        <v>113</v>
      </c>
      <c r="G89" s="33" t="n">
        <f aca="false">(G88/G87)</f>
        <v>332.388129551329</v>
      </c>
      <c r="H89" s="33"/>
      <c r="J89" s="31" t="s">
        <v>113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113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113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14836.6105762383</v>
      </c>
      <c r="C90" s="93"/>
      <c r="D90" s="93"/>
      <c r="E90" s="113"/>
      <c r="F90" s="31" t="s">
        <v>114</v>
      </c>
      <c r="G90" s="33" t="n">
        <f aca="false">((G89*(G85))+G77)</f>
        <v>11633.5845342965</v>
      </c>
      <c r="H90" s="33"/>
      <c r="J90" s="31" t="s">
        <v>114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114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114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115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115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14836.6105762383</v>
      </c>
      <c r="C92" s="93"/>
      <c r="D92" s="93"/>
      <c r="E92" s="113"/>
      <c r="F92" s="56" t="s">
        <v>116</v>
      </c>
      <c r="G92" s="65" t="n">
        <f aca="false">(G90+G91)</f>
        <v>11633.5845342965</v>
      </c>
      <c r="H92" s="33"/>
      <c r="J92" s="56" t="s">
        <v>116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116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116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423.903159321094</v>
      </c>
      <c r="C95" s="93"/>
      <c r="D95" s="93"/>
      <c r="E95" s="113"/>
      <c r="F95" s="95" t="s">
        <v>118</v>
      </c>
      <c r="G95" s="96" t="n">
        <f aca="false">G92/(G85)</f>
        <v>332.388129551329</v>
      </c>
      <c r="H95" s="33"/>
      <c r="J95" s="95" t="s">
        <v>118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118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118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423.903159321094</v>
      </c>
      <c r="C96" s="93"/>
      <c r="D96" s="93"/>
      <c r="E96" s="113"/>
      <c r="F96" s="97" t="s">
        <v>119</v>
      </c>
      <c r="G96" s="98" t="n">
        <f aca="false">G94+G95</f>
        <v>332.388129551329</v>
      </c>
      <c r="H96" s="33"/>
      <c r="J96" s="97" t="s">
        <v>119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119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119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B9</f>
        <v>21375</v>
      </c>
      <c r="C121" s="121" t="n">
        <v>22708.33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149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149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150</v>
      </c>
      <c r="K122" s="123" t="n">
        <f aca="false">B4</f>
        <v>25650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150</v>
      </c>
      <c r="T122" s="123" t="n">
        <f aca="false">B4</f>
        <v>25650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150</v>
      </c>
      <c r="AC122" s="123" t="n">
        <f aca="false">B4</f>
        <v>25650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152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152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21375</v>
      </c>
      <c r="C125" s="133" t="n">
        <f aca="false">C121-C124</f>
        <v>22708.33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153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153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B121</f>
        <v>21375</v>
      </c>
      <c r="H135" s="153" t="n">
        <f aca="false">C125+E125+G125+H128</f>
        <v>22708.33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33" t="n">
        <f aca="false">(G135+G136)*20%</f>
        <v>4275</v>
      </c>
      <c r="H137" s="33" t="n">
        <f aca="false">(H135+H136)*20%</f>
        <v>4541.666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157" t="n">
        <f aca="false">(G135+G136+G139+G140+G137)-G138</f>
        <v>25650</v>
      </c>
      <c r="H141" s="157" t="n">
        <f aca="false">(H135+H136+H139+H140+H137)-H138</f>
        <v>27249.996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25650</v>
      </c>
      <c r="H147" s="164" t="n">
        <f aca="false">H141-((H144*1.2)+(H145*1.2)+(H146*1.2)+(H142*1.2))</f>
        <v>27249.996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1333.33</v>
      </c>
      <c r="I148" s="1" t="n">
        <f aca="false">(H148-G81)/1.2</f>
        <v>-19513.8883333333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172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24749.996</v>
      </c>
      <c r="H158" s="170"/>
      <c r="J158" s="169" t="s">
        <v>179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179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423.903159321094</v>
      </c>
      <c r="B167" s="177" t="str">
        <f aca="false">B94</f>
        <v>0</v>
      </c>
      <c r="C167" s="174"/>
      <c r="D167" s="174"/>
      <c r="E167" s="177" t="n">
        <f aca="false">B96</f>
        <v>423.903159321094</v>
      </c>
      <c r="F167" s="23"/>
      <c r="G167" s="23" t="n">
        <f aca="false">ROUND(G95, 2)</f>
        <v>332.39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17575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17575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17575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17575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22708.33</v>
      </c>
      <c r="B173" s="103" t="n">
        <f aca="false">H137</f>
        <v>4541.666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27249.996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24749.996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7661.6145762383</v>
      </c>
      <c r="B182" s="103" t="str">
        <f aca="false">B114</f>
        <v>199.99</v>
      </c>
      <c r="C182" s="103"/>
      <c r="D182" s="23"/>
      <c r="E182" s="103" t="n">
        <f aca="false">E179+A182+(B182*1.2)+A185</f>
        <v>32661.5985762383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17585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17595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17585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17585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206.249966666667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306.239966666667</v>
      </c>
      <c r="C191" s="93"/>
      <c r="D191" s="93"/>
      <c r="E191" s="103" t="n">
        <f aca="false">H148</f>
        <v>1333.33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423.903159321094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4458.654</v>
      </c>
      <c r="B201" s="186" t="n">
        <f aca="false">E179+A201+(B182*1.2)+A185</f>
        <v>29458.638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423.903159321094</v>
      </c>
      <c r="B212" s="177" t="str">
        <f aca="false">B167</f>
        <v>0</v>
      </c>
      <c r="C212" s="174"/>
      <c r="D212" s="174"/>
      <c r="E212" s="177" t="n">
        <f aca="false">E167</f>
        <v>423.903159321094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22708.33</v>
      </c>
      <c r="B215" s="103" t="n">
        <f aca="false">B173</f>
        <v>4541.666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27249.996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24749.996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7661.6145762383</v>
      </c>
      <c r="B224" s="103" t="str">
        <f aca="false">B182</f>
        <v>199.99</v>
      </c>
      <c r="C224" s="103"/>
      <c r="D224" s="113"/>
      <c r="E224" s="103" t="n">
        <f aca="false">E182</f>
        <v>32661.5985762383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423.903159321094</v>
      </c>
      <c r="B230" s="103" t="str">
        <f aca="false">B167</f>
        <v>0</v>
      </c>
      <c r="C230" s="186"/>
      <c r="D230" s="186"/>
      <c r="E230" s="103" t="n">
        <f aca="false">E167</f>
        <v>423.903159321094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17575</v>
      </c>
      <c r="B233" s="103" t="n">
        <f aca="false">E185</f>
        <v>17585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1333.33</v>
      </c>
      <c r="B240" s="103" t="n">
        <f aca="false">B68</f>
        <v>206.249966666667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1639.56996666667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0.07</v>
      </c>
      <c r="C253" s="197"/>
      <c r="D253" s="198" t="s">
        <v>214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3212.9605762383</v>
      </c>
      <c r="C254" s="197"/>
      <c r="D254" s="198" t="s">
        <v>216</v>
      </c>
      <c r="E254" s="198"/>
      <c r="F254" s="200" t="n">
        <f aca="false">F261+F267+F269+B270+B271</f>
        <v>247.49996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3065.4506162383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0.12</v>
      </c>
      <c r="C260" s="43"/>
      <c r="D260" s="166" t="s">
        <v>215</v>
      </c>
      <c r="E260" s="166"/>
      <c r="F260" s="146" t="n">
        <f aca="false">B254</f>
        <v>3212.9605762383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0.01</v>
      </c>
      <c r="C261" s="32"/>
      <c r="D261" s="166" t="s">
        <v>221</v>
      </c>
      <c r="E261" s="166"/>
      <c r="F261" s="151" t="n">
        <f aca="false">B68*1.2</f>
        <v>247.49996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3065.4506162383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10918.999664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10996.0801376265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916.340011468872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916.340011468872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4000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916.340011468872</v>
      </c>
      <c r="B128" s="321" t="n">
        <f aca="false">IF(A105="YES", B89, 0)</f>
        <v>0</v>
      </c>
      <c r="C128" s="326"/>
      <c r="D128" s="321" t="n">
        <f aca="false">B91</f>
        <v>916.340011468872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8247.06010321985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8247.06010321985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916.340011468872</v>
      </c>
      <c r="B137" s="38" t="n">
        <f aca="false">IF(A105="YES", B89, 0)</f>
        <v>0</v>
      </c>
      <c r="C137" s="317"/>
      <c r="D137" s="38" t="n">
        <f aca="false">B91</f>
        <v>916.340011468872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751.48996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916.340011468872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916.340011468872</v>
      </c>
      <c r="B171" s="355" t="n">
        <f aca="false">IF(A105="YES", B89, 0)</f>
        <v>0</v>
      </c>
      <c r="C171" s="358"/>
      <c r="D171" s="355" t="n">
        <f aca="false">B91</f>
        <v>916.340011468872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8247.06010321985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8247.06010321985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916.340011468872</v>
      </c>
      <c r="B180" s="103" t="n">
        <f aca="false">IF(A105="YES", B89, 0)</f>
        <v>0</v>
      </c>
      <c r="C180" s="353"/>
      <c r="D180" s="103" t="n">
        <f aca="false">B91</f>
        <v>916.340011468872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751.48996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1848.98976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1848.98976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258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277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1760.49972</v>
      </c>
      <c r="C64" s="215" t="n">
        <v>10000</v>
      </c>
      <c r="D64" s="291" t="n">
        <f aca="false">B64</f>
        <v>1760.49972</v>
      </c>
      <c r="E64" s="216"/>
      <c r="F64" s="63"/>
      <c r="G64" s="285" t="s">
        <v>90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251.49996</v>
      </c>
      <c r="C67" s="215"/>
      <c r="D67" s="291"/>
      <c r="E67" s="216"/>
      <c r="F67" s="63"/>
      <c r="G67" s="285" t="s">
        <v>93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3087.16638666667</v>
      </c>
      <c r="C81" s="215"/>
      <c r="D81" s="215"/>
      <c r="E81" s="216"/>
      <c r="F81" s="63"/>
      <c r="G81" s="303" t="s">
        <v>102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257.263865555556</v>
      </c>
      <c r="C82" s="215"/>
      <c r="D82" s="215"/>
      <c r="E82" s="216"/>
      <c r="F82" s="63"/>
      <c r="G82" s="214" t="s">
        <v>103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9099.16638666667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77.0804736264623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9176.24686029313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764.687238357761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829.687238357761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s">
        <v>292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 t="n">
        <v>0</v>
      </c>
      <c r="C108" s="217"/>
      <c r="D108" s="217" t="n">
        <v>0</v>
      </c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764.687238357761</v>
      </c>
      <c r="B128" s="321" t="n">
        <f aca="false">IF(A105="YES", B89, 0)</f>
        <v>65</v>
      </c>
      <c r="C128" s="326"/>
      <c r="D128" s="321" t="n">
        <f aca="false">B91</f>
        <v>829.687238357761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6882.18514521985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7467.18514521985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764.687238357761</v>
      </c>
      <c r="B137" s="38" t="n">
        <f aca="false">IF(A105="YES", B89, 0)</f>
        <v>65</v>
      </c>
      <c r="C137" s="317"/>
      <c r="D137" s="38" t="n">
        <f aca="false">B91</f>
        <v>829.687238357761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251.49996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769.48996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829.687238357761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764.687238357761</v>
      </c>
      <c r="B171" s="355" t="n">
        <f aca="false">IF(A105="YES", B89, 0)</f>
        <v>65</v>
      </c>
      <c r="C171" s="358"/>
      <c r="D171" s="355" t="n">
        <f aca="false">B91</f>
        <v>829.687238357761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6882.18514521985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7467.18514521985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764.687238357761</v>
      </c>
      <c r="B180" s="103" t="n">
        <f aca="false">IF(A105="YES", B89, 0)</f>
        <v>65</v>
      </c>
      <c r="C180" s="353"/>
      <c r="D180" s="103" t="n">
        <f aca="false">B91</f>
        <v>829.687238357761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251.49996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769.48996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H29</f>
        <v>12</v>
      </c>
      <c r="C203" s="321" t="s">
        <v>215</v>
      </c>
      <c r="D203" s="370" t="n">
        <f aca="false">D64</f>
        <v>1760.49972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251.49996</v>
      </c>
      <c r="C205" s="320" t="s">
        <v>217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2028.98976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1760.49972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251.49996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2028.98976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77.0804736264623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6000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282.157016332866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232.157016332866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-36202.9820530432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374</v>
      </c>
      <c r="H45" s="238" t="n">
        <f aca="false">(H39-H44)</f>
        <v>7518.74495666159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232.157016332866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282.157016332866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282.157016332866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10780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299.444444444444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232.157016332866</v>
      </c>
      <c r="C83" s="473"/>
      <c r="D83" s="215"/>
      <c r="E83" s="466" t="n">
        <f aca="false">B83+E80+E77+E64</f>
        <v>531.60146077731</v>
      </c>
      <c r="F83" s="63"/>
      <c r="G83" s="305" t="s">
        <v>104</v>
      </c>
      <c r="H83" s="306" t="n">
        <f aca="false">H47</f>
        <v>232.157016332866</v>
      </c>
      <c r="I83" s="215"/>
      <c r="J83" s="215"/>
      <c r="K83" s="216"/>
      <c r="L83" s="63"/>
      <c r="M83" s="305" t="s">
        <v>104</v>
      </c>
      <c r="N83" s="306" t="n">
        <f aca="false">H47</f>
        <v>232.157016332866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19137.6525879832</v>
      </c>
      <c r="C85" s="473"/>
      <c r="D85" s="473"/>
      <c r="E85" s="466" t="n">
        <f aca="false">B85/(B58+B57)</f>
        <v>531.60146077731</v>
      </c>
      <c r="F85" s="63"/>
      <c r="G85" s="288" t="s">
        <v>114</v>
      </c>
      <c r="H85" s="131" t="n">
        <f aca="false">((H83*H29)+H81)*1.2</f>
        <v>11308.0831055798</v>
      </c>
      <c r="I85" s="215"/>
      <c r="J85" s="215"/>
      <c r="K85" s="216"/>
      <c r="L85" s="63"/>
      <c r="M85" s="288" t="s">
        <v>114</v>
      </c>
      <c r="N85" s="131" t="n">
        <f aca="false">((N83*H29)+N81)</f>
        <v>9079.65258798317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162.118073556937</v>
      </c>
      <c r="C86" s="473" t="s">
        <v>230</v>
      </c>
      <c r="D86" s="215"/>
      <c r="E86" s="466" t="n">
        <f aca="false">B86/(B58+B57)</f>
        <v>4.50327982102603</v>
      </c>
      <c r="F86" s="63"/>
      <c r="G86" s="214" t="s">
        <v>115</v>
      </c>
      <c r="H86" s="300" t="n">
        <f aca="false">((((H83*H29)+H81))/(1-H70))*H70</f>
        <v>79.8271296279332</v>
      </c>
      <c r="I86" s="215"/>
      <c r="J86" s="215"/>
      <c r="K86" s="216"/>
      <c r="L86" s="63"/>
      <c r="M86" s="214" t="s">
        <v>115</v>
      </c>
      <c r="N86" s="300" t="n">
        <f aca="false">(N85/(1-N70))*N70</f>
        <v>76.9151691600026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19299.7706615401</v>
      </c>
      <c r="C87" s="473"/>
      <c r="D87" s="475"/>
      <c r="E87" s="466" t="n">
        <f aca="false">E86+E85</f>
        <v>536.104740598336</v>
      </c>
      <c r="F87" s="63"/>
      <c r="G87" s="285" t="s">
        <v>116</v>
      </c>
      <c r="H87" s="133" t="n">
        <f aca="false">IF(H110="YES",((H85+H86)-K114),(H85+H86))</f>
        <v>11387.9102352077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9156.56775714317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536.104740598336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277.753908175798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223.330920905931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601.104740598336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488.485615492872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398.940677003492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277.753908175798</v>
      </c>
      <c r="H127" s="177" t="n">
        <f aca="false">IF(G105="YES", H89*H57, 0)</f>
        <v>1264.39024390244</v>
      </c>
      <c r="I127" s="177"/>
      <c r="J127" s="334" t="n">
        <f aca="false">H91</f>
        <v>488.485615492872</v>
      </c>
      <c r="K127" s="216"/>
      <c r="L127" s="63"/>
      <c r="M127" s="333" t="n">
        <f aca="false">N90</f>
        <v>223.330920905931</v>
      </c>
      <c r="N127" s="177" t="n">
        <f aca="false">IF(M105="YES", N89*N57, 0)</f>
        <v>1053.65853658537</v>
      </c>
      <c r="O127" s="177"/>
      <c r="P127" s="177" t="n">
        <f aca="false">N91</f>
        <v>398.940677003492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536.104740598336</v>
      </c>
      <c r="B128" s="321" t="n">
        <f aca="false">IF(A105="YES", B89, 0)</f>
        <v>65</v>
      </c>
      <c r="C128" s="325"/>
      <c r="D128" s="321" t="n">
        <f aca="false">B91</f>
        <v>601.104740598336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536.104740598336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1666.52344905479</v>
      </c>
      <c r="H133" s="103" t="n">
        <f aca="false">IF(G105="YES", H89*H57, 0)</f>
        <v>1264.39024390244</v>
      </c>
      <c r="I133" s="221"/>
      <c r="J133" s="184" t="n">
        <f aca="false">H91*H57</f>
        <v>2930.91369295723</v>
      </c>
      <c r="K133" s="216"/>
      <c r="L133" s="63"/>
      <c r="M133" s="185" t="n">
        <f aca="false">N90*N57</f>
        <v>1339.98552543559</v>
      </c>
      <c r="N133" s="103" t="n">
        <f aca="false">IF(M105="YES", N89*N57, 0)</f>
        <v>1053.65853658537</v>
      </c>
      <c r="O133" s="221"/>
      <c r="P133" s="184" t="n">
        <f aca="false">N91*N57</f>
        <v>2393.64406202095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601.104740598336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536.104740598336</v>
      </c>
      <c r="B137" s="38" t="n">
        <f aca="false">IF(A105="YES", B89, 0)</f>
        <v>65</v>
      </c>
      <c r="C137" s="317"/>
      <c r="D137" s="38" t="n">
        <f aca="false">B91</f>
        <v>601.104740598336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54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656.98992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488.485615492872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398.940677003492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601.104740598336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536.104740598336</v>
      </c>
      <c r="B177" s="355" t="n">
        <f aca="false">IF(A105="YES", B89, 0)</f>
        <v>65</v>
      </c>
      <c r="C177" s="357"/>
      <c r="D177" s="355" t="n">
        <f aca="false">B91</f>
        <v>601.104740598336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536.104740598336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601.104740598336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536.104740598336</v>
      </c>
      <c r="B186" s="103" t="n">
        <f aca="false">IF(A105="YES", B89, 0)</f>
        <v>65</v>
      </c>
      <c r="C186" s="353"/>
      <c r="D186" s="103" t="n">
        <f aca="false">B91</f>
        <v>601.104740598336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656.98992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639.99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10136.99008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10136.99008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162.118073556937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658.9795089829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658.9795089829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0</v>
      </c>
      <c r="I40" s="238" t="n">
        <f aca="false">H39-I39</f>
        <v>-23567.5795313712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20958.33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658.9795089829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658.9795089829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658.9795089829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B60*B63</f>
        <v>2604.0725025</v>
      </c>
      <c r="C64" s="465" t="n">
        <v>10000</v>
      </c>
      <c r="D64" s="291" t="n">
        <f aca="false">B64</f>
        <v>2604.0725025</v>
      </c>
      <c r="E64" s="466" t="n">
        <f aca="false">D64/(B58+B57)</f>
        <v>74.4020715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492.520755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222.222222222222</v>
      </c>
      <c r="C77" s="473"/>
      <c r="D77" s="291" t="n">
        <f aca="false">B77</f>
        <v>222.222222222222</v>
      </c>
      <c r="E77" s="466" t="n">
        <f aca="false">D77/(B58+B57)</f>
        <v>6.34920634920635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4318.51694694444</v>
      </c>
      <c r="C81" s="473"/>
      <c r="D81" s="474"/>
      <c r="E81" s="466"/>
      <c r="F81" s="63"/>
      <c r="G81" s="303" t="s">
        <v>102</v>
      </c>
      <c r="H81" s="304" t="n">
        <f aca="false">SUM(J64:J80)</f>
        <v>1047.5</v>
      </c>
      <c r="I81" s="215"/>
      <c r="J81" s="215"/>
      <c r="K81" s="216"/>
      <c r="L81" s="63"/>
      <c r="M81" s="303" t="s">
        <v>102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123.386198484127</v>
      </c>
      <c r="C82" s="473"/>
      <c r="D82" s="215"/>
      <c r="E82" s="466"/>
      <c r="F82" s="63"/>
      <c r="G82" s="214" t="s">
        <v>103</v>
      </c>
      <c r="H82" s="300" t="n">
        <f aca="false">H81/H29</f>
        <v>29.9285714285714</v>
      </c>
      <c r="I82" s="215"/>
      <c r="J82" s="215"/>
      <c r="K82" s="216"/>
      <c r="L82" s="63"/>
      <c r="M82" s="214" t="s">
        <v>103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658.9795089829</v>
      </c>
      <c r="C83" s="473"/>
      <c r="D83" s="215"/>
      <c r="E83" s="466" t="n">
        <f aca="false">B83+E80+E77+E64</f>
        <v>776.016501117821</v>
      </c>
      <c r="F83" s="63"/>
      <c r="G83" s="305" t="s">
        <v>104</v>
      </c>
      <c r="H83" s="306" t="n">
        <f aca="false">H47</f>
        <v>658.9795089829</v>
      </c>
      <c r="I83" s="215"/>
      <c r="J83" s="215"/>
      <c r="K83" s="216"/>
      <c r="L83" s="63"/>
      <c r="M83" s="305" t="s">
        <v>104</v>
      </c>
      <c r="N83" s="306" t="n">
        <f aca="false">H47</f>
        <v>658.9795089829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32859.3597136151</v>
      </c>
      <c r="C85" s="473"/>
      <c r="D85" s="473"/>
      <c r="E85" s="466" t="n">
        <f aca="false">B85/(B58+B57)</f>
        <v>938.838848960432</v>
      </c>
      <c r="F85" s="63"/>
      <c r="G85" s="288" t="s">
        <v>114</v>
      </c>
      <c r="H85" s="131" t="n">
        <f aca="false">((H83*H29)+H81)*1.2</f>
        <v>28934.1393772818</v>
      </c>
      <c r="I85" s="215"/>
      <c r="J85" s="215"/>
      <c r="K85" s="216"/>
      <c r="L85" s="63"/>
      <c r="M85" s="288" t="s">
        <v>114</v>
      </c>
      <c r="N85" s="131" t="n">
        <f aca="false">((N83*H29)+N81)</f>
        <v>23781.7828144015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231.964015727416</v>
      </c>
      <c r="C86" s="473" t="s">
        <v>230</v>
      </c>
      <c r="D86" s="215"/>
      <c r="E86" s="466" t="n">
        <f aca="false">B86/(B58+B57)</f>
        <v>6.62754330649761</v>
      </c>
      <c r="F86" s="63"/>
      <c r="G86" s="214" t="s">
        <v>115</v>
      </c>
      <c r="H86" s="300" t="n">
        <f aca="false">((((H83*H29)+H81))/(1-H70))*H70</f>
        <v>204.254715249065</v>
      </c>
      <c r="I86" s="215"/>
      <c r="J86" s="215"/>
      <c r="K86" s="216"/>
      <c r="L86" s="63"/>
      <c r="M86" s="214" t="s">
        <v>115</v>
      </c>
      <c r="N86" s="300" t="n">
        <f aca="false">(N85/(1-N70))*N70</f>
        <v>201.459233199851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33091.3237293425</v>
      </c>
      <c r="C87" s="473"/>
      <c r="D87" s="475"/>
      <c r="E87" s="466" t="n">
        <f aca="false">E86+E85</f>
        <v>945.46639226693</v>
      </c>
      <c r="F87" s="63"/>
      <c r="G87" s="285" t="s">
        <v>116</v>
      </c>
      <c r="H87" s="133" t="n">
        <f aca="false">IF(H110="YES",((H85+H86)-K114),(H85+H86))</f>
        <v>29138.3940925309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23983.2420476013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945.46639226693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728.459852313271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599.581051190034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945.46639226693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728.459852313271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599.581051190034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200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1239.99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728.459852313271</v>
      </c>
      <c r="H127" s="177" t="n">
        <f aca="false">IF(G105="YES", H89*H57, 0)</f>
        <v>0</v>
      </c>
      <c r="I127" s="177"/>
      <c r="J127" s="334" t="n">
        <f aca="false">H91</f>
        <v>728.459852313271</v>
      </c>
      <c r="K127" s="216"/>
      <c r="L127" s="63"/>
      <c r="M127" s="333" t="n">
        <f aca="false">N90</f>
        <v>599.581051190034</v>
      </c>
      <c r="N127" s="177" t="n">
        <f aca="false">IF(M105="YES", N89*N57, 0)</f>
        <v>0</v>
      </c>
      <c r="O127" s="177"/>
      <c r="P127" s="177" t="n">
        <f aca="false">N91</f>
        <v>599.581051190034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945.46639226693</v>
      </c>
      <c r="B128" s="321" t="n">
        <f aca="false">IF(A105="YES", B89, 0)</f>
        <v>0</v>
      </c>
      <c r="C128" s="325"/>
      <c r="D128" s="321" t="n">
        <f aca="false">B91</f>
        <v>945.46639226693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945.46639226693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4370.75911387963</v>
      </c>
      <c r="H133" s="103" t="n">
        <f aca="false">IF(G105="YES", H89*H57, 0)</f>
        <v>0</v>
      </c>
      <c r="I133" s="221"/>
      <c r="J133" s="184" t="n">
        <f aca="false">H91*H57</f>
        <v>4370.75911387963</v>
      </c>
      <c r="K133" s="216"/>
      <c r="L133" s="63"/>
      <c r="M133" s="185" t="n">
        <f aca="false">N90*N57</f>
        <v>3597.4863071402</v>
      </c>
      <c r="N133" s="103" t="n">
        <f aca="false">IF(M105="YES", N89*N57, 0)</f>
        <v>0</v>
      </c>
      <c r="O133" s="221"/>
      <c r="P133" s="184" t="n">
        <f aca="false">N91*N57</f>
        <v>3597.4863071402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945.46639226693</v>
      </c>
      <c r="B134" s="38" t="n">
        <f aca="false">E114</f>
        <v>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945.46639226693</v>
      </c>
      <c r="B137" s="38" t="n">
        <f aca="false">IF(A105="YES", B89, 0)</f>
        <v>0</v>
      </c>
      <c r="C137" s="317"/>
      <c r="D137" s="38" t="n">
        <f aca="false">B91</f>
        <v>945.46639226693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200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492.520755</v>
      </c>
      <c r="B148" s="103" t="n">
        <f aca="false">B102</f>
        <v>200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792.512421666667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728.459852313271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599.581051190034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945.46639226693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945.46639226693</v>
      </c>
      <c r="B177" s="355" t="n">
        <f aca="false">IF(A105="YES", B89, 0)</f>
        <v>0</v>
      </c>
      <c r="C177" s="357"/>
      <c r="D177" s="355" t="n">
        <f aca="false">B91</f>
        <v>945.46639226693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945.46639226693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945.46639226693</v>
      </c>
      <c r="B183" s="103" t="n">
        <f aca="false">E114</f>
        <v>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945.46639226693</v>
      </c>
      <c r="B186" s="103" t="n">
        <f aca="false">IF(A105="YES", B89, 0)</f>
        <v>0</v>
      </c>
      <c r="C186" s="353"/>
      <c r="D186" s="103" t="n">
        <f aca="false">B91</f>
        <v>945.46639226693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200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492.520755</v>
      </c>
      <c r="B197" s="103" t="n">
        <f aca="false">B102</f>
        <v>200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792.512421666667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2604.0725025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492.520755</v>
      </c>
      <c r="C211" s="320" t="s">
        <v>217</v>
      </c>
      <c r="D211" s="370" t="n">
        <f aca="false">B225+E221+B221+B223</f>
        <v>319.991666666667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2431.54341416667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2604.0725025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492.520755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20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2431.54341416667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231.964015727416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6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45259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337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345.333333333333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((B89*H29)+B87)*1.2</f>
        <v>7602.752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7656.42209277935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IF(B105=Z104,(((H41*A32)+(H41*A32)*(B111/100))/(B64)),(((H41*A32)+(H41*A32)*(B111/100))/(B63+B64)))*1.2</f>
        <v>78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638.035174398279</v>
      </c>
      <c r="C96" s="317"/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716.035174398279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638.035174398279</v>
      </c>
      <c r="B134" s="321" t="n">
        <f aca="false">IF(A111="YES", B95, 0)</f>
        <v>78</v>
      </c>
      <c r="C134" s="325"/>
      <c r="D134" s="321" t="n">
        <f aca="false">B97</f>
        <v>716.035174398279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638.035174398279</v>
      </c>
      <c r="C137" s="317"/>
      <c r="D137" s="38" t="n">
        <f aca="false">IF(A111="YES", B95*B63, 0)</f>
        <v>78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716.035174398279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638.035174398279</v>
      </c>
      <c r="B143" s="38" t="n">
        <f aca="false">IF(A111="YES", B95, 0)</f>
        <v>78</v>
      </c>
      <c r="C143" s="317"/>
      <c r="D143" s="38" t="n">
        <f aca="false">B97</f>
        <v>716.035174398279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727.271666666667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716.035174398279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638.035174398279</v>
      </c>
      <c r="B177" s="355" t="n">
        <f aca="false">IF(A111="YES", B95, 0)</f>
        <v>78</v>
      </c>
      <c r="C177" s="357"/>
      <c r="D177" s="355" t="n">
        <f aca="false">A177+B177</f>
        <v>716.035174398279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638.035174398279</v>
      </c>
      <c r="C180" s="353"/>
      <c r="D180" s="103" t="n">
        <f aca="false">IF(A111="YES", B95*B63, 0)</f>
        <v>78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716.035174398279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638.035174398279</v>
      </c>
      <c r="B186" s="103" t="n">
        <f aca="false">IF(A111="YES", B95, 0)</f>
        <v>78</v>
      </c>
      <c r="C186" s="353"/>
      <c r="D186" s="103" t="n">
        <f aca="false">B97</f>
        <v>716.035174398279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727.271666666667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143</v>
      </c>
      <c r="C2" s="482" t="s">
        <v>144</v>
      </c>
      <c r="D2" s="482" t="s">
        <v>145</v>
      </c>
      <c r="E2" s="483" t="s">
        <v>146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149</v>
      </c>
      <c r="B3" s="484" t="n">
        <v>16745</v>
      </c>
      <c r="C3" s="484" t="n">
        <v>0</v>
      </c>
      <c r="D3" s="484" t="n">
        <v>0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150</v>
      </c>
      <c r="B4" s="485" t="n">
        <v>0</v>
      </c>
      <c r="C4" s="485" t="n">
        <v>0</v>
      </c>
      <c r="D4" s="485" t="n">
        <v>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151</v>
      </c>
      <c r="B5" s="484" t="n">
        <v>0</v>
      </c>
      <c r="C5" s="484" t="n">
        <v>0</v>
      </c>
      <c r="D5" s="484" t="n">
        <v>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152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153</v>
      </c>
      <c r="B7" s="32" t="n">
        <f aca="false">B3-B6</f>
        <v>16745</v>
      </c>
      <c r="C7" s="32" t="n">
        <f aca="false">C3-C6</f>
        <v>0</v>
      </c>
      <c r="D7" s="32" t="n">
        <f aca="false">D3-D6</f>
        <v>0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340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487" t="n">
        <f aca="false">B7+C7+D7+E3</f>
        <v>16745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42" t="n">
        <v>695</v>
      </c>
      <c r="F10" s="388"/>
      <c r="G10" s="388"/>
      <c r="H10" s="388"/>
      <c r="I10" s="16" t="s">
        <v>1</v>
      </c>
      <c r="J10" s="14" t="n">
        <f aca="false">E15-E11-J8</f>
        <v>17440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3" t="n">
        <f aca="false">(E9+E10)*20%</f>
        <v>3488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42" t="n">
        <v>275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42" t="n">
        <v>65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444" t="n">
        <f aca="false">(E9+E10+E13+E14+E11)-E12</f>
        <v>21268</v>
      </c>
      <c r="F15" s="388"/>
      <c r="G15" s="17" t="n">
        <f aca="false">E15</f>
        <v>21268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42" t="n">
        <v>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445" t="n">
        <v>0</v>
      </c>
      <c r="F18" s="388"/>
      <c r="G18" s="17" t="n">
        <f aca="false">(B3+C3+D3+E3+E10)*1.2</f>
        <v>20928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445" t="n">
        <v>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447" t="n">
        <f aca="false">E15-((E18*1.2)+(E19*1.2)+(E20*1.2)+(E16*1.2))</f>
        <v>21268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237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239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240</v>
      </c>
      <c r="B29" s="223" t="n">
        <v>12345</v>
      </c>
      <c r="C29" s="223"/>
      <c r="D29" s="390" t="n">
        <f aca="true">TODAY()+1</f>
        <v>45259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339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E9+E10+E13+E14</f>
        <v>17780</v>
      </c>
      <c r="B35" s="223" t="s">
        <v>45</v>
      </c>
      <c r="C35" s="223"/>
      <c r="D35" s="279" t="n">
        <f aca="false">A35-B35</f>
        <v>16780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3488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336</v>
      </c>
      <c r="B41" s="104" t="s">
        <v>337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117</v>
      </c>
      <c r="B43" s="240" t="s">
        <v>67</v>
      </c>
      <c r="C43" s="230" t="s">
        <v>4</v>
      </c>
      <c r="D43" s="240" t="s">
        <v>209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233</v>
      </c>
      <c r="B44" s="104" t="s">
        <v>338</v>
      </c>
      <c r="C44" s="104"/>
      <c r="D44" s="104" t="s">
        <v>338</v>
      </c>
      <c r="E44" s="104"/>
      <c r="F44" s="388"/>
      <c r="G44" s="2" t="s">
        <v>65</v>
      </c>
      <c r="H44" s="2" t="n">
        <f aca="false">((H40-(((H42/(1.2))*0.2)))/(H43))</f>
        <v>207.333333333333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342.666666666667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339</v>
      </c>
      <c r="B46" s="230" t="s">
        <v>340</v>
      </c>
      <c r="C46" s="230" t="s">
        <v>4</v>
      </c>
      <c r="D46" s="230"/>
      <c r="E46" s="243"/>
      <c r="F46" s="388" t="n">
        <v>0</v>
      </c>
      <c r="G46" s="2" t="s">
        <v>70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339</v>
      </c>
      <c r="B47" s="230"/>
      <c r="C47" s="230"/>
      <c r="D47" s="230"/>
      <c r="E47" s="243"/>
      <c r="F47" s="388"/>
      <c r="G47" s="2" t="s">
        <v>71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73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74</v>
      </c>
      <c r="H49" s="2" t="n">
        <f aca="false">H45+H48+H47</f>
        <v>345.333333333333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341</v>
      </c>
      <c r="H50" s="2" t="n">
        <f aca="false">H49-H41</f>
        <v>295.333333333333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339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345.333333333333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84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84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84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85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85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85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20928</v>
      </c>
      <c r="C67" s="317"/>
      <c r="D67" s="317"/>
      <c r="E67" s="318"/>
      <c r="F67" s="388"/>
      <c r="G67" s="316" t="s">
        <v>14</v>
      </c>
      <c r="H67" s="32" t="n">
        <f aca="false">G18</f>
        <v>20928</v>
      </c>
      <c r="I67" s="317"/>
      <c r="J67" s="317"/>
      <c r="K67" s="318"/>
      <c r="L67" s="388"/>
      <c r="M67" s="316" t="s">
        <v>14</v>
      </c>
      <c r="N67" s="32" t="n">
        <f aca="false">G18</f>
        <v>20928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278</v>
      </c>
      <c r="B68" s="400" t="n">
        <v>0.07</v>
      </c>
      <c r="C68" s="317"/>
      <c r="D68" s="317"/>
      <c r="E68" s="318"/>
      <c r="F68" s="388"/>
      <c r="G68" s="399" t="s">
        <v>278</v>
      </c>
      <c r="H68" s="400" t="n">
        <v>0.07</v>
      </c>
      <c r="I68" s="317"/>
      <c r="J68" s="317"/>
      <c r="K68" s="318"/>
      <c r="L68" s="388"/>
      <c r="M68" s="399" t="s">
        <v>278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279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279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279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90</v>
      </c>
      <c r="B70" s="65" t="n">
        <f aca="false">B67*B69</f>
        <v>1464.96</v>
      </c>
      <c r="C70" s="317" t="n">
        <v>10000</v>
      </c>
      <c r="D70" s="32" t="n">
        <f aca="false">B70-A149</f>
        <v>1464.96</v>
      </c>
      <c r="E70" s="318" t="n">
        <f aca="false">D70/12</f>
        <v>122.08</v>
      </c>
      <c r="F70" s="388"/>
      <c r="G70" s="366" t="s">
        <v>90</v>
      </c>
      <c r="H70" s="65" t="n">
        <f aca="false">H67*H69</f>
        <v>1464.96</v>
      </c>
      <c r="I70" s="317"/>
      <c r="J70" s="32" t="n">
        <f aca="false">H70-G151</f>
        <v>1464.96</v>
      </c>
      <c r="K70" s="318"/>
      <c r="L70" s="388"/>
      <c r="M70" s="366" t="s">
        <v>90</v>
      </c>
      <c r="N70" s="65" t="n">
        <f aca="false">N67*N69</f>
        <v>1464.96</v>
      </c>
      <c r="O70" s="317"/>
      <c r="P70" s="32" t="n">
        <f aca="false">N70-M151</f>
        <v>1464.96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91</v>
      </c>
      <c r="B71" s="400" t="n">
        <v>0.01</v>
      </c>
      <c r="C71" s="317"/>
      <c r="D71" s="317"/>
      <c r="E71" s="318"/>
      <c r="F71" s="388"/>
      <c r="G71" s="399" t="s">
        <v>91</v>
      </c>
      <c r="H71" s="400" t="n">
        <v>0.005</v>
      </c>
      <c r="I71" s="317"/>
      <c r="J71" s="317"/>
      <c r="K71" s="318"/>
      <c r="L71" s="388"/>
      <c r="M71" s="399" t="s">
        <v>91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92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92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92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93</v>
      </c>
      <c r="B73" s="65" t="n">
        <f aca="false">B67*B72</f>
        <v>209.28</v>
      </c>
      <c r="C73" s="317"/>
      <c r="D73" s="32"/>
      <c r="E73" s="318"/>
      <c r="F73" s="388"/>
      <c r="G73" s="366" t="s">
        <v>93</v>
      </c>
      <c r="H73" s="65" t="n">
        <f aca="false">H67*H72</f>
        <v>104.64</v>
      </c>
      <c r="I73" s="317"/>
      <c r="J73" s="32"/>
      <c r="K73" s="318"/>
      <c r="L73" s="388"/>
      <c r="M73" s="366" t="s">
        <v>93</v>
      </c>
      <c r="N73" s="65" t="n">
        <f aca="false">N67*N72</f>
        <v>104.64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94</v>
      </c>
      <c r="B74" s="400" t="n">
        <v>0.0075</v>
      </c>
      <c r="C74" s="317"/>
      <c r="D74" s="317"/>
      <c r="E74" s="318"/>
      <c r="F74" s="388"/>
      <c r="G74" s="399" t="s">
        <v>94</v>
      </c>
      <c r="H74" s="400" t="n">
        <v>0.0075</v>
      </c>
      <c r="I74" s="317"/>
      <c r="J74" s="317"/>
      <c r="K74" s="318"/>
      <c r="L74" s="388"/>
      <c r="M74" s="399" t="s">
        <v>94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95</v>
      </c>
      <c r="B75" s="402" t="n">
        <v>0.12</v>
      </c>
      <c r="C75" s="317"/>
      <c r="D75" s="317"/>
      <c r="E75" s="318"/>
      <c r="F75" s="388"/>
      <c r="G75" s="401" t="s">
        <v>95</v>
      </c>
      <c r="H75" s="402" t="n">
        <v>0.12</v>
      </c>
      <c r="I75" s="317"/>
      <c r="J75" s="317"/>
      <c r="K75" s="318"/>
      <c r="L75" s="388"/>
      <c r="M75" s="401" t="s">
        <v>95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96</v>
      </c>
      <c r="B76" s="403" t="n">
        <f aca="false">B74*(1+B75)</f>
        <v>0.0084</v>
      </c>
      <c r="C76" s="317"/>
      <c r="D76" s="317"/>
      <c r="E76" s="318"/>
      <c r="F76" s="388"/>
      <c r="G76" s="366" t="s">
        <v>96</v>
      </c>
      <c r="H76" s="403" t="n">
        <f aca="false">H74*(1+H75)</f>
        <v>0.0084</v>
      </c>
      <c r="I76" s="317"/>
      <c r="J76" s="317"/>
      <c r="K76" s="318"/>
      <c r="L76" s="388"/>
      <c r="M76" s="366" t="s">
        <v>96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97</v>
      </c>
      <c r="B77" s="86" t="n">
        <v>200</v>
      </c>
      <c r="C77" s="317"/>
      <c r="D77" s="317"/>
      <c r="E77" s="318"/>
      <c r="F77" s="388"/>
      <c r="G77" s="399" t="s">
        <v>97</v>
      </c>
      <c r="H77" s="86" t="n">
        <v>160</v>
      </c>
      <c r="I77" s="317"/>
      <c r="J77" s="317"/>
      <c r="K77" s="318"/>
      <c r="L77" s="388"/>
      <c r="M77" s="399" t="s">
        <v>97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98</v>
      </c>
      <c r="B78" s="77" t="n">
        <v>5</v>
      </c>
      <c r="C78" s="317"/>
      <c r="D78" s="317"/>
      <c r="E78" s="318"/>
      <c r="F78" s="388"/>
      <c r="G78" s="401" t="s">
        <v>98</v>
      </c>
      <c r="H78" s="77" t="n">
        <v>4.5</v>
      </c>
      <c r="I78" s="317"/>
      <c r="J78" s="317"/>
      <c r="K78" s="318"/>
      <c r="L78" s="388"/>
      <c r="M78" s="401" t="s">
        <v>98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99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99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99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280</v>
      </c>
      <c r="B80" s="86" t="n">
        <v>0</v>
      </c>
      <c r="C80" s="317"/>
      <c r="D80" s="317"/>
      <c r="E80" s="404" t="n">
        <f aca="false">E79+D82</f>
        <v>660</v>
      </c>
      <c r="F80" s="388"/>
      <c r="G80" s="399" t="s">
        <v>280</v>
      </c>
      <c r="H80" s="86" t="n">
        <v>150</v>
      </c>
      <c r="I80" s="317"/>
      <c r="J80" s="317"/>
      <c r="K80" s="318"/>
      <c r="L80" s="388"/>
      <c r="M80" s="405" t="s">
        <v>280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281</v>
      </c>
      <c r="B81" s="77" t="n">
        <v>0</v>
      </c>
      <c r="C81" s="317"/>
      <c r="D81" s="317"/>
      <c r="E81" s="318" t="n">
        <f aca="false">E80/12</f>
        <v>55</v>
      </c>
      <c r="F81" s="388"/>
      <c r="G81" s="401" t="s">
        <v>281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281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282</v>
      </c>
      <c r="B82" s="65" t="n">
        <f aca="false">((B80+B81)/12)*(H29-11)</f>
        <v>0</v>
      </c>
      <c r="C82" s="317"/>
      <c r="D82" s="32" t="n">
        <f aca="false">IF(A50="YES", 0, B82)</f>
        <v>0</v>
      </c>
      <c r="E82" s="318"/>
      <c r="F82" s="388"/>
      <c r="G82" s="366" t="s">
        <v>282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282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283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283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283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342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284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284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100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100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100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101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101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101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102</v>
      </c>
      <c r="B87" s="413" t="n">
        <f aca="false">SUM(D70:D86)</f>
        <v>2791.62666666667</v>
      </c>
      <c r="C87" s="317"/>
      <c r="D87" s="317"/>
      <c r="E87" s="318"/>
      <c r="F87" s="388"/>
      <c r="G87" s="412" t="s">
        <v>102</v>
      </c>
      <c r="H87" s="413" t="n">
        <f aca="false">SUM(J70:J86)</f>
        <v>4591.46</v>
      </c>
      <c r="I87" s="317"/>
      <c r="J87" s="317"/>
      <c r="K87" s="318"/>
      <c r="L87" s="388"/>
      <c r="M87" s="412" t="s">
        <v>102</v>
      </c>
      <c r="N87" s="413" t="n">
        <f aca="false">SUM(P70:P86)</f>
        <v>4578.96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103</v>
      </c>
      <c r="B88" s="33" t="n">
        <f aca="false">B87/H29</f>
        <v>232.635555555556</v>
      </c>
      <c r="C88" s="317"/>
      <c r="D88" s="317"/>
      <c r="E88" s="318"/>
      <c r="F88" s="388"/>
      <c r="G88" s="316" t="s">
        <v>103</v>
      </c>
      <c r="H88" s="33" t="n">
        <f aca="false">H87/H29</f>
        <v>382.621666666667</v>
      </c>
      <c r="I88" s="317"/>
      <c r="J88" s="317"/>
      <c r="K88" s="318"/>
      <c r="L88" s="388"/>
      <c r="M88" s="316" t="s">
        <v>103</v>
      </c>
      <c r="N88" s="33" t="n">
        <f aca="false">N87/H29</f>
        <v>381.58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104</v>
      </c>
      <c r="B89" s="59" t="n">
        <f aca="false">H50</f>
        <v>295.333333333333</v>
      </c>
      <c r="C89" s="317"/>
      <c r="D89" s="317"/>
      <c r="E89" s="318"/>
      <c r="F89" s="388"/>
      <c r="G89" s="414" t="s">
        <v>104</v>
      </c>
      <c r="H89" s="59" t="n">
        <f aca="false">H46</f>
        <v>0</v>
      </c>
      <c r="I89" s="317"/>
      <c r="J89" s="317"/>
      <c r="K89" s="318"/>
      <c r="L89" s="388"/>
      <c r="M89" s="414" t="s">
        <v>104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114</v>
      </c>
      <c r="B91" s="27" t="n">
        <f aca="false">((B89*H29)+B87)</f>
        <v>6335.62666666667</v>
      </c>
      <c r="C91" s="317"/>
      <c r="D91" s="317"/>
      <c r="E91" s="318"/>
      <c r="F91" s="388"/>
      <c r="G91" s="396" t="s">
        <v>114</v>
      </c>
      <c r="H91" s="27" t="n">
        <f aca="false">((H89*H29)+H87)*1.2</f>
        <v>5509.752</v>
      </c>
      <c r="I91" s="317"/>
      <c r="J91" s="317"/>
      <c r="K91" s="318"/>
      <c r="L91" s="388"/>
      <c r="M91" s="396" t="s">
        <v>114</v>
      </c>
      <c r="N91" s="27" t="n">
        <f aca="false">((N89*H29)+N87)</f>
        <v>4578.96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115</v>
      </c>
      <c r="B92" s="33" t="n">
        <f aca="false">(((B89*H29)+B87)/(1-B76))*B76</f>
        <v>53.6700927793465</v>
      </c>
      <c r="C92" s="317"/>
      <c r="D92" s="317"/>
      <c r="E92" s="415"/>
      <c r="F92" s="388"/>
      <c r="G92" s="316" t="s">
        <v>115</v>
      </c>
      <c r="H92" s="33" t="n">
        <f aca="false">(((H89*H29)+H87)/(1-H76))*H76</f>
        <v>38.8949818475192</v>
      </c>
      <c r="I92" s="317"/>
      <c r="J92" s="317"/>
      <c r="K92" s="318"/>
      <c r="L92" s="388"/>
      <c r="M92" s="316" t="s">
        <v>115</v>
      </c>
      <c r="N92" s="33" t="n">
        <f aca="false">(N91/(1-N76))*N76</f>
        <v>38.789092375958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116</v>
      </c>
      <c r="B93" s="65" t="n">
        <f aca="false">IF(B116="YES",((B91+B92)-E120),(B91+B92))</f>
        <v>6389.29675944601</v>
      </c>
      <c r="C93" s="317"/>
      <c r="D93" s="317"/>
      <c r="E93" s="318"/>
      <c r="F93" s="388"/>
      <c r="G93" s="366" t="s">
        <v>116</v>
      </c>
      <c r="H93" s="65" t="n">
        <f aca="false">IF(H116="YES",((H91+H92)-K120),(H91+H92))</f>
        <v>7548.64698184752</v>
      </c>
      <c r="I93" s="317"/>
      <c r="J93" s="317"/>
      <c r="K93" s="318"/>
      <c r="L93" s="388"/>
      <c r="M93" s="366" t="s">
        <v>116</v>
      </c>
      <c r="N93" s="65" t="n">
        <f aca="false">IF(N116="YES",((N91+N92)-K120),(N91+N92))</f>
        <v>6617.74909237596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117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117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117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118</v>
      </c>
      <c r="B96" s="417" t="n">
        <f aca="false">IF(B105=Z104, (B93-D111)/(B64), B93/(B63+B64))</f>
        <v>532.441396620501</v>
      </c>
      <c r="C96" s="317" t="s">
        <v>4</v>
      </c>
      <c r="D96" s="317"/>
      <c r="E96" s="318"/>
      <c r="F96" s="388"/>
      <c r="G96" s="416" t="s">
        <v>118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118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119</v>
      </c>
      <c r="B97" s="419" t="n">
        <f aca="false">IF(A111="YES", B96+B95, B96)</f>
        <v>597.441396620501</v>
      </c>
      <c r="C97" s="317"/>
      <c r="D97" s="420"/>
      <c r="E97" s="318"/>
      <c r="F97" s="388"/>
      <c r="G97" s="418" t="s">
        <v>119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119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388"/>
      <c r="G100" s="213" t="s">
        <v>285</v>
      </c>
      <c r="H100" s="213"/>
      <c r="I100" s="213"/>
      <c r="J100" s="213"/>
      <c r="K100" s="213"/>
      <c r="L100" s="388"/>
      <c r="M100" s="213" t="s">
        <v>343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388"/>
      <c r="G102" s="217" t="s">
        <v>124</v>
      </c>
      <c r="H102" s="217"/>
      <c r="I102" s="217"/>
      <c r="J102" s="217"/>
      <c r="K102" s="217"/>
      <c r="L102" s="388"/>
      <c r="M102" s="217" t="s">
        <v>124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128</v>
      </c>
    </row>
    <row r="104" customFormat="false" ht="18.75" hidden="false" customHeight="true" outlineLevel="0" collapsed="false">
      <c r="A104" s="316" t="s">
        <v>125</v>
      </c>
      <c r="B104" s="317" t="s">
        <v>23</v>
      </c>
      <c r="C104" s="317"/>
      <c r="D104" s="317" t="s">
        <v>286</v>
      </c>
      <c r="E104" s="318"/>
      <c r="F104" s="388"/>
      <c r="G104" s="316" t="s">
        <v>125</v>
      </c>
      <c r="H104" s="317" t="s">
        <v>23</v>
      </c>
      <c r="I104" s="317"/>
      <c r="J104" s="317" t="s">
        <v>286</v>
      </c>
      <c r="K104" s="318"/>
      <c r="L104" s="388"/>
      <c r="M104" s="316" t="s">
        <v>125</v>
      </c>
      <c r="N104" s="317" t="s">
        <v>23</v>
      </c>
      <c r="O104" s="317"/>
      <c r="P104" s="317" t="s">
        <v>286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264</v>
      </c>
    </row>
    <row r="105" customFormat="false" ht="18.75" hidden="false" customHeight="true" outlineLevel="0" collapsed="false">
      <c r="A105" s="374"/>
      <c r="B105" s="312" t="s">
        <v>128</v>
      </c>
      <c r="C105" s="312"/>
      <c r="D105" s="421" t="n">
        <v>1000</v>
      </c>
      <c r="E105" s="421"/>
      <c r="F105" s="388"/>
      <c r="G105" s="374" t="s">
        <v>287</v>
      </c>
      <c r="H105" s="312" t="s">
        <v>269</v>
      </c>
      <c r="I105" s="312"/>
      <c r="J105" s="421" t="n">
        <v>5000</v>
      </c>
      <c r="K105" s="421"/>
      <c r="L105" s="388"/>
      <c r="M105" s="374" t="s">
        <v>287</v>
      </c>
      <c r="N105" s="312" t="s">
        <v>268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265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266</v>
      </c>
    </row>
    <row r="107" customFormat="false" ht="18.75" hidden="false" customHeight="true" outlineLevel="0" collapsed="false">
      <c r="A107" s="316" t="s">
        <v>289</v>
      </c>
      <c r="B107" s="317" t="s">
        <v>290</v>
      </c>
      <c r="C107" s="317"/>
      <c r="D107" s="317" t="s">
        <v>291</v>
      </c>
      <c r="E107" s="318"/>
      <c r="F107" s="388"/>
      <c r="G107" s="316" t="s">
        <v>289</v>
      </c>
      <c r="H107" s="317" t="s">
        <v>290</v>
      </c>
      <c r="I107" s="317"/>
      <c r="J107" s="317" t="s">
        <v>291</v>
      </c>
      <c r="K107" s="318"/>
      <c r="L107" s="388"/>
      <c r="M107" s="316" t="s">
        <v>289</v>
      </c>
      <c r="N107" s="317" t="s">
        <v>290</v>
      </c>
      <c r="O107" s="317"/>
      <c r="P107" s="317" t="s">
        <v>291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268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269</v>
      </c>
    </row>
    <row r="110" customFormat="false" ht="18.75" hidden="false" customHeight="true" outlineLevel="0" collapsed="false">
      <c r="A110" s="374" t="s">
        <v>126</v>
      </c>
      <c r="B110" s="388" t="s">
        <v>129</v>
      </c>
      <c r="C110" s="317"/>
      <c r="D110" s="317" t="s">
        <v>140</v>
      </c>
      <c r="E110" s="318"/>
      <c r="F110" s="388"/>
      <c r="G110" s="374" t="s">
        <v>126</v>
      </c>
      <c r="H110" s="388" t="s">
        <v>129</v>
      </c>
      <c r="I110" s="317"/>
      <c r="J110" s="317" t="s">
        <v>140</v>
      </c>
      <c r="K110" s="318"/>
      <c r="L110" s="388"/>
      <c r="M110" s="374" t="s">
        <v>126</v>
      </c>
      <c r="N110" s="388" t="s">
        <v>129</v>
      </c>
      <c r="O110" s="317"/>
      <c r="P110" s="317" t="s">
        <v>140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270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271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344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388"/>
      <c r="G114" s="217" t="s">
        <v>293</v>
      </c>
      <c r="H114" s="217"/>
      <c r="I114" s="217"/>
      <c r="J114" s="217"/>
      <c r="K114" s="217"/>
      <c r="L114" s="388"/>
      <c r="M114" s="217" t="s">
        <v>293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294</v>
      </c>
      <c r="B116" s="389" t="s">
        <v>19</v>
      </c>
      <c r="C116" s="317"/>
      <c r="D116" s="317"/>
      <c r="E116" s="318"/>
      <c r="F116" s="388"/>
      <c r="G116" s="316" t="s">
        <v>294</v>
      </c>
      <c r="H116" s="389" t="s">
        <v>18</v>
      </c>
      <c r="I116" s="317"/>
      <c r="J116" s="317"/>
      <c r="K116" s="318"/>
      <c r="L116" s="388"/>
      <c r="M116" s="316" t="s">
        <v>294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174</v>
      </c>
      <c r="B118" s="317"/>
      <c r="C118" s="317"/>
      <c r="D118" s="313" t="n">
        <v>0</v>
      </c>
      <c r="E118" s="107" t="n">
        <v>6000</v>
      </c>
      <c r="F118" s="388"/>
      <c r="G118" s="316" t="s">
        <v>174</v>
      </c>
      <c r="H118" s="317"/>
      <c r="I118" s="317"/>
      <c r="J118" s="313" t="n">
        <v>10000</v>
      </c>
      <c r="K118" s="107" t="n">
        <v>5000</v>
      </c>
      <c r="L118" s="388"/>
      <c r="M118" s="316" t="s">
        <v>174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175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175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175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176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176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176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177</v>
      </c>
      <c r="B121" s="317"/>
      <c r="C121" s="317"/>
      <c r="D121" s="39" t="n">
        <f aca="false">D120-E120</f>
        <v>-6000</v>
      </c>
      <c r="E121" s="318"/>
      <c r="F121" s="388"/>
      <c r="G121" s="316" t="s">
        <v>177</v>
      </c>
      <c r="H121" s="317"/>
      <c r="I121" s="317"/>
      <c r="J121" s="39" t="n">
        <f aca="false">J120-K120</f>
        <v>5000</v>
      </c>
      <c r="K121" s="318"/>
      <c r="L121" s="388"/>
      <c r="M121" s="316" t="s">
        <v>177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136</v>
      </c>
      <c r="B123" s="397"/>
      <c r="C123" s="397"/>
      <c r="D123" s="397"/>
      <c r="E123" s="27" t="n">
        <f aca="false">D105</f>
        <v>1000</v>
      </c>
      <c r="F123" s="388"/>
      <c r="G123" s="396" t="s">
        <v>136</v>
      </c>
      <c r="H123" s="397"/>
      <c r="I123" s="397"/>
      <c r="J123" s="397"/>
      <c r="K123" s="27" t="n">
        <f aca="false">J105</f>
        <v>5000</v>
      </c>
      <c r="L123" s="388"/>
      <c r="M123" s="396" t="s">
        <v>136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295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295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295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388"/>
      <c r="G128" s="217" t="s">
        <v>296</v>
      </c>
      <c r="H128" s="217"/>
      <c r="I128" s="217"/>
      <c r="J128" s="217"/>
      <c r="K128" s="217"/>
      <c r="L128" s="388"/>
      <c r="M128" s="217" t="s">
        <v>296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388"/>
      <c r="G130" s="316" t="s">
        <v>181</v>
      </c>
      <c r="H130" s="172" t="n">
        <v>0</v>
      </c>
      <c r="I130" s="172"/>
      <c r="J130" s="317"/>
      <c r="K130" s="318"/>
      <c r="L130" s="388"/>
      <c r="M130" s="316" t="s">
        <v>181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82</v>
      </c>
      <c r="H132" s="317" t="s">
        <v>83</v>
      </c>
      <c r="I132" s="317"/>
      <c r="J132" s="317" t="s">
        <v>85</v>
      </c>
      <c r="K132" s="318"/>
      <c r="L132" s="388"/>
      <c r="M132" s="316" t="s">
        <v>82</v>
      </c>
      <c r="N132" s="317" t="s">
        <v>83</v>
      </c>
      <c r="O132" s="317"/>
      <c r="P132" s="317" t="s">
        <v>85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532.441396620501</v>
      </c>
      <c r="B134" s="321" t="n">
        <f aca="false">IF(A111="YES", B95, 0)</f>
        <v>65</v>
      </c>
      <c r="C134" s="326"/>
      <c r="D134" s="321" t="n">
        <f aca="false">B97</f>
        <v>597.441396620501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299</v>
      </c>
      <c r="H135" s="424" t="s">
        <v>300</v>
      </c>
      <c r="I135" s="424"/>
      <c r="J135" s="424" t="s">
        <v>301</v>
      </c>
      <c r="K135" s="318"/>
      <c r="L135" s="388"/>
      <c r="M135" s="423" t="s">
        <v>345</v>
      </c>
      <c r="N135" s="424" t="s">
        <v>253</v>
      </c>
      <c r="O135" s="424"/>
      <c r="P135" s="424" t="s">
        <v>119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532.441396620501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304</v>
      </c>
      <c r="H138" s="317" t="s">
        <v>305</v>
      </c>
      <c r="I138" s="317"/>
      <c r="J138" s="317" t="s">
        <v>306</v>
      </c>
      <c r="K138" s="318"/>
      <c r="L138" s="388"/>
      <c r="M138" s="316" t="s">
        <v>346</v>
      </c>
      <c r="N138" s="317" t="s">
        <v>242</v>
      </c>
      <c r="O138" s="317"/>
      <c r="P138" s="317" t="s">
        <v>246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597.441396620501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309</v>
      </c>
      <c r="H141" s="317" t="s">
        <v>310</v>
      </c>
      <c r="I141" s="317"/>
      <c r="J141" s="317" t="s">
        <v>311</v>
      </c>
      <c r="K141" s="318"/>
      <c r="L141" s="388"/>
      <c r="M141" s="316" t="s">
        <v>255</v>
      </c>
      <c r="N141" s="317" t="s">
        <v>256</v>
      </c>
      <c r="O141" s="317"/>
      <c r="P141" s="317" t="s">
        <v>260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388"/>
      <c r="G142" s="111" t="n">
        <f aca="false">E15*0.000006</f>
        <v>0.127608</v>
      </c>
      <c r="H142" s="38" t="n">
        <f aca="false">IF(G111="YES", E15*0.000002, 0)</f>
        <v>0.042536</v>
      </c>
      <c r="I142" s="38"/>
      <c r="J142" s="38" t="n">
        <f aca="false">G142+H142</f>
        <v>0.170144</v>
      </c>
      <c r="K142" s="105"/>
      <c r="L142" s="388"/>
      <c r="M142" s="111" t="n">
        <f aca="false">E15*0.000006</f>
        <v>0.127608</v>
      </c>
      <c r="N142" s="38" t="n">
        <f aca="false">IF(M111="YES", E15*0.000002, 0)</f>
        <v>0.042536</v>
      </c>
      <c r="O142" s="38"/>
      <c r="P142" s="38" t="n">
        <f aca="false">M142+N142</f>
        <v>0.170144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532.441396620501</v>
      </c>
      <c r="B143" s="38" t="n">
        <f aca="false">IF(A111="YES", B95, 0)</f>
        <v>65</v>
      </c>
      <c r="C143" s="317"/>
      <c r="D143" s="38" t="n">
        <f aca="false">B97</f>
        <v>597.441396620501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312</v>
      </c>
      <c r="H144" s="317" t="s">
        <v>313</v>
      </c>
      <c r="I144" s="317"/>
      <c r="J144" s="317" t="s">
        <v>314</v>
      </c>
      <c r="K144" s="318"/>
      <c r="L144" s="388"/>
      <c r="M144" s="316" t="s">
        <v>139</v>
      </c>
      <c r="N144" s="317" t="s">
        <v>313</v>
      </c>
      <c r="O144" s="317"/>
      <c r="P144" s="317" t="s">
        <v>314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388"/>
      <c r="G145" s="111" t="n">
        <f aca="false">G108</f>
        <v>239.988</v>
      </c>
      <c r="H145" s="38" t="n">
        <f aca="false">H73/1.2</f>
        <v>87.2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87.2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316</v>
      </c>
      <c r="H147" s="317" t="s">
        <v>317</v>
      </c>
      <c r="I147" s="317"/>
      <c r="J147" s="317" t="s">
        <v>318</v>
      </c>
      <c r="K147" s="318"/>
      <c r="L147" s="388"/>
      <c r="M147" s="316" t="s">
        <v>316</v>
      </c>
      <c r="N147" s="317" t="s">
        <v>317</v>
      </c>
      <c r="O147" s="317"/>
      <c r="P147" s="317" t="s">
        <v>318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2747.188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2707.19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320</v>
      </c>
      <c r="H150" s="317" t="s">
        <v>321</v>
      </c>
      <c r="I150" s="317"/>
      <c r="J150" s="317"/>
      <c r="K150" s="318"/>
      <c r="L150" s="388"/>
      <c r="M150" s="316" t="s">
        <v>320</v>
      </c>
      <c r="N150" s="317" t="s">
        <v>321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347</v>
      </c>
      <c r="N153" s="39" t="s">
        <v>348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209.28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326</v>
      </c>
      <c r="H154" s="317"/>
      <c r="I154" s="317"/>
      <c r="J154" s="349"/>
      <c r="K154" s="350"/>
      <c r="L154" s="388"/>
      <c r="M154" s="425" t="n">
        <f aca="false">H40</f>
        <v>3488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388"/>
      <c r="G156" s="250" t="s">
        <v>82</v>
      </c>
      <c r="H156" s="251" t="s">
        <v>83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727.27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326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82</v>
      </c>
      <c r="N159" s="251" t="s">
        <v>83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597.441396620501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532.441396620501</v>
      </c>
      <c r="B177" s="355" t="n">
        <f aca="false">IF(A111="YES", B95, 0)</f>
        <v>65</v>
      </c>
      <c r="C177" s="358"/>
      <c r="D177" s="355" t="n">
        <f aca="false">B91</f>
        <v>6335.62666666667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532.441396620501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597.441396620501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532.441396620501</v>
      </c>
      <c r="B186" s="103" t="n">
        <f aca="false">IF(A111="YES", B95, 0)</f>
        <v>65</v>
      </c>
      <c r="C186" s="353"/>
      <c r="D186" s="103" t="n">
        <f aca="false">B97</f>
        <v>597.441396620501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727.27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D70</f>
        <v>1464.96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218</v>
      </c>
      <c r="B213" s="321" t="n">
        <f aca="false">E223</f>
        <v>1775.67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1775.67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331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53.6700927793465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80" colorId="64" zoomScale="85" zoomScaleNormal="85" zoomScalePageLayoutView="100" workbookViewId="0">
      <selection pane="topLeft" activeCell="G91" activeCellId="0" sqref="G91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0.072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14176.4317388532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IF(A111="YES",A43,0)*1.2</f>
        <v>7200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0.137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0.0114166666666667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4950.38529500718</v>
      </c>
      <c r="C95" s="32"/>
      <c r="D95" s="32"/>
      <c r="E95" s="23"/>
      <c r="F95" s="31" t="s">
        <v>110</v>
      </c>
      <c r="G95" s="33" t="n">
        <f aca="false">(G91/((1+G93)^(G94+1)))</f>
        <v>6024.37295128565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26.6800219733353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11829.6147049928</v>
      </c>
      <c r="C97" s="32"/>
      <c r="D97" s="32"/>
      <c r="E97" s="23"/>
      <c r="F97" s="31" t="s">
        <v>112</v>
      </c>
      <c r="G97" s="33" t="n">
        <f aca="false">G90-G95</f>
        <v>10755.6270487144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443.388491839162</v>
      </c>
      <c r="C98" s="32"/>
      <c r="D98" s="32"/>
      <c r="E98" s="23"/>
      <c r="F98" s="31" t="s">
        <v>113</v>
      </c>
      <c r="G98" s="33" t="n">
        <f aca="false">(G97/G96)</f>
        <v>366.991495516615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14188.4317388532</v>
      </c>
      <c r="C99" s="32"/>
      <c r="D99" s="32"/>
      <c r="E99" s="23"/>
      <c r="F99" s="31" t="s">
        <v>114</v>
      </c>
      <c r="G99" s="33" t="n">
        <f aca="false">((G98*(G94))+G86)</f>
        <v>11743.7278565317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14188.4317388532</v>
      </c>
      <c r="C101" s="32"/>
      <c r="D101" s="32"/>
      <c r="E101" s="23"/>
      <c r="F101" s="56" t="s">
        <v>116</v>
      </c>
      <c r="G101" s="65" t="n">
        <f aca="false">(G99+G100)</f>
        <v>11743.7278565317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</f>
        <v>61.875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443.388491839162</v>
      </c>
      <c r="C104" s="32"/>
      <c r="D104" s="32"/>
      <c r="E104" s="23"/>
      <c r="F104" s="95" t="s">
        <v>118</v>
      </c>
      <c r="G104" s="96" t="n">
        <f aca="false">G101/(G94)</f>
        <v>366.991495516615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505.263491839162</v>
      </c>
      <c r="C105" s="32"/>
      <c r="D105" s="32"/>
      <c r="E105" s="23" t="s">
        <v>18</v>
      </c>
      <c r="F105" s="97" t="s">
        <v>119</v>
      </c>
      <c r="G105" s="98" t="n">
        <f aca="false">G103+G104</f>
        <v>366.991495516615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235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/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132</v>
      </c>
      <c r="C117" s="107"/>
      <c r="D117" s="107"/>
      <c r="E117" s="108" t="n">
        <f aca="false">B92</f>
        <v>0.137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236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443.388491839162</v>
      </c>
      <c r="B176" s="177" t="n">
        <f aca="false">B103</f>
        <v>61.875</v>
      </c>
      <c r="C176" s="174"/>
      <c r="D176" s="174"/>
      <c r="E176" s="177" t="n">
        <f aca="false">B105</f>
        <v>505.263491839162</v>
      </c>
      <c r="F176" s="23"/>
      <c r="G176" s="23" t="n">
        <f aca="false">ROUND(G104, 2)</f>
        <v>366.99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120.431738853185</v>
      </c>
      <c r="B191" s="103" t="str">
        <f aca="false">B123</f>
        <v>199.99</v>
      </c>
      <c r="C191" s="103"/>
      <c r="D191" s="23"/>
      <c r="E191" s="103" t="n">
        <f aca="false">E188+A191+(B191*1.2)+A194</f>
        <v>21638.4197388532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4.1856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33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299.14625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505.263491839162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-2324.32</v>
      </c>
      <c r="B210" s="186" t="n">
        <f aca="false">ROUND((E188+A210+(B191*1.2)+A194),2)</f>
        <v>19193.67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443.388491839162</v>
      </c>
      <c r="B221" s="177" t="n">
        <f aca="false">B176</f>
        <v>61.875</v>
      </c>
      <c r="C221" s="174"/>
      <c r="D221" s="174"/>
      <c r="E221" s="177" t="n">
        <f aca="false">E176</f>
        <v>505.263491839162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120.431738853185</v>
      </c>
      <c r="B233" s="103" t="str">
        <f aca="false">B191</f>
        <v>199.99</v>
      </c>
      <c r="C233" s="103"/>
      <c r="D233" s="113"/>
      <c r="E233" s="103" t="n">
        <f aca="false">E191</f>
        <v>21638.4197388532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443.388491839162</v>
      </c>
      <c r="B239" s="103" t="n">
        <f aca="false">B176</f>
        <v>61.875</v>
      </c>
      <c r="C239" s="186"/>
      <c r="D239" s="186"/>
      <c r="E239" s="103" t="n">
        <f aca="false">E176</f>
        <v>505.263491839162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</f>
        <v>12.5568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4.1856</v>
      </c>
      <c r="B245" s="103" t="n">
        <f aca="false">E242+A245</f>
        <v>16.7424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33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299.14625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0.137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200" t="n">
        <f aca="false">(E191-B191)-(B210-B191-A194)</f>
        <v>2454.74973885319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429.99</v>
      </c>
      <c r="C264" s="197"/>
      <c r="D264" s="198" t="s">
        <v>218</v>
      </c>
      <c r="E264" s="198"/>
      <c r="F264" s="200" t="n">
        <f aca="false">(B263-F263)+B264</f>
        <v>2685.35223885319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0.072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0.137</v>
      </c>
      <c r="C269" s="43"/>
      <c r="D269" s="166" t="s">
        <v>215</v>
      </c>
      <c r="E269" s="166"/>
      <c r="F269" s="146" t="n">
        <f aca="false">B263</f>
        <v>2454.74973885319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0.2</v>
      </c>
      <c r="C271" s="32"/>
      <c r="D271" s="166" t="s">
        <v>222</v>
      </c>
      <c r="E271" s="166"/>
      <c r="F271" s="146" t="n">
        <f aca="false">E249*10</f>
        <v>330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</v>
      </c>
      <c r="C272" s="32"/>
      <c r="D272" s="39" t="s">
        <v>218</v>
      </c>
      <c r="E272" s="39"/>
      <c r="F272" s="146" t="n">
        <f aca="false">(B263-F263)+B264</f>
        <v>2685.35223885319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250" colorId="64" zoomScale="85" zoomScaleNormal="85" zoomScalePageLayoutView="100" workbookViewId="0">
      <selection pane="topLeft" activeCell="F270" activeCellId="0" sqref="F270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/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492" t="n">
        <v>0</v>
      </c>
      <c r="C4" s="492"/>
      <c r="D4" s="493" t="n">
        <v>0</v>
      </c>
      <c r="E4" s="493"/>
      <c r="F4" s="493" t="n">
        <v>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/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/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/>
      <c r="F10" s="154"/>
      <c r="G10" s="156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/>
      <c r="F13" s="154"/>
      <c r="G13" s="156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/>
      <c r="F14" s="154"/>
      <c r="G14" s="156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6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/>
      <c r="F16" s="154"/>
      <c r="G16" s="156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39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249</v>
      </c>
      <c r="B34" s="32"/>
      <c r="C34" s="41" t="s">
        <v>43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H9+H10+H13+H14</f>
        <v>17780</v>
      </c>
      <c r="B37" s="32"/>
      <c r="C37" s="41" t="s">
        <v>45</v>
      </c>
      <c r="D37" s="41"/>
      <c r="E37" s="32"/>
      <c r="F37" s="43" t="n">
        <f aca="false">A37-C37</f>
        <v>16780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32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H11</f>
        <v>3488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75.3939393939394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474.606060606061</v>
      </c>
      <c r="L45" s="2"/>
    </row>
    <row r="46" customFormat="false" ht="17.35" hidden="false" customHeight="false" outlineLevel="0" collapsed="false">
      <c r="A46" s="40" t="s">
        <v>233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70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71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72</v>
      </c>
      <c r="B48" s="43"/>
      <c r="C48" s="43"/>
      <c r="D48" s="43"/>
      <c r="E48" s="43"/>
      <c r="F48" s="43"/>
      <c r="G48" s="43"/>
      <c r="H48" s="47"/>
      <c r="J48" s="55" t="s">
        <v>73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74</v>
      </c>
      <c r="K49" s="2" t="n">
        <f aca="false">K45+K48+K47</f>
        <v>475.575757575758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75</v>
      </c>
      <c r="K50" s="2" t="n">
        <f aca="false">K49-A46</f>
        <v>425.575757575758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76</v>
      </c>
      <c r="B52" s="32"/>
      <c r="C52" s="32" t="s">
        <v>77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78</v>
      </c>
      <c r="K53" s="64" t="s">
        <v>382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80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81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82</v>
      </c>
      <c r="B58" s="71" t="s">
        <v>83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475.575757575758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84</v>
      </c>
      <c r="B67" s="32" t="n">
        <v>1</v>
      </c>
      <c r="C67" s="32"/>
      <c r="D67" s="32"/>
      <c r="E67" s="23"/>
      <c r="F67" s="23"/>
      <c r="G67" s="23"/>
      <c r="H67" s="33"/>
      <c r="J67" s="31" t="s">
        <v>84</v>
      </c>
      <c r="K67" s="32" t="n">
        <v>1</v>
      </c>
      <c r="L67" s="32"/>
      <c r="M67" s="32"/>
      <c r="N67" s="23"/>
      <c r="O67" s="23"/>
      <c r="P67" s="23"/>
      <c r="Q67" s="33"/>
      <c r="S67" s="31" t="s">
        <v>84</v>
      </c>
      <c r="T67" s="32" t="n">
        <v>1</v>
      </c>
      <c r="U67" s="32"/>
      <c r="V67" s="32"/>
      <c r="W67" s="23"/>
      <c r="X67" s="23"/>
      <c r="Y67" s="23"/>
      <c r="Z67" s="33"/>
      <c r="AB67" s="31" t="s">
        <v>84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85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85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85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85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86</v>
      </c>
      <c r="B69" s="77" t="n">
        <v>10</v>
      </c>
      <c r="C69" s="32"/>
      <c r="D69" s="32"/>
      <c r="E69" s="23"/>
      <c r="F69" s="23"/>
      <c r="G69" s="23"/>
      <c r="H69" s="33"/>
      <c r="J69" s="76" t="s">
        <v>86</v>
      </c>
      <c r="K69" s="77" t="n">
        <v>20</v>
      </c>
      <c r="L69" s="32"/>
      <c r="M69" s="32"/>
      <c r="N69" s="23"/>
      <c r="O69" s="23"/>
      <c r="P69" s="23"/>
      <c r="Q69" s="33"/>
      <c r="S69" s="76" t="s">
        <v>86</v>
      </c>
      <c r="T69" s="77" t="n">
        <v>10</v>
      </c>
      <c r="U69" s="32"/>
      <c r="V69" s="32"/>
      <c r="W69" s="23"/>
      <c r="X69" s="23"/>
      <c r="Y69" s="23"/>
      <c r="Z69" s="33"/>
      <c r="AB69" s="76" t="s">
        <v>86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20928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20928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20928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20928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87</v>
      </c>
      <c r="B71" s="79" t="n">
        <v>0</v>
      </c>
      <c r="C71" s="32"/>
      <c r="D71" s="32"/>
      <c r="E71" s="23"/>
      <c r="F71" s="23"/>
      <c r="G71" s="23"/>
      <c r="H71" s="33"/>
      <c r="J71" s="78" t="s">
        <v>87</v>
      </c>
      <c r="K71" s="79" t="n">
        <v>0.06</v>
      </c>
      <c r="L71" s="32"/>
      <c r="M71" s="32"/>
      <c r="N71" s="23"/>
      <c r="O71" s="23"/>
      <c r="P71" s="23"/>
      <c r="Q71" s="33"/>
      <c r="S71" s="78" t="s">
        <v>87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87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88</v>
      </c>
      <c r="B72" s="81" t="n">
        <v>0.065</v>
      </c>
      <c r="C72" s="32"/>
      <c r="D72" s="32"/>
      <c r="E72" s="23"/>
      <c r="F72" s="23"/>
      <c r="G72" s="23"/>
      <c r="H72" s="33"/>
      <c r="J72" s="80" t="s">
        <v>88</v>
      </c>
      <c r="K72" s="81" t="n">
        <v>0.08</v>
      </c>
      <c r="L72" s="32"/>
      <c r="M72" s="32"/>
      <c r="N72" s="23"/>
      <c r="O72" s="23"/>
      <c r="P72" s="23"/>
      <c r="Q72" s="33"/>
      <c r="S72" s="80" t="s">
        <v>88</v>
      </c>
      <c r="T72" s="81" t="n">
        <v>0.059</v>
      </c>
      <c r="U72" s="32"/>
      <c r="V72" s="32"/>
      <c r="W72" s="23"/>
      <c r="X72" s="23"/>
      <c r="Y72" s="23"/>
      <c r="Z72" s="33"/>
      <c r="AB72" s="80" t="s">
        <v>88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89</v>
      </c>
      <c r="B73" s="83" t="n">
        <v>0.05</v>
      </c>
      <c r="C73" s="32"/>
      <c r="D73" s="32"/>
      <c r="E73" s="23"/>
      <c r="F73" s="23"/>
      <c r="G73" s="23"/>
      <c r="H73" s="33"/>
      <c r="J73" s="82" t="s">
        <v>89</v>
      </c>
      <c r="K73" s="83" t="n">
        <v>0.1</v>
      </c>
      <c r="L73" s="32"/>
      <c r="M73" s="32"/>
      <c r="N73" s="23"/>
      <c r="O73" s="23"/>
      <c r="P73" s="23"/>
      <c r="Q73" s="33"/>
      <c r="S73" s="82" t="s">
        <v>89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89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90</v>
      </c>
      <c r="B74" s="65" t="n">
        <f aca="false">(B98*B68)-(K47*K29)</f>
        <v>13424.0947932947</v>
      </c>
      <c r="C74" s="32"/>
      <c r="D74" s="32"/>
      <c r="E74" s="23"/>
      <c r="F74" s="23"/>
      <c r="G74" s="23"/>
      <c r="H74" s="33"/>
      <c r="J74" s="56" t="s">
        <v>90</v>
      </c>
      <c r="K74" s="65" t="n">
        <f aca="false">(K98*K68)-(K47*K29)</f>
        <v>48703.2190424278</v>
      </c>
      <c r="L74" s="32"/>
      <c r="M74" s="32"/>
      <c r="N74" s="23"/>
      <c r="O74" s="23"/>
      <c r="P74" s="23"/>
      <c r="Q74" s="33"/>
      <c r="S74" s="56" t="s">
        <v>90</v>
      </c>
      <c r="T74" s="65" t="n">
        <f aca="false">(T98*T68)-(K47*K29)</f>
        <v>20293.5917615192</v>
      </c>
      <c r="U74" s="32"/>
      <c r="V74" s="32"/>
      <c r="W74" s="23"/>
      <c r="X74" s="23"/>
      <c r="Y74" s="23"/>
      <c r="Z74" s="33"/>
      <c r="AB74" s="56" t="s">
        <v>90</v>
      </c>
      <c r="AC74" s="65" t="n">
        <f aca="false">(AC98*AC68)-(K47*K29)</f>
        <v>20293.5917615192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91</v>
      </c>
      <c r="B75" s="79" t="n">
        <v>0.005</v>
      </c>
      <c r="C75" s="32"/>
      <c r="D75" s="32"/>
      <c r="E75" s="23"/>
      <c r="F75" s="23"/>
      <c r="G75" s="23"/>
      <c r="H75" s="33"/>
      <c r="J75" s="78" t="s">
        <v>91</v>
      </c>
      <c r="K75" s="79" t="n">
        <v>0.05</v>
      </c>
      <c r="L75" s="32"/>
      <c r="M75" s="32"/>
      <c r="N75" s="23"/>
      <c r="O75" s="23"/>
      <c r="P75" s="23"/>
      <c r="Q75" s="33"/>
      <c r="S75" s="78" t="s">
        <v>91</v>
      </c>
      <c r="T75" s="79" t="n">
        <v>0.005</v>
      </c>
      <c r="U75" s="32"/>
      <c r="V75" s="32"/>
      <c r="W75" s="23"/>
      <c r="X75" s="23"/>
      <c r="Y75" s="23"/>
      <c r="Z75" s="33"/>
      <c r="AB75" s="78" t="s">
        <v>91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92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92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92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92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93</v>
      </c>
      <c r="B77" s="65" t="n">
        <f aca="false">(G167*B76)</f>
        <v>199.3875</v>
      </c>
      <c r="C77" s="32"/>
      <c r="D77" s="32"/>
      <c r="E77" s="23"/>
      <c r="F77" s="23"/>
      <c r="G77" s="23"/>
      <c r="H77" s="33"/>
      <c r="J77" s="56" t="s">
        <v>93</v>
      </c>
      <c r="K77" s="65" t="n">
        <f aca="false">K70*K76</f>
        <v>1504.2</v>
      </c>
      <c r="L77" s="32"/>
      <c r="M77" s="32"/>
      <c r="N77" s="23"/>
      <c r="O77" s="23"/>
      <c r="P77" s="23"/>
      <c r="Q77" s="33"/>
      <c r="S77" s="56" t="s">
        <v>93</v>
      </c>
      <c r="T77" s="65" t="n">
        <f aca="false">T70*T76</f>
        <v>196.2</v>
      </c>
      <c r="U77" s="32"/>
      <c r="V77" s="32"/>
      <c r="W77" s="23"/>
      <c r="X77" s="23"/>
      <c r="Y77" s="23"/>
      <c r="Z77" s="33"/>
      <c r="AB77" s="56" t="s">
        <v>93</v>
      </c>
      <c r="AC77" s="65" t="n">
        <f aca="false">AH167*AC76</f>
        <v>161.5734375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94</v>
      </c>
      <c r="B78" s="79" t="n">
        <v>0</v>
      </c>
      <c r="C78" s="32"/>
      <c r="D78" s="32"/>
      <c r="E78" s="23"/>
      <c r="F78" s="23"/>
      <c r="G78" s="23"/>
      <c r="H78" s="33"/>
      <c r="J78" s="78" t="s">
        <v>94</v>
      </c>
      <c r="K78" s="79" t="n">
        <v>0</v>
      </c>
      <c r="L78" s="32"/>
      <c r="M78" s="32"/>
      <c r="N78" s="23"/>
      <c r="O78" s="23"/>
      <c r="P78" s="23"/>
      <c r="Q78" s="33"/>
      <c r="S78" s="78" t="s">
        <v>94</v>
      </c>
      <c r="T78" s="79" t="n">
        <v>0</v>
      </c>
      <c r="U78" s="32"/>
      <c r="V78" s="32"/>
      <c r="W78" s="23"/>
      <c r="X78" s="23"/>
      <c r="Y78" s="23"/>
      <c r="Z78" s="33"/>
      <c r="AB78" s="78" t="s">
        <v>94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95</v>
      </c>
      <c r="B79" s="81" t="n">
        <v>0</v>
      </c>
      <c r="C79" s="32"/>
      <c r="D79" s="32"/>
      <c r="E79" s="23"/>
      <c r="F79" s="23"/>
      <c r="G79" s="23"/>
      <c r="H79" s="33"/>
      <c r="J79" s="80" t="s">
        <v>95</v>
      </c>
      <c r="K79" s="81" t="n">
        <v>0</v>
      </c>
      <c r="L79" s="32"/>
      <c r="M79" s="32"/>
      <c r="N79" s="23"/>
      <c r="O79" s="23"/>
      <c r="P79" s="23"/>
      <c r="Q79" s="33"/>
      <c r="S79" s="80" t="s">
        <v>95</v>
      </c>
      <c r="T79" s="81" t="n">
        <v>0</v>
      </c>
      <c r="U79" s="32"/>
      <c r="V79" s="32"/>
      <c r="W79" s="23"/>
      <c r="X79" s="23"/>
      <c r="Y79" s="23"/>
      <c r="Z79" s="33"/>
      <c r="AB79" s="80" t="s">
        <v>95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96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96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96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96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97</v>
      </c>
      <c r="B81" s="86" t="n">
        <v>0</v>
      </c>
      <c r="C81" s="32"/>
      <c r="D81" s="32"/>
      <c r="E81" s="23"/>
      <c r="F81" s="23"/>
      <c r="G81" s="23"/>
      <c r="H81" s="33"/>
      <c r="J81" s="78" t="s">
        <v>97</v>
      </c>
      <c r="K81" s="86" t="n">
        <v>0</v>
      </c>
      <c r="L81" s="32"/>
      <c r="M81" s="32"/>
      <c r="N81" s="23"/>
      <c r="O81" s="23"/>
      <c r="P81" s="23"/>
      <c r="Q81" s="33"/>
      <c r="S81" s="78" t="s">
        <v>97</v>
      </c>
      <c r="T81" s="86" t="n">
        <v>0</v>
      </c>
      <c r="U81" s="32"/>
      <c r="V81" s="32"/>
      <c r="W81" s="23"/>
      <c r="X81" s="23"/>
      <c r="Y81" s="23"/>
      <c r="Z81" s="33"/>
      <c r="AB81" s="78" t="s">
        <v>97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98</v>
      </c>
      <c r="B82" s="77" t="n">
        <v>0</v>
      </c>
      <c r="C82" s="32"/>
      <c r="D82" s="32"/>
      <c r="E82" s="23"/>
      <c r="F82" s="23"/>
      <c r="G82" s="23"/>
      <c r="H82" s="33"/>
      <c r="J82" s="80" t="s">
        <v>98</v>
      </c>
      <c r="K82" s="77" t="n">
        <v>0</v>
      </c>
      <c r="L82" s="32"/>
      <c r="M82" s="32"/>
      <c r="N82" s="23"/>
      <c r="O82" s="23"/>
      <c r="P82" s="23"/>
      <c r="Q82" s="33"/>
      <c r="S82" s="80" t="s">
        <v>98</v>
      </c>
      <c r="T82" s="77" t="n">
        <v>0</v>
      </c>
      <c r="U82" s="32"/>
      <c r="V82" s="32"/>
      <c r="W82" s="23"/>
      <c r="X82" s="23"/>
      <c r="Y82" s="23"/>
      <c r="Z82" s="33"/>
      <c r="AB82" s="80" t="s">
        <v>98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99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99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99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99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100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100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100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100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101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101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101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101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102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102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102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102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103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103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103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103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104</v>
      </c>
      <c r="B88" s="59" t="n">
        <f aca="false">K49</f>
        <v>475.575757575758</v>
      </c>
      <c r="C88" s="32"/>
      <c r="D88" s="32"/>
      <c r="E88" s="23"/>
      <c r="F88" s="23"/>
      <c r="G88" s="23"/>
      <c r="H88" s="33"/>
      <c r="J88" s="90" t="s">
        <v>104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104</v>
      </c>
      <c r="T88" s="59" t="n">
        <f aca="false">B60</f>
        <v>475.575757575758</v>
      </c>
      <c r="U88" s="32"/>
      <c r="V88" s="32"/>
      <c r="W88" s="23"/>
      <c r="X88" s="23"/>
      <c r="Y88" s="23"/>
      <c r="Z88" s="33"/>
      <c r="AB88" s="90" t="s">
        <v>104</v>
      </c>
      <c r="AC88" s="59" t="n">
        <f aca="false">B60</f>
        <v>475.575757575758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105</v>
      </c>
      <c r="B90" s="27" t="n">
        <f aca="false">F37</f>
        <v>16780</v>
      </c>
      <c r="C90" s="32"/>
      <c r="D90" s="32"/>
      <c r="E90" s="23"/>
      <c r="F90" s="25" t="s">
        <v>105</v>
      </c>
      <c r="G90" s="27" t="n">
        <f aca="false">F37</f>
        <v>16780</v>
      </c>
      <c r="H90" s="33"/>
      <c r="J90" s="25" t="s">
        <v>105</v>
      </c>
      <c r="K90" s="27" t="n">
        <f aca="false">P167</f>
        <v>36519.004</v>
      </c>
      <c r="L90" s="32"/>
      <c r="M90" s="32"/>
      <c r="N90" s="23"/>
      <c r="O90" s="23"/>
      <c r="P90" s="23"/>
      <c r="Q90" s="33"/>
      <c r="S90" s="25" t="s">
        <v>105</v>
      </c>
      <c r="T90" s="27" t="n">
        <f aca="false">Y167</f>
        <v>17234.5</v>
      </c>
      <c r="U90" s="32"/>
      <c r="V90" s="32"/>
      <c r="W90" s="23"/>
      <c r="X90" s="23"/>
      <c r="Y90" s="23"/>
      <c r="Z90" s="33"/>
      <c r="AB90" s="25" t="s">
        <v>105</v>
      </c>
      <c r="AC90" s="27" t="n">
        <f aca="false">AH167</f>
        <v>17234.5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106</v>
      </c>
      <c r="B91" s="33" t="n">
        <f aca="false">IF(A111="YES",A43,0)*1.2</f>
        <v>7200</v>
      </c>
      <c r="C91" s="32"/>
      <c r="D91" s="32"/>
      <c r="E91" s="23"/>
      <c r="F91" s="31" t="s">
        <v>106</v>
      </c>
      <c r="G91" s="33" t="n">
        <f aca="false">IF(A111="YES",A43,0)</f>
        <v>6000</v>
      </c>
      <c r="H91" s="33"/>
      <c r="J91" s="31" t="s">
        <v>106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106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106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107</v>
      </c>
      <c r="B92" s="84" t="n">
        <f aca="false">B71+B72+B73</f>
        <v>0.115</v>
      </c>
      <c r="C92" s="32"/>
      <c r="D92" s="32"/>
      <c r="E92" s="23"/>
      <c r="F92" s="31" t="s">
        <v>107</v>
      </c>
      <c r="G92" s="91" t="n">
        <f aca="false">B72</f>
        <v>0.065</v>
      </c>
      <c r="H92" s="33"/>
      <c r="J92" s="31" t="s">
        <v>107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107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107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108</v>
      </c>
      <c r="B93" s="84" t="n">
        <f aca="false">B92/12</f>
        <v>0.00958333333333333</v>
      </c>
      <c r="C93" s="32"/>
      <c r="D93" s="32"/>
      <c r="E93" s="23"/>
      <c r="F93" s="31" t="s">
        <v>108</v>
      </c>
      <c r="G93" s="92" t="n">
        <f aca="false">G92/12</f>
        <v>0.00541666666666667</v>
      </c>
      <c r="H93" s="33"/>
      <c r="J93" s="31" t="s">
        <v>108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108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108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109</v>
      </c>
      <c r="B94" s="33" t="n">
        <f aca="false">IF(B91=0, (B68+B67), (B68))</f>
        <v>32</v>
      </c>
      <c r="C94" s="32"/>
      <c r="D94" s="32"/>
      <c r="E94" s="23"/>
      <c r="F94" s="31" t="s">
        <v>109</v>
      </c>
      <c r="G94" s="33" t="n">
        <f aca="false">IF(G91=0, (B68+B67), (B68))</f>
        <v>32</v>
      </c>
      <c r="H94" s="33"/>
      <c r="J94" s="31" t="s">
        <v>109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109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109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110</v>
      </c>
      <c r="B95" s="33" t="n">
        <f aca="false">(B91/((1+B93)^(B94+1)))</f>
        <v>5255.82391109543</v>
      </c>
      <c r="C95" s="32"/>
      <c r="D95" s="32"/>
      <c r="E95" s="23"/>
      <c r="F95" s="31" t="s">
        <v>110</v>
      </c>
      <c r="G95" s="33" t="n">
        <f aca="false">(G91/((1+G93)^(G94+1)))</f>
        <v>5020.31079273804</v>
      </c>
      <c r="H95" s="33"/>
      <c r="J95" s="31" t="s">
        <v>110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110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110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111</v>
      </c>
      <c r="B96" s="33" t="n">
        <f aca="false">((1-(1/((1+B93)^B94)))/B93)</f>
        <v>27.4464895133802</v>
      </c>
      <c r="C96" s="32"/>
      <c r="D96" s="32"/>
      <c r="E96" s="23"/>
      <c r="F96" s="31" t="s">
        <v>111</v>
      </c>
      <c r="G96" s="33" t="n">
        <f aca="false">((1-(1/((1+G93)^G94)))/G93)</f>
        <v>29.3075648349115</v>
      </c>
      <c r="H96" s="33"/>
      <c r="J96" s="31" t="s">
        <v>111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111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111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112</v>
      </c>
      <c r="B97" s="33" t="n">
        <f aca="false">B90-B95</f>
        <v>11524.1760889046</v>
      </c>
      <c r="C97" s="32"/>
      <c r="D97" s="32"/>
      <c r="E97" s="23"/>
      <c r="F97" s="31" t="s">
        <v>112</v>
      </c>
      <c r="G97" s="33" t="n">
        <f aca="false">G90-G95</f>
        <v>11759.689207262</v>
      </c>
      <c r="H97" s="33"/>
      <c r="J97" s="31" t="s">
        <v>112</v>
      </c>
      <c r="K97" s="33" t="n">
        <f aca="false">K90-K95</f>
        <v>36519.004</v>
      </c>
      <c r="L97" s="32"/>
      <c r="M97" s="32"/>
      <c r="N97" s="23"/>
      <c r="O97" s="23"/>
      <c r="P97" s="23"/>
      <c r="Q97" s="33"/>
      <c r="S97" s="31" t="s">
        <v>112</v>
      </c>
      <c r="T97" s="33" t="n">
        <f aca="false">T90-T95</f>
        <v>17225.9407086168</v>
      </c>
      <c r="U97" s="32"/>
      <c r="V97" s="32"/>
      <c r="W97" s="23"/>
      <c r="X97" s="23"/>
      <c r="Y97" s="23"/>
      <c r="Z97" s="33"/>
      <c r="AB97" s="31" t="s">
        <v>112</v>
      </c>
      <c r="AC97" s="33" t="n">
        <f aca="false">AC90-AC95</f>
        <v>17225.9407086168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113</v>
      </c>
      <c r="B98" s="33" t="n">
        <f aca="false">(B97/B96)</f>
        <v>419.87796229046</v>
      </c>
      <c r="C98" s="32"/>
      <c r="D98" s="32"/>
      <c r="E98" s="23"/>
      <c r="F98" s="31" t="s">
        <v>113</v>
      </c>
      <c r="G98" s="33" t="n">
        <f aca="false">(G97/G96)</f>
        <v>401.250983270151</v>
      </c>
      <c r="H98" s="33"/>
      <c r="J98" s="31" t="s">
        <v>113</v>
      </c>
      <c r="K98" s="33" t="n">
        <f aca="false">(K97/K96)</f>
        <v>1522.35059507587</v>
      </c>
      <c r="L98" s="32"/>
      <c r="M98" s="32"/>
      <c r="N98" s="23"/>
      <c r="O98" s="23"/>
      <c r="P98" s="23"/>
      <c r="Q98" s="33"/>
      <c r="S98" s="31" t="s">
        <v>113</v>
      </c>
      <c r="T98" s="33" t="n">
        <f aca="false">(T97/T96)</f>
        <v>634.549742547474</v>
      </c>
      <c r="U98" s="32"/>
      <c r="V98" s="32"/>
      <c r="W98" s="23"/>
      <c r="X98" s="23"/>
      <c r="Y98" s="23"/>
      <c r="Z98" s="33"/>
      <c r="AB98" s="31" t="s">
        <v>113</v>
      </c>
      <c r="AC98" s="33" t="n">
        <f aca="false">(AC97/AC96)</f>
        <v>634.549742547474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114</v>
      </c>
      <c r="B99" s="33" t="n">
        <f aca="false">((B98*(B94))+B86)</f>
        <v>13436.0947932947</v>
      </c>
      <c r="C99" s="32"/>
      <c r="D99" s="32"/>
      <c r="E99" s="23"/>
      <c r="F99" s="31" t="s">
        <v>114</v>
      </c>
      <c r="G99" s="33" t="n">
        <f aca="false">((G98*(G94))+G86)</f>
        <v>12840.0314646448</v>
      </c>
      <c r="H99" s="33"/>
      <c r="J99" s="31" t="s">
        <v>114</v>
      </c>
      <c r="K99" s="33" t="n">
        <f aca="false">((K98*(K94))+K86)</f>
        <v>50237.5696375037</v>
      </c>
      <c r="L99" s="32"/>
      <c r="M99" s="32"/>
      <c r="N99" s="23"/>
      <c r="O99" s="23"/>
      <c r="P99" s="23"/>
      <c r="Q99" s="33"/>
      <c r="S99" s="31" t="s">
        <v>114</v>
      </c>
      <c r="T99" s="33" t="n">
        <f aca="false">(T98*(T94))+T86</f>
        <v>20305.5917615192</v>
      </c>
      <c r="U99" s="32"/>
      <c r="V99" s="32"/>
      <c r="W99" s="23"/>
      <c r="X99" s="23"/>
      <c r="Y99" s="23"/>
      <c r="Z99" s="33"/>
      <c r="AB99" s="31" t="s">
        <v>114</v>
      </c>
      <c r="AC99" s="33" t="n">
        <f aca="false">(AC98*(AC68))+AC86</f>
        <v>20305.5917615192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115</v>
      </c>
      <c r="B100" s="33" t="n">
        <f aca="false">(((B98*(B94))+B86)/(1-B80))*B80</f>
        <v>0</v>
      </c>
      <c r="C100" s="32"/>
      <c r="D100" s="32"/>
      <c r="E100" s="23"/>
      <c r="F100" s="31" t="s">
        <v>115</v>
      </c>
      <c r="G100" s="33" t="n">
        <f aca="false">(((G98*(G94))+G86)/(1-G80))*G80</f>
        <v>0</v>
      </c>
      <c r="H100" s="33"/>
      <c r="J100" s="31" t="s">
        <v>115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115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115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116</v>
      </c>
      <c r="B101" s="65" t="n">
        <f aca="false">(B99+B100)</f>
        <v>13436.0947932947</v>
      </c>
      <c r="C101" s="32"/>
      <c r="D101" s="32"/>
      <c r="E101" s="23"/>
      <c r="F101" s="56" t="s">
        <v>116</v>
      </c>
      <c r="G101" s="65" t="n">
        <f aca="false">(G99+G100)</f>
        <v>12840.0314646448</v>
      </c>
      <c r="H101" s="33"/>
      <c r="J101" s="56" t="s">
        <v>116</v>
      </c>
      <c r="K101" s="65" t="n">
        <f aca="false">(K99+K100)</f>
        <v>50237.5696375037</v>
      </c>
      <c r="L101" s="32"/>
      <c r="M101" s="32"/>
      <c r="N101" s="23"/>
      <c r="O101" s="23"/>
      <c r="P101" s="23"/>
      <c r="Q101" s="33"/>
      <c r="S101" s="56" t="s">
        <v>116</v>
      </c>
      <c r="T101" s="65" t="n">
        <f aca="false">(T99+T100)</f>
        <v>20305.5917615192</v>
      </c>
      <c r="U101" s="32"/>
      <c r="V101" s="32"/>
      <c r="W101" s="23"/>
      <c r="X101" s="23"/>
      <c r="Y101" s="23"/>
      <c r="Z101" s="33"/>
      <c r="AB101" s="56" t="s">
        <v>116</v>
      </c>
      <c r="AC101" s="65" t="n">
        <f aca="false">(AC99+AC100)</f>
        <v>20305.5917615192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117</v>
      </c>
      <c r="B103" s="89" t="n">
        <f aca="false">((A46 * A34) + ((A46 * A34)*A117))/(B68)*1.2</f>
        <v>80.4375</v>
      </c>
      <c r="C103" s="32"/>
      <c r="D103" s="32"/>
      <c r="E103" s="23"/>
      <c r="F103" s="88" t="s">
        <v>117</v>
      </c>
      <c r="G103" s="94" t="str">
        <f aca="false">IF(B35="YES",((E49/B94)*(1+A117)*(C54/100)),"0")</f>
        <v>0</v>
      </c>
      <c r="H103" s="33"/>
      <c r="J103" s="88" t="s">
        <v>117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117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117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118</v>
      </c>
      <c r="B104" s="96" t="n">
        <f aca="false">B101/(B94)</f>
        <v>419.87796229046</v>
      </c>
      <c r="C104" s="32"/>
      <c r="D104" s="32"/>
      <c r="E104" s="23"/>
      <c r="F104" s="95" t="s">
        <v>118</v>
      </c>
      <c r="G104" s="96" t="n">
        <f aca="false">G101/(G94)</f>
        <v>401.250983270151</v>
      </c>
      <c r="H104" s="33"/>
      <c r="J104" s="95" t="s">
        <v>118</v>
      </c>
      <c r="K104" s="96" t="n">
        <f aca="false">K101/(K94)</f>
        <v>1522.35059507587</v>
      </c>
      <c r="L104" s="32"/>
      <c r="M104" s="32"/>
      <c r="N104" s="23"/>
      <c r="O104" s="23"/>
      <c r="P104" s="23"/>
      <c r="Q104" s="33"/>
      <c r="S104" s="95" t="s">
        <v>118</v>
      </c>
      <c r="T104" s="96" t="n">
        <f aca="false">T101/(T94)</f>
        <v>634.549742547474</v>
      </c>
      <c r="U104" s="32"/>
      <c r="V104" s="32"/>
      <c r="W104" s="23"/>
      <c r="X104" s="23"/>
      <c r="Y104" s="23"/>
      <c r="Z104" s="33"/>
      <c r="AB104" s="95" t="s">
        <v>118</v>
      </c>
      <c r="AC104" s="96" t="n">
        <f aca="false">AC101/(AC68)</f>
        <v>634.549742547474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119</v>
      </c>
      <c r="B105" s="98" t="n">
        <f aca="false">B103+B104</f>
        <v>500.31546229046</v>
      </c>
      <c r="C105" s="32"/>
      <c r="D105" s="32"/>
      <c r="E105" s="23" t="s">
        <v>19</v>
      </c>
      <c r="F105" s="97" t="s">
        <v>119</v>
      </c>
      <c r="G105" s="98" t="n">
        <f aca="false">G103+G104</f>
        <v>401.250983270151</v>
      </c>
      <c r="H105" s="33"/>
      <c r="J105" s="97" t="s">
        <v>119</v>
      </c>
      <c r="K105" s="98" t="n">
        <f aca="false">(K103+K104)</f>
        <v>1522.35059507587</v>
      </c>
      <c r="L105" s="32"/>
      <c r="M105" s="32"/>
      <c r="N105" s="23"/>
      <c r="O105" s="23"/>
      <c r="P105" s="23"/>
      <c r="Q105" s="33"/>
      <c r="S105" s="97" t="s">
        <v>119</v>
      </c>
      <c r="T105" s="98" t="n">
        <f aca="false">T103+T104</f>
        <v>634.549742547474</v>
      </c>
      <c r="U105" s="32"/>
      <c r="V105" s="32"/>
      <c r="W105" s="23"/>
      <c r="X105" s="23"/>
      <c r="Y105" s="23"/>
      <c r="Z105" s="33"/>
      <c r="AB105" s="97" t="s">
        <v>119</v>
      </c>
      <c r="AC105" s="98" t="n">
        <f aca="false">AC103+AC104</f>
        <v>634.549742547474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120</v>
      </c>
      <c r="B109" s="100"/>
      <c r="C109" s="100"/>
      <c r="D109" s="100"/>
      <c r="E109" s="100"/>
      <c r="F109" s="100"/>
      <c r="G109" s="100"/>
      <c r="H109" s="100"/>
      <c r="J109" s="24" t="s">
        <v>121</v>
      </c>
      <c r="K109" s="24"/>
      <c r="L109" s="24"/>
      <c r="M109" s="24"/>
      <c r="N109" s="24"/>
      <c r="O109" s="24"/>
      <c r="P109" s="24"/>
      <c r="Q109" s="24"/>
      <c r="S109" s="100" t="s">
        <v>122</v>
      </c>
      <c r="T109" s="100"/>
      <c r="U109" s="100"/>
      <c r="V109" s="100"/>
      <c r="W109" s="100"/>
      <c r="X109" s="100"/>
      <c r="Y109" s="100"/>
      <c r="Z109" s="100"/>
      <c r="AB109" s="100" t="s">
        <v>123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124</v>
      </c>
      <c r="K111" s="28"/>
      <c r="L111" s="28"/>
      <c r="M111" s="28"/>
      <c r="N111" s="28"/>
      <c r="O111" s="28"/>
      <c r="P111" s="28"/>
      <c r="Q111" s="28"/>
      <c r="S111" s="28" t="s">
        <v>124</v>
      </c>
      <c r="T111" s="28"/>
      <c r="U111" s="28"/>
      <c r="V111" s="28"/>
      <c r="W111" s="28"/>
      <c r="X111" s="28"/>
      <c r="Y111" s="28"/>
      <c r="Z111" s="28"/>
      <c r="AB111" s="28" t="s">
        <v>124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125</v>
      </c>
      <c r="B113" s="32" t="s">
        <v>23</v>
      </c>
      <c r="C113" s="32"/>
      <c r="D113" s="32"/>
      <c r="E113" s="32" t="s">
        <v>126</v>
      </c>
      <c r="F113" s="32"/>
      <c r="G113" s="32"/>
      <c r="H113" s="33"/>
      <c r="J113" s="31" t="s">
        <v>125</v>
      </c>
      <c r="K113" s="32" t="s">
        <v>23</v>
      </c>
      <c r="L113" s="32"/>
      <c r="M113" s="32"/>
      <c r="N113" s="32" t="s">
        <v>126</v>
      </c>
      <c r="O113" s="32"/>
      <c r="P113" s="32"/>
      <c r="Q113" s="33"/>
      <c r="S113" s="31" t="s">
        <v>125</v>
      </c>
      <c r="T113" s="32" t="s">
        <v>23</v>
      </c>
      <c r="U113" s="32"/>
      <c r="V113" s="32"/>
      <c r="W113" s="32" t="s">
        <v>126</v>
      </c>
      <c r="X113" s="32"/>
      <c r="Y113" s="32"/>
      <c r="Z113" s="33"/>
      <c r="AB113" s="31" t="s">
        <v>125</v>
      </c>
      <c r="AC113" s="32" t="s">
        <v>23</v>
      </c>
      <c r="AD113" s="32"/>
      <c r="AE113" s="32"/>
      <c r="AF113" s="32" t="s">
        <v>126</v>
      </c>
      <c r="AG113" s="32"/>
      <c r="AH113" s="32"/>
      <c r="AI113" s="33"/>
    </row>
    <row r="114" customFormat="false" ht="17.35" hidden="false" customHeight="false" outlineLevel="0" collapsed="false">
      <c r="A114" s="36" t="s">
        <v>127</v>
      </c>
      <c r="B114" s="103" t="s">
        <v>128</v>
      </c>
      <c r="C114" s="103"/>
      <c r="D114" s="103"/>
      <c r="E114" s="104" t="s">
        <v>18</v>
      </c>
      <c r="F114" s="104"/>
      <c r="G114" s="104"/>
      <c r="H114" s="102"/>
      <c r="J114" s="36" t="s">
        <v>127</v>
      </c>
      <c r="K114" s="105" t="s">
        <v>128</v>
      </c>
      <c r="L114" s="105"/>
      <c r="M114" s="105"/>
      <c r="N114" s="104" t="s">
        <v>18</v>
      </c>
      <c r="O114" s="104"/>
      <c r="P114" s="104"/>
      <c r="Q114" s="102"/>
      <c r="S114" s="36" t="s">
        <v>127</v>
      </c>
      <c r="T114" s="103" t="s">
        <v>128</v>
      </c>
      <c r="U114" s="103"/>
      <c r="V114" s="103"/>
      <c r="W114" s="104" t="s">
        <v>18</v>
      </c>
      <c r="X114" s="104"/>
      <c r="Y114" s="104"/>
      <c r="Z114" s="102"/>
      <c r="AB114" s="36" t="s">
        <v>127</v>
      </c>
      <c r="AC114" s="103" t="s">
        <v>128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129</v>
      </c>
      <c r="B116" s="32" t="s">
        <v>130</v>
      </c>
      <c r="C116" s="32"/>
      <c r="D116" s="23"/>
      <c r="E116" s="32" t="s">
        <v>131</v>
      </c>
      <c r="F116" s="32"/>
      <c r="G116" s="23"/>
      <c r="H116" s="102"/>
      <c r="J116" s="31" t="s">
        <v>129</v>
      </c>
      <c r="K116" s="32" t="s">
        <v>130</v>
      </c>
      <c r="L116" s="32"/>
      <c r="M116" s="23"/>
      <c r="N116" s="32" t="s">
        <v>131</v>
      </c>
      <c r="O116" s="32"/>
      <c r="P116" s="23"/>
      <c r="Q116" s="102"/>
      <c r="S116" s="31" t="s">
        <v>129</v>
      </c>
      <c r="T116" s="32" t="s">
        <v>130</v>
      </c>
      <c r="U116" s="32"/>
      <c r="V116" s="23"/>
      <c r="W116" s="32" t="s">
        <v>131</v>
      </c>
      <c r="X116" s="32"/>
      <c r="Y116" s="23"/>
      <c r="Z116" s="102"/>
      <c r="AB116" s="31" t="s">
        <v>129</v>
      </c>
      <c r="AC116" s="32" t="s">
        <v>130</v>
      </c>
      <c r="AD116" s="32"/>
      <c r="AE116" s="23"/>
      <c r="AF116" s="32" t="s">
        <v>131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132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132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133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133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134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132</v>
      </c>
    </row>
    <row r="119" customFormat="false" ht="17.35" hidden="false" customHeight="false" outlineLevel="0" collapsed="false">
      <c r="A119" s="31" t="s">
        <v>135</v>
      </c>
      <c r="B119" s="32" t="s">
        <v>136</v>
      </c>
      <c r="C119" s="32"/>
      <c r="D119" s="32"/>
      <c r="E119" s="32" t="s">
        <v>137</v>
      </c>
      <c r="F119" s="32"/>
      <c r="G119" s="32"/>
      <c r="H119" s="33"/>
      <c r="J119" s="31" t="s">
        <v>135</v>
      </c>
      <c r="K119" s="32" t="s">
        <v>136</v>
      </c>
      <c r="L119" s="32"/>
      <c r="M119" s="32"/>
      <c r="N119" s="32" t="s">
        <v>137</v>
      </c>
      <c r="O119" s="32"/>
      <c r="P119" s="32"/>
      <c r="Q119" s="33"/>
      <c r="S119" s="31" t="s">
        <v>135</v>
      </c>
      <c r="T119" s="32" t="s">
        <v>136</v>
      </c>
      <c r="U119" s="32"/>
      <c r="V119" s="32"/>
      <c r="W119" s="32" t="s">
        <v>137</v>
      </c>
      <c r="X119" s="32"/>
      <c r="Y119" s="32"/>
      <c r="Z119" s="33"/>
      <c r="AB119" s="31" t="s">
        <v>135</v>
      </c>
      <c r="AC119" s="32" t="s">
        <v>136</v>
      </c>
      <c r="AD119" s="32"/>
      <c r="AE119" s="32"/>
      <c r="AF119" s="32" t="s">
        <v>137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138</v>
      </c>
      <c r="B122" s="32" t="s">
        <v>139</v>
      </c>
      <c r="C122" s="32"/>
      <c r="D122" s="32"/>
      <c r="E122" s="32" t="s">
        <v>140</v>
      </c>
      <c r="F122" s="32"/>
      <c r="G122" s="23"/>
      <c r="H122" s="102"/>
      <c r="J122" s="110" t="s">
        <v>138</v>
      </c>
      <c r="K122" s="32" t="s">
        <v>139</v>
      </c>
      <c r="L122" s="32"/>
      <c r="M122" s="32"/>
      <c r="N122" s="32" t="s">
        <v>140</v>
      </c>
      <c r="O122" s="32"/>
      <c r="P122" s="23"/>
      <c r="Q122" s="102"/>
      <c r="S122" s="110" t="s">
        <v>138</v>
      </c>
      <c r="T122" s="32" t="s">
        <v>139</v>
      </c>
      <c r="U122" s="32"/>
      <c r="V122" s="32"/>
      <c r="W122" s="32" t="s">
        <v>140</v>
      </c>
      <c r="X122" s="32"/>
      <c r="Y122" s="23"/>
      <c r="Z122" s="102"/>
      <c r="AB122" s="110" t="s">
        <v>138</v>
      </c>
      <c r="AC122" s="32" t="s">
        <v>139</v>
      </c>
      <c r="AD122" s="32"/>
      <c r="AE122" s="32"/>
      <c r="AF122" s="32" t="s">
        <v>140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141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142</v>
      </c>
      <c r="B126" s="28"/>
      <c r="C126" s="28"/>
      <c r="D126" s="28"/>
      <c r="E126" s="28"/>
      <c r="F126" s="28"/>
      <c r="G126" s="28"/>
      <c r="H126" s="28"/>
      <c r="J126" s="28" t="s">
        <v>142</v>
      </c>
      <c r="K126" s="28"/>
      <c r="L126" s="28"/>
      <c r="M126" s="28"/>
      <c r="N126" s="28"/>
      <c r="O126" s="28"/>
      <c r="P126" s="28"/>
      <c r="Q126" s="28"/>
      <c r="S126" s="28" t="s">
        <v>142</v>
      </c>
      <c r="T126" s="28"/>
      <c r="U126" s="28"/>
      <c r="V126" s="28"/>
      <c r="W126" s="28"/>
      <c r="X126" s="28"/>
      <c r="Y126" s="28"/>
      <c r="Z126" s="28"/>
      <c r="AB126" s="28" t="s">
        <v>142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143</v>
      </c>
      <c r="C128" s="114"/>
      <c r="D128" s="114" t="s">
        <v>144</v>
      </c>
      <c r="E128" s="114"/>
      <c r="F128" s="114" t="s">
        <v>145</v>
      </c>
      <c r="G128" s="114"/>
      <c r="H128" s="115" t="s">
        <v>146</v>
      </c>
      <c r="J128" s="78"/>
      <c r="K128" s="114" t="s">
        <v>143</v>
      </c>
      <c r="L128" s="114"/>
      <c r="M128" s="114" t="s">
        <v>144</v>
      </c>
      <c r="N128" s="114"/>
      <c r="O128" s="114" t="s">
        <v>145</v>
      </c>
      <c r="P128" s="114"/>
      <c r="Q128" s="115" t="s">
        <v>146</v>
      </c>
      <c r="S128" s="78"/>
      <c r="T128" s="114" t="s">
        <v>143</v>
      </c>
      <c r="U128" s="114"/>
      <c r="V128" s="114" t="s">
        <v>144</v>
      </c>
      <c r="W128" s="114"/>
      <c r="X128" s="114" t="s">
        <v>145</v>
      </c>
      <c r="Y128" s="114"/>
      <c r="Z128" s="115" t="s">
        <v>146</v>
      </c>
      <c r="AB128" s="78"/>
      <c r="AC128" s="114" t="s">
        <v>143</v>
      </c>
      <c r="AD128" s="114"/>
      <c r="AE128" s="114" t="s">
        <v>144</v>
      </c>
      <c r="AF128" s="114"/>
      <c r="AG128" s="114" t="s">
        <v>145</v>
      </c>
      <c r="AH128" s="114"/>
      <c r="AI128" s="115" t="s">
        <v>146</v>
      </c>
    </row>
    <row r="129" customFormat="false" ht="19.7" hidden="false" customHeight="false" outlineLevel="0" collapsed="false">
      <c r="A129" s="80"/>
      <c r="B129" s="116" t="s">
        <v>147</v>
      </c>
      <c r="C129" s="117" t="s">
        <v>148</v>
      </c>
      <c r="D129" s="116" t="s">
        <v>147</v>
      </c>
      <c r="E129" s="118" t="s">
        <v>148</v>
      </c>
      <c r="F129" s="116" t="s">
        <v>147</v>
      </c>
      <c r="G129" s="118" t="s">
        <v>148</v>
      </c>
      <c r="H129" s="119"/>
      <c r="J129" s="80"/>
      <c r="K129" s="116" t="s">
        <v>147</v>
      </c>
      <c r="L129" s="117" t="s">
        <v>148</v>
      </c>
      <c r="M129" s="116" t="s">
        <v>147</v>
      </c>
      <c r="N129" s="118" t="s">
        <v>148</v>
      </c>
      <c r="O129" s="116" t="s">
        <v>147</v>
      </c>
      <c r="P129" s="118" t="s">
        <v>148</v>
      </c>
      <c r="Q129" s="119"/>
      <c r="S129" s="80"/>
      <c r="T129" s="116" t="s">
        <v>147</v>
      </c>
      <c r="U129" s="117" t="s">
        <v>148</v>
      </c>
      <c r="V129" s="116" t="s">
        <v>147</v>
      </c>
      <c r="W129" s="118" t="s">
        <v>148</v>
      </c>
      <c r="X129" s="116" t="s">
        <v>147</v>
      </c>
      <c r="Y129" s="118" t="s">
        <v>148</v>
      </c>
      <c r="Z129" s="119"/>
      <c r="AB129" s="80"/>
      <c r="AC129" s="116" t="s">
        <v>147</v>
      </c>
      <c r="AD129" s="117" t="s">
        <v>148</v>
      </c>
      <c r="AE129" s="116" t="s">
        <v>147</v>
      </c>
      <c r="AF129" s="118" t="s">
        <v>148</v>
      </c>
      <c r="AG129" s="116" t="s">
        <v>147</v>
      </c>
      <c r="AH129" s="118" t="s">
        <v>148</v>
      </c>
      <c r="AI129" s="119"/>
    </row>
    <row r="130" customFormat="false" ht="17.35" hidden="false" customHeight="false" outlineLevel="0" collapsed="false">
      <c r="A130" s="25" t="s">
        <v>149</v>
      </c>
      <c r="B130" s="25" t="n">
        <f aca="false">B3</f>
        <v>16745</v>
      </c>
      <c r="C130" s="40" t="n">
        <f aca="false">B130</f>
        <v>16745</v>
      </c>
      <c r="D130" s="25" t="n">
        <f aca="false">D3</f>
        <v>0</v>
      </c>
      <c r="E130" s="40" t="n">
        <f aca="false">D130</f>
        <v>0</v>
      </c>
      <c r="F130" s="25" t="n">
        <f aca="false">F3</f>
        <v>0</v>
      </c>
      <c r="G130" s="40" t="n">
        <f aca="false">F130</f>
        <v>0</v>
      </c>
      <c r="H130" s="122" t="n">
        <f aca="false">H3</f>
        <v>0</v>
      </c>
      <c r="J130" s="25" t="s">
        <v>149</v>
      </c>
      <c r="K130" s="25" t="n">
        <f aca="false">B3</f>
        <v>16745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0</v>
      </c>
      <c r="P130" s="40" t="n">
        <f aca="false">O130</f>
        <v>0</v>
      </c>
      <c r="Q130" s="122" t="n">
        <f aca="false">H3</f>
        <v>0</v>
      </c>
      <c r="S130" s="25" t="s">
        <v>149</v>
      </c>
      <c r="T130" s="25" t="n">
        <f aca="false">B3</f>
        <v>16745</v>
      </c>
      <c r="U130" s="40" t="n">
        <f aca="false">T130</f>
        <v>16745</v>
      </c>
      <c r="V130" s="25" t="n">
        <f aca="false">D3</f>
        <v>0</v>
      </c>
      <c r="W130" s="40" t="n">
        <f aca="false">V130</f>
        <v>0</v>
      </c>
      <c r="X130" s="25" t="n">
        <f aca="false">F3</f>
        <v>0</v>
      </c>
      <c r="Y130" s="40" t="n">
        <f aca="false">X130</f>
        <v>0</v>
      </c>
      <c r="Z130" s="122" t="n">
        <f aca="false">H3</f>
        <v>0</v>
      </c>
      <c r="AB130" s="25" t="s">
        <v>149</v>
      </c>
      <c r="AC130" s="25" t="n">
        <f aca="false">B3</f>
        <v>16745</v>
      </c>
      <c r="AD130" s="40" t="n">
        <f aca="false">AC130</f>
        <v>16745</v>
      </c>
      <c r="AE130" s="25" t="n">
        <f aca="false">D3</f>
        <v>0</v>
      </c>
      <c r="AF130" s="40" t="n">
        <f aca="false">AE130</f>
        <v>0</v>
      </c>
      <c r="AG130" s="25" t="n">
        <f aca="false">F3</f>
        <v>0</v>
      </c>
      <c r="AH130" s="40" t="n">
        <f aca="false">AG130</f>
        <v>0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150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150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150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150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151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151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151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151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152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152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152</v>
      </c>
      <c r="T133" s="31" t="n">
        <f aca="false">(T130*T131)+T132</f>
        <v>0</v>
      </c>
      <c r="U133" s="27" t="n">
        <f aca="false">(U130*U131)+U132</f>
        <v>4186.25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152</v>
      </c>
      <c r="AC133" s="31" t="n">
        <f aca="false">(AC130*AC131)+AC132</f>
        <v>0</v>
      </c>
      <c r="AD133" s="27" t="n">
        <f aca="false">(AD130*AD131)+AD132</f>
        <v>4186.25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153</v>
      </c>
      <c r="B134" s="56" t="n">
        <f aca="false">B130-B133</f>
        <v>16745</v>
      </c>
      <c r="C134" s="65" t="n">
        <f aca="false">C130-C133</f>
        <v>16745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0</v>
      </c>
      <c r="G134" s="65" t="n">
        <f aca="false">G130-G133</f>
        <v>0</v>
      </c>
      <c r="H134" s="65"/>
      <c r="J134" s="56" t="s">
        <v>153</v>
      </c>
      <c r="K134" s="56" t="n">
        <f aca="false">K130-K133</f>
        <v>16745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0</v>
      </c>
      <c r="P134" s="65" t="n">
        <f aca="false">P130-P133</f>
        <v>0</v>
      </c>
      <c r="Q134" s="65"/>
      <c r="S134" s="56" t="s">
        <v>153</v>
      </c>
      <c r="T134" s="56" t="n">
        <f aca="false">T130-T133</f>
        <v>16745</v>
      </c>
      <c r="U134" s="65" t="n">
        <f aca="false">U130-U133</f>
        <v>12558.75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0</v>
      </c>
      <c r="Y134" s="65" t="n">
        <f aca="false">Y130-Y133</f>
        <v>0</v>
      </c>
      <c r="Z134" s="65"/>
      <c r="AB134" s="56" t="s">
        <v>153</v>
      </c>
      <c r="AC134" s="56" t="n">
        <f aca="false">AC130-AC133</f>
        <v>16745</v>
      </c>
      <c r="AD134" s="65" t="n">
        <f aca="false">AD130-AD133</f>
        <v>12558.75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0</v>
      </c>
      <c r="AH134" s="65" t="n">
        <f aca="false">AH130-AH133</f>
        <v>0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147</v>
      </c>
      <c r="H136" s="137" t="s">
        <v>148</v>
      </c>
      <c r="J136" s="134"/>
      <c r="K136" s="138"/>
      <c r="L136" s="138"/>
      <c r="M136" s="138"/>
      <c r="N136" s="138"/>
      <c r="O136" s="138"/>
      <c r="P136" s="139" t="s">
        <v>147</v>
      </c>
      <c r="Q136" s="137" t="s">
        <v>148</v>
      </c>
      <c r="S136" s="134"/>
      <c r="T136" s="138"/>
      <c r="U136" s="138"/>
      <c r="V136" s="138"/>
      <c r="W136" s="138"/>
      <c r="X136" s="138"/>
      <c r="Y136" s="139" t="s">
        <v>147</v>
      </c>
      <c r="Z136" s="137" t="s">
        <v>148</v>
      </c>
      <c r="AB136" s="134"/>
      <c r="AC136" s="138"/>
      <c r="AD136" s="138"/>
      <c r="AE136" s="138"/>
      <c r="AF136" s="138"/>
      <c r="AG136" s="138"/>
      <c r="AH136" s="139" t="s">
        <v>147</v>
      </c>
      <c r="AI136" s="137" t="s">
        <v>148</v>
      </c>
    </row>
    <row r="137" customFormat="false" ht="17.35" hidden="false" customHeight="false" outlineLevel="0" collapsed="false">
      <c r="A137" s="140" t="s">
        <v>154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154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154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154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155</v>
      </c>
      <c r="B139" s="144" t="s">
        <v>156</v>
      </c>
      <c r="C139" s="144"/>
      <c r="D139" s="144" t="s">
        <v>157</v>
      </c>
      <c r="E139" s="144"/>
      <c r="F139" s="144" t="s">
        <v>151</v>
      </c>
      <c r="G139" s="144"/>
      <c r="H139" s="145" t="s">
        <v>148</v>
      </c>
      <c r="J139" s="147" t="s">
        <v>155</v>
      </c>
      <c r="K139" s="148" t="s">
        <v>156</v>
      </c>
      <c r="L139" s="148"/>
      <c r="M139" s="144" t="s">
        <v>157</v>
      </c>
      <c r="N139" s="144"/>
      <c r="O139" s="144" t="s">
        <v>151</v>
      </c>
      <c r="P139" s="144"/>
      <c r="Q139" s="145" t="s">
        <v>148</v>
      </c>
      <c r="S139" s="147" t="s">
        <v>155</v>
      </c>
      <c r="T139" s="144" t="s">
        <v>156</v>
      </c>
      <c r="U139" s="144"/>
      <c r="V139" s="144" t="s">
        <v>157</v>
      </c>
      <c r="W139" s="144"/>
      <c r="X139" s="144" t="s">
        <v>151</v>
      </c>
      <c r="Y139" s="144"/>
      <c r="Z139" s="145" t="s">
        <v>148</v>
      </c>
      <c r="AB139" s="147" t="s">
        <v>155</v>
      </c>
      <c r="AC139" s="144" t="s">
        <v>156</v>
      </c>
      <c r="AD139" s="144"/>
      <c r="AE139" s="144" t="s">
        <v>157</v>
      </c>
      <c r="AF139" s="144"/>
      <c r="AG139" s="144" t="s">
        <v>151</v>
      </c>
      <c r="AH139" s="144"/>
      <c r="AI139" s="145" t="s">
        <v>148</v>
      </c>
    </row>
    <row r="140" customFormat="false" ht="17.35" hidden="false" customHeight="false" outlineLevel="0" collapsed="false">
      <c r="A140" s="31" t="s">
        <v>158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158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158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158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159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159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159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159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160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160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160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160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161</v>
      </c>
      <c r="B144" s="152"/>
      <c r="C144" s="152"/>
      <c r="D144" s="152"/>
      <c r="E144" s="152"/>
      <c r="F144" s="152"/>
      <c r="G144" s="139" t="n">
        <f aca="false">H9</f>
        <v>16745</v>
      </c>
      <c r="H144" s="153" t="n">
        <f aca="false">C134+E134+G134+H137</f>
        <v>16745</v>
      </c>
      <c r="J144" s="152" t="s">
        <v>161</v>
      </c>
      <c r="K144" s="152"/>
      <c r="L144" s="152"/>
      <c r="M144" s="152"/>
      <c r="N144" s="152"/>
      <c r="O144" s="152"/>
      <c r="P144" s="139" t="n">
        <f aca="false">H9</f>
        <v>16745</v>
      </c>
      <c r="Q144" s="153" t="n">
        <f aca="false">L134+N134+P134+Q137</f>
        <v>28629.17</v>
      </c>
      <c r="S144" s="152" t="s">
        <v>161</v>
      </c>
      <c r="T144" s="152"/>
      <c r="U144" s="152"/>
      <c r="V144" s="152"/>
      <c r="W144" s="152"/>
      <c r="X144" s="152"/>
      <c r="Y144" s="139" t="n">
        <f aca="false">H9</f>
        <v>16745</v>
      </c>
      <c r="Z144" s="153" t="n">
        <f aca="false">U134+W134+Y134+Z137</f>
        <v>12558.75</v>
      </c>
      <c r="AB144" s="152" t="s">
        <v>161</v>
      </c>
      <c r="AC144" s="152"/>
      <c r="AD144" s="152"/>
      <c r="AE144" s="152"/>
      <c r="AF144" s="152"/>
      <c r="AG144" s="152"/>
      <c r="AH144" s="139" t="n">
        <f aca="false">H9</f>
        <v>16745</v>
      </c>
      <c r="AI144" s="153" t="n">
        <f aca="false">AD134+AF134+AH134+AI137</f>
        <v>12558.75</v>
      </c>
    </row>
    <row r="145" customFormat="false" ht="17.35" hidden="false" customHeight="false" outlineLevel="0" collapsed="false">
      <c r="A145" s="154" t="s">
        <v>162</v>
      </c>
      <c r="B145" s="154"/>
      <c r="C145" s="154"/>
      <c r="D145" s="154"/>
      <c r="E145" s="154"/>
      <c r="F145" s="154"/>
      <c r="G145" s="156" t="n">
        <f aca="false">H10</f>
        <v>695</v>
      </c>
      <c r="H145" s="33" t="n">
        <f aca="false">G145</f>
        <v>695</v>
      </c>
      <c r="J145" s="154" t="s">
        <v>162</v>
      </c>
      <c r="K145" s="154"/>
      <c r="L145" s="154"/>
      <c r="M145" s="154"/>
      <c r="N145" s="154"/>
      <c r="O145" s="154"/>
      <c r="P145" s="156" t="n">
        <f aca="false">H10</f>
        <v>695</v>
      </c>
      <c r="Q145" s="33" t="n">
        <f aca="false">P145</f>
        <v>695</v>
      </c>
      <c r="S145" s="154" t="s">
        <v>162</v>
      </c>
      <c r="T145" s="154"/>
      <c r="U145" s="154"/>
      <c r="V145" s="154"/>
      <c r="W145" s="154"/>
      <c r="X145" s="154"/>
      <c r="Y145" s="156" t="n">
        <f aca="false">H10</f>
        <v>695</v>
      </c>
      <c r="Z145" s="33" t="n">
        <f aca="false">Y145</f>
        <v>695</v>
      </c>
      <c r="AB145" s="154" t="s">
        <v>162</v>
      </c>
      <c r="AC145" s="154"/>
      <c r="AD145" s="154"/>
      <c r="AE145" s="154"/>
      <c r="AF145" s="154"/>
      <c r="AG145" s="154"/>
      <c r="AH145" s="156" t="n">
        <f aca="false">H10</f>
        <v>695</v>
      </c>
      <c r="AI145" s="33" t="n">
        <f aca="false">AH145</f>
        <v>695</v>
      </c>
    </row>
    <row r="146" customFormat="false" ht="17.35" hidden="false" customHeight="false" outlineLevel="0" collapsed="false">
      <c r="A146" s="154" t="s">
        <v>163</v>
      </c>
      <c r="B146" s="154"/>
      <c r="C146" s="154"/>
      <c r="D146" s="154"/>
      <c r="E146" s="154"/>
      <c r="F146" s="154"/>
      <c r="G146" s="156" t="n">
        <f aca="false">H11</f>
        <v>3488</v>
      </c>
      <c r="H146" s="33" t="n">
        <f aca="false">(H144+H145)*20%</f>
        <v>3488</v>
      </c>
      <c r="J146" s="154" t="s">
        <v>163</v>
      </c>
      <c r="K146" s="154"/>
      <c r="L146" s="154"/>
      <c r="M146" s="154"/>
      <c r="N146" s="154"/>
      <c r="O146" s="154"/>
      <c r="P146" s="156" t="n">
        <f aca="false">H11</f>
        <v>3488</v>
      </c>
      <c r="Q146" s="33" t="n">
        <f aca="false">(Q144+Q145)*20%</f>
        <v>5864.834</v>
      </c>
      <c r="S146" s="154" t="s">
        <v>163</v>
      </c>
      <c r="T146" s="154"/>
      <c r="U146" s="154"/>
      <c r="V146" s="154"/>
      <c r="W146" s="154"/>
      <c r="X146" s="154"/>
      <c r="Y146" s="156" t="n">
        <f aca="false">H11</f>
        <v>3488</v>
      </c>
      <c r="Z146" s="33" t="n">
        <f aca="false">(Z144+Z145)*20%</f>
        <v>2650.75</v>
      </c>
      <c r="AB146" s="154" t="s">
        <v>163</v>
      </c>
      <c r="AC146" s="154"/>
      <c r="AD146" s="154"/>
      <c r="AE146" s="154"/>
      <c r="AF146" s="154"/>
      <c r="AG146" s="154"/>
      <c r="AH146" s="156" t="n">
        <f aca="false">H11</f>
        <v>3488</v>
      </c>
      <c r="AI146" s="33" t="n">
        <f aca="false">(AI144+AI145)*20%</f>
        <v>2650.75</v>
      </c>
    </row>
    <row r="147" customFormat="false" ht="17.35" hidden="false" customHeight="false" outlineLevel="0" collapsed="false">
      <c r="A147" s="154" t="s">
        <v>164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164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164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164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165</v>
      </c>
      <c r="B148" s="154"/>
      <c r="C148" s="154"/>
      <c r="D148" s="154"/>
      <c r="E148" s="154"/>
      <c r="F148" s="154"/>
      <c r="G148" s="156" t="n">
        <f aca="false">H13</f>
        <v>275</v>
      </c>
      <c r="H148" s="33" t="n">
        <f aca="false">G148</f>
        <v>275</v>
      </c>
      <c r="J148" s="154" t="s">
        <v>165</v>
      </c>
      <c r="K148" s="154"/>
      <c r="L148" s="154"/>
      <c r="M148" s="154"/>
      <c r="N148" s="154"/>
      <c r="O148" s="154"/>
      <c r="P148" s="156" t="n">
        <f aca="false">H13</f>
        <v>275</v>
      </c>
      <c r="Q148" s="33" t="n">
        <f aca="false">P148</f>
        <v>275</v>
      </c>
      <c r="S148" s="154" t="s">
        <v>165</v>
      </c>
      <c r="T148" s="154"/>
      <c r="U148" s="154"/>
      <c r="V148" s="154"/>
      <c r="W148" s="154"/>
      <c r="X148" s="154"/>
      <c r="Y148" s="156" t="n">
        <f aca="false">H13</f>
        <v>275</v>
      </c>
      <c r="Z148" s="33" t="n">
        <f aca="false">Y148</f>
        <v>275</v>
      </c>
      <c r="AB148" s="154" t="s">
        <v>165</v>
      </c>
      <c r="AC148" s="154"/>
      <c r="AD148" s="154"/>
      <c r="AE148" s="154"/>
      <c r="AF148" s="154"/>
      <c r="AG148" s="154"/>
      <c r="AH148" s="156" t="n">
        <f aca="false">H13</f>
        <v>275</v>
      </c>
      <c r="AI148" s="33" t="n">
        <f aca="false">AH148</f>
        <v>275</v>
      </c>
    </row>
    <row r="149" customFormat="false" ht="17.35" hidden="false" customHeight="false" outlineLevel="0" collapsed="false">
      <c r="A149" s="154" t="s">
        <v>166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166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166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166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167</v>
      </c>
      <c r="B150" s="154"/>
      <c r="C150" s="154"/>
      <c r="D150" s="154"/>
      <c r="E150" s="154"/>
      <c r="F150" s="154"/>
      <c r="G150" s="158" t="n">
        <f aca="false">H15</f>
        <v>21268</v>
      </c>
      <c r="H150" s="157" t="n">
        <f aca="false">(H144+H145+H148+H149+H146)-H147</f>
        <v>21268</v>
      </c>
      <c r="J150" s="154" t="s">
        <v>167</v>
      </c>
      <c r="K150" s="154"/>
      <c r="L150" s="154"/>
      <c r="M150" s="154"/>
      <c r="N150" s="154"/>
      <c r="O150" s="154"/>
      <c r="P150" s="158" t="n">
        <f aca="false">H15</f>
        <v>21268</v>
      </c>
      <c r="Q150" s="157" t="n">
        <f aca="false">(Q144+Q145+Q148+Q149+Q146)-Q147</f>
        <v>35519.004</v>
      </c>
      <c r="S150" s="154" t="s">
        <v>167</v>
      </c>
      <c r="T150" s="154"/>
      <c r="U150" s="154"/>
      <c r="V150" s="154"/>
      <c r="W150" s="154"/>
      <c r="X150" s="154"/>
      <c r="Y150" s="158" t="n">
        <f aca="false">H15</f>
        <v>21268</v>
      </c>
      <c r="Z150" s="157" t="n">
        <f aca="false">(Z144+Z145+Z148+Z149+Z146)-Z147</f>
        <v>16234.5</v>
      </c>
      <c r="AB150" s="154" t="s">
        <v>167</v>
      </c>
      <c r="AC150" s="154"/>
      <c r="AD150" s="154"/>
      <c r="AE150" s="154"/>
      <c r="AF150" s="154"/>
      <c r="AG150" s="154"/>
      <c r="AH150" s="158" t="n">
        <f aca="false">H15</f>
        <v>21268</v>
      </c>
      <c r="AI150" s="157" t="n">
        <f aca="false">(AI144+AI145+AI148+AI149+AI146)-AI147</f>
        <v>16234.5</v>
      </c>
    </row>
    <row r="151" customFormat="false" ht="17.35" hidden="false" customHeight="false" outlineLevel="0" collapsed="false">
      <c r="A151" s="154" t="s">
        <v>168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168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168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168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169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169</v>
      </c>
      <c r="K152" s="159"/>
      <c r="L152" s="159"/>
      <c r="M152" s="159"/>
      <c r="N152" s="159"/>
      <c r="O152" s="159"/>
      <c r="P152" s="38"/>
      <c r="Q152" s="33"/>
      <c r="S152" s="111" t="s">
        <v>169</v>
      </c>
      <c r="T152" s="111"/>
      <c r="U152" s="111"/>
      <c r="V152" s="111"/>
      <c r="W152" s="111"/>
      <c r="X152" s="111"/>
      <c r="Y152" s="38"/>
      <c r="Z152" s="33"/>
      <c r="AB152" s="111" t="s">
        <v>169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170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170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170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170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170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170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170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170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170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170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170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170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171</v>
      </c>
      <c r="B156" s="154"/>
      <c r="C156" s="154"/>
      <c r="D156" s="154"/>
      <c r="E156" s="154"/>
      <c r="F156" s="154"/>
      <c r="G156" s="158" t="n">
        <f aca="false">G150-((G153*1.2)+(G154*1.2)+(G155*1.2)+(G151*1.2))</f>
        <v>21268</v>
      </c>
      <c r="H156" s="164" t="n">
        <f aca="false">H150-((H153*1.2)+(H154*1.2)+(H155*1.2)+(H151*1.2))</f>
        <v>21268</v>
      </c>
      <c r="J156" s="165" t="s">
        <v>171</v>
      </c>
      <c r="K156" s="165"/>
      <c r="L156" s="165"/>
      <c r="M156" s="165"/>
      <c r="N156" s="165"/>
      <c r="O156" s="165"/>
      <c r="P156" s="158" t="n">
        <f aca="false">P150-((P153*1.2)+(P154*1.2)+(P155*1.2)+(P151*1.2))</f>
        <v>21268</v>
      </c>
      <c r="Q156" s="164" t="n">
        <f aca="false">Q150-((Q153*1.2)+(Q154*1.2)+(Q155*1.2)+(Q151*1.2))</f>
        <v>35519.004</v>
      </c>
      <c r="S156" s="154" t="s">
        <v>171</v>
      </c>
      <c r="T156" s="154"/>
      <c r="U156" s="154"/>
      <c r="V156" s="154"/>
      <c r="W156" s="154"/>
      <c r="X156" s="154"/>
      <c r="Y156" s="158" t="n">
        <f aca="false">Y150-((Y153*1.2)+(Y154*1.2)+(Y155*1.2)+(Y151*1.2))</f>
        <v>21268</v>
      </c>
      <c r="Z156" s="164" t="n">
        <f aca="false">Z150-((Z153*1.2)+(Z154*1.2)+(Z155*1.2)+(Z151*1.2))</f>
        <v>16234.5</v>
      </c>
      <c r="AB156" s="154" t="s">
        <v>171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21268</v>
      </c>
      <c r="AI156" s="164" t="n">
        <f aca="false">AI150-((AI153*1.2)+(AI154*1.2)+(AI155*1.2)+(AI151*1.2))</f>
        <v>16234.5</v>
      </c>
    </row>
    <row r="157" customFormat="false" ht="17.35" hidden="false" customHeight="false" outlineLevel="0" collapsed="false">
      <c r="A157" s="154" t="s">
        <v>172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-13983.3333333333</v>
      </c>
      <c r="J157" s="154" t="s">
        <v>172</v>
      </c>
      <c r="K157" s="154"/>
      <c r="L157" s="154"/>
      <c r="M157" s="154"/>
      <c r="N157" s="154"/>
      <c r="O157" s="154"/>
      <c r="P157" s="156"/>
      <c r="Q157" s="40" t="n">
        <f aca="false">Q156-P156</f>
        <v>14251.004</v>
      </c>
      <c r="S157" s="154" t="s">
        <v>172</v>
      </c>
      <c r="T157" s="154"/>
      <c r="U157" s="154"/>
      <c r="V157" s="154"/>
      <c r="W157" s="154"/>
      <c r="X157" s="154"/>
      <c r="Y157" s="156"/>
      <c r="Z157" s="40" t="n">
        <f aca="false">Z156-Y156</f>
        <v>-5033.5</v>
      </c>
      <c r="AB157" s="154" t="s">
        <v>172</v>
      </c>
      <c r="AC157" s="154"/>
      <c r="AD157" s="154"/>
      <c r="AE157" s="154"/>
      <c r="AF157" s="154"/>
      <c r="AG157" s="154"/>
      <c r="AH157" s="156"/>
      <c r="AI157" s="40" t="n">
        <f aca="false">AI156-AH156</f>
        <v>-5033.5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173</v>
      </c>
      <c r="B159" s="28"/>
      <c r="C159" s="28"/>
      <c r="D159" s="28"/>
      <c r="E159" s="28"/>
      <c r="F159" s="28"/>
      <c r="G159" s="28"/>
      <c r="H159" s="28"/>
      <c r="J159" s="28" t="s">
        <v>173</v>
      </c>
      <c r="K159" s="28"/>
      <c r="L159" s="28"/>
      <c r="M159" s="28"/>
      <c r="N159" s="28"/>
      <c r="O159" s="28"/>
      <c r="P159" s="28"/>
      <c r="Q159" s="28"/>
      <c r="S159" s="28" t="s">
        <v>173</v>
      </c>
      <c r="T159" s="28"/>
      <c r="U159" s="28"/>
      <c r="V159" s="28"/>
      <c r="W159" s="28"/>
      <c r="X159" s="28"/>
      <c r="Y159" s="28"/>
      <c r="Z159" s="28"/>
      <c r="AB159" s="28" t="s">
        <v>173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174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174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174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174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175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175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175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175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176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176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176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176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177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177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177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177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178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178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178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178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179</v>
      </c>
      <c r="B167" s="32"/>
      <c r="C167" s="32"/>
      <c r="D167" s="23"/>
      <c r="E167" s="32"/>
      <c r="F167" s="23"/>
      <c r="G167" s="170" t="n">
        <f aca="false">H156-G163-G166</f>
        <v>21268</v>
      </c>
      <c r="H167" s="170"/>
      <c r="J167" s="169" t="s">
        <v>179</v>
      </c>
      <c r="K167" s="32"/>
      <c r="L167" s="32"/>
      <c r="M167" s="23"/>
      <c r="N167" s="32"/>
      <c r="O167" s="23"/>
      <c r="P167" s="170" t="n">
        <f aca="false">Q156-P163-P166</f>
        <v>36519.004</v>
      </c>
      <c r="Q167" s="170"/>
      <c r="S167" s="169" t="s">
        <v>179</v>
      </c>
      <c r="T167" s="32"/>
      <c r="U167" s="32"/>
      <c r="V167" s="23"/>
      <c r="W167" s="32"/>
      <c r="X167" s="23"/>
      <c r="Y167" s="170" t="n">
        <f aca="false">Z156-Y163-Y166</f>
        <v>17234.5</v>
      </c>
      <c r="Z167" s="170"/>
      <c r="AB167" s="169" t="s">
        <v>179</v>
      </c>
      <c r="AC167" s="32"/>
      <c r="AD167" s="32"/>
      <c r="AE167" s="23"/>
      <c r="AF167" s="32"/>
      <c r="AG167" s="23"/>
      <c r="AH167" s="170" t="n">
        <f aca="false">AI156-AH163-AH166</f>
        <v>17234.5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180</v>
      </c>
      <c r="B171" s="28"/>
      <c r="C171" s="28"/>
      <c r="D171" s="28"/>
      <c r="E171" s="28"/>
      <c r="F171" s="28"/>
      <c r="G171" s="28"/>
      <c r="H171" s="28"/>
      <c r="J171" s="28" t="s">
        <v>180</v>
      </c>
      <c r="K171" s="28"/>
      <c r="L171" s="28"/>
      <c r="M171" s="28"/>
      <c r="N171" s="28"/>
      <c r="O171" s="28"/>
      <c r="P171" s="28"/>
      <c r="Q171" s="28"/>
      <c r="S171" s="28" t="s">
        <v>180</v>
      </c>
      <c r="T171" s="28"/>
      <c r="U171" s="28"/>
      <c r="V171" s="28"/>
      <c r="W171" s="28"/>
      <c r="X171" s="28"/>
      <c r="Y171" s="28"/>
      <c r="Z171" s="28"/>
      <c r="AB171" s="28" t="s">
        <v>180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181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181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181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181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182</v>
      </c>
      <c r="B175" s="174" t="s">
        <v>183</v>
      </c>
      <c r="C175" s="174"/>
      <c r="D175" s="174"/>
      <c r="E175" s="174" t="s">
        <v>184</v>
      </c>
      <c r="F175" s="23"/>
      <c r="G175" s="23" t="s">
        <v>185</v>
      </c>
      <c r="H175" s="33"/>
      <c r="J175" s="173" t="s">
        <v>182</v>
      </c>
      <c r="K175" s="175" t="s">
        <v>183</v>
      </c>
      <c r="L175" s="175"/>
      <c r="M175" s="175"/>
      <c r="N175" s="175" t="s">
        <v>184</v>
      </c>
      <c r="O175" s="23"/>
      <c r="P175" s="23"/>
      <c r="Q175" s="33"/>
      <c r="S175" s="173" t="s">
        <v>182</v>
      </c>
      <c r="T175" s="175" t="s">
        <v>183</v>
      </c>
      <c r="U175" s="175"/>
      <c r="V175" s="175"/>
      <c r="W175" s="175" t="s">
        <v>184</v>
      </c>
      <c r="X175" s="23"/>
      <c r="Y175" s="23"/>
      <c r="Z175" s="33"/>
      <c r="AB175" s="173" t="s">
        <v>182</v>
      </c>
      <c r="AC175" s="175" t="s">
        <v>183</v>
      </c>
      <c r="AD175" s="175"/>
      <c r="AE175" s="175"/>
      <c r="AF175" s="175" t="s">
        <v>184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419.87796229046</v>
      </c>
      <c r="B176" s="177" t="n">
        <f aca="false">B103</f>
        <v>80.4375</v>
      </c>
      <c r="C176" s="174"/>
      <c r="D176" s="174"/>
      <c r="E176" s="177" t="n">
        <f aca="false">B105</f>
        <v>500.31546229046</v>
      </c>
      <c r="F176" s="23"/>
      <c r="G176" s="23" t="n">
        <f aca="false">ROUND(G104, 2)</f>
        <v>401.25</v>
      </c>
      <c r="H176" s="33"/>
      <c r="J176" s="176" t="n">
        <f aca="false">K104</f>
        <v>1522.35059507587</v>
      </c>
      <c r="K176" s="178" t="n">
        <f aca="false">K103</f>
        <v>0</v>
      </c>
      <c r="L176" s="175"/>
      <c r="M176" s="175"/>
      <c r="N176" s="178" t="n">
        <f aca="false">K105</f>
        <v>1522.35059507587</v>
      </c>
      <c r="O176" s="23"/>
      <c r="P176" s="23"/>
      <c r="Q176" s="33"/>
      <c r="S176" s="176" t="n">
        <f aca="false">T104</f>
        <v>634.549742547474</v>
      </c>
      <c r="T176" s="178" t="n">
        <f aca="false">T103</f>
        <v>0</v>
      </c>
      <c r="U176" s="175"/>
      <c r="V176" s="175"/>
      <c r="W176" s="178" t="n">
        <f aca="false">T105</f>
        <v>634.549742547474</v>
      </c>
      <c r="X176" s="23"/>
      <c r="Y176" s="23"/>
      <c r="Z176" s="33"/>
      <c r="AB176" s="176" t="n">
        <f aca="false">AC104</f>
        <v>634.549742547474</v>
      </c>
      <c r="AC176" s="178" t="n">
        <f aca="false">AC103</f>
        <v>0</v>
      </c>
      <c r="AD176" s="175"/>
      <c r="AE176" s="175"/>
      <c r="AF176" s="178" t="n">
        <f aca="false">AC105</f>
        <v>634.549742547474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82</v>
      </c>
      <c r="B178" s="93" t="s">
        <v>83</v>
      </c>
      <c r="C178" s="93"/>
      <c r="D178" s="23"/>
      <c r="E178" s="93" t="s">
        <v>186</v>
      </c>
      <c r="F178" s="23"/>
      <c r="G178" s="23"/>
      <c r="H178" s="33"/>
      <c r="J178" s="31" t="s">
        <v>82</v>
      </c>
      <c r="K178" s="32" t="s">
        <v>83</v>
      </c>
      <c r="L178" s="32"/>
      <c r="M178" s="23"/>
      <c r="N178" s="32" t="s">
        <v>186</v>
      </c>
      <c r="O178" s="23"/>
      <c r="P178" s="23"/>
      <c r="Q178" s="33"/>
      <c r="S178" s="31" t="s">
        <v>82</v>
      </c>
      <c r="T178" s="32" t="s">
        <v>83</v>
      </c>
      <c r="U178" s="32"/>
      <c r="V178" s="23"/>
      <c r="W178" s="32" t="s">
        <v>186</v>
      </c>
      <c r="X178" s="23"/>
      <c r="Y178" s="23"/>
      <c r="Z178" s="33"/>
      <c r="AB178" s="31" t="s">
        <v>82</v>
      </c>
      <c r="AC178" s="32" t="s">
        <v>83</v>
      </c>
      <c r="AD178" s="32"/>
      <c r="AE178" s="23"/>
      <c r="AF178" s="32" t="s">
        <v>186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7200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187</v>
      </c>
      <c r="B181" s="93" t="s">
        <v>188</v>
      </c>
      <c r="C181" s="93"/>
      <c r="D181" s="23"/>
      <c r="E181" s="93" t="s">
        <v>189</v>
      </c>
      <c r="F181" s="23"/>
      <c r="G181" s="23"/>
      <c r="H181" s="33"/>
      <c r="J181" s="31" t="s">
        <v>187</v>
      </c>
      <c r="K181" s="32" t="s">
        <v>188</v>
      </c>
      <c r="L181" s="32"/>
      <c r="M181" s="23"/>
      <c r="N181" s="32" t="s">
        <v>189</v>
      </c>
      <c r="O181" s="23"/>
      <c r="P181" s="23"/>
      <c r="Q181" s="33"/>
      <c r="S181" s="31" t="s">
        <v>187</v>
      </c>
      <c r="T181" s="32" t="s">
        <v>188</v>
      </c>
      <c r="U181" s="32"/>
      <c r="V181" s="23"/>
      <c r="W181" s="32" t="s">
        <v>189</v>
      </c>
      <c r="X181" s="23"/>
      <c r="Y181" s="23"/>
      <c r="Z181" s="33"/>
      <c r="AB181" s="31" t="s">
        <v>187</v>
      </c>
      <c r="AC181" s="32" t="s">
        <v>188</v>
      </c>
      <c r="AD181" s="32"/>
      <c r="AE181" s="23"/>
      <c r="AF181" s="32" t="s">
        <v>189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17440</v>
      </c>
      <c r="B182" s="103" t="n">
        <f aca="false">H146</f>
        <v>3488</v>
      </c>
      <c r="C182" s="186"/>
      <c r="D182" s="23"/>
      <c r="E182" s="182" t="n">
        <f aca="false">H148+H149</f>
        <v>340</v>
      </c>
      <c r="F182" s="23"/>
      <c r="G182" s="23"/>
      <c r="H182" s="33"/>
      <c r="J182" s="185" t="n">
        <f aca="false">Q150-Q146-Q148-Q149</f>
        <v>29324.17</v>
      </c>
      <c r="K182" s="38" t="n">
        <f aca="false">Q146</f>
        <v>5864.834</v>
      </c>
      <c r="L182" s="43"/>
      <c r="M182" s="23"/>
      <c r="N182" s="184" t="n">
        <f aca="false">Q148+Q149</f>
        <v>330</v>
      </c>
      <c r="O182" s="23"/>
      <c r="P182" s="23"/>
      <c r="Q182" s="33"/>
      <c r="S182" s="185" t="n">
        <f aca="false">Z150-Z146-Z148-Z149</f>
        <v>13253.75</v>
      </c>
      <c r="T182" s="38" t="n">
        <f aca="false">Z146</f>
        <v>2650.75</v>
      </c>
      <c r="U182" s="43"/>
      <c r="V182" s="23"/>
      <c r="W182" s="184" t="n">
        <f aca="false">Z148+Z149</f>
        <v>330</v>
      </c>
      <c r="X182" s="23"/>
      <c r="Y182" s="23"/>
      <c r="Z182" s="33"/>
      <c r="AB182" s="185" t="n">
        <f aca="false">AI150-AI146-AI148-AI149</f>
        <v>13253.75</v>
      </c>
      <c r="AC182" s="38" t="n">
        <f aca="false">AI146</f>
        <v>2650.75</v>
      </c>
      <c r="AD182" s="43"/>
      <c r="AE182" s="23"/>
      <c r="AF182" s="184" t="n">
        <f aca="false">AI148+AI149</f>
        <v>330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190</v>
      </c>
      <c r="B184" s="93" t="s">
        <v>136</v>
      </c>
      <c r="C184" s="93"/>
      <c r="D184" s="23"/>
      <c r="E184" s="93" t="s">
        <v>137</v>
      </c>
      <c r="F184" s="23"/>
      <c r="G184" s="23"/>
      <c r="H184" s="33"/>
      <c r="J184" s="31" t="s">
        <v>190</v>
      </c>
      <c r="K184" s="32" t="s">
        <v>136</v>
      </c>
      <c r="L184" s="32"/>
      <c r="M184" s="23"/>
      <c r="N184" s="32" t="s">
        <v>137</v>
      </c>
      <c r="O184" s="23"/>
      <c r="P184" s="23"/>
      <c r="Q184" s="33"/>
      <c r="S184" s="31" t="s">
        <v>190</v>
      </c>
      <c r="T184" s="32" t="s">
        <v>136</v>
      </c>
      <c r="U184" s="32"/>
      <c r="V184" s="23"/>
      <c r="W184" s="32" t="s">
        <v>137</v>
      </c>
      <c r="X184" s="23"/>
      <c r="Y184" s="23"/>
      <c r="Z184" s="33"/>
      <c r="AB184" s="31" t="s">
        <v>190</v>
      </c>
      <c r="AC184" s="32" t="s">
        <v>136</v>
      </c>
      <c r="AD184" s="32"/>
      <c r="AE184" s="23"/>
      <c r="AF184" s="32" t="s">
        <v>137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21268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35519.004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16234.5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16234.5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138</v>
      </c>
      <c r="B187" s="93" t="s">
        <v>174</v>
      </c>
      <c r="C187" s="93"/>
      <c r="D187" s="23"/>
      <c r="E187" s="93" t="s">
        <v>179</v>
      </c>
      <c r="F187" s="23"/>
      <c r="G187" s="23"/>
      <c r="H187" s="33"/>
      <c r="J187" s="31" t="s">
        <v>138</v>
      </c>
      <c r="K187" s="32" t="s">
        <v>174</v>
      </c>
      <c r="L187" s="32"/>
      <c r="M187" s="23"/>
      <c r="N187" s="32" t="s">
        <v>179</v>
      </c>
      <c r="O187" s="23"/>
      <c r="P187" s="23"/>
      <c r="Q187" s="33"/>
      <c r="S187" s="31" t="s">
        <v>138</v>
      </c>
      <c r="T187" s="32" t="s">
        <v>174</v>
      </c>
      <c r="U187" s="32"/>
      <c r="V187" s="23"/>
      <c r="W187" s="32" t="s">
        <v>179</v>
      </c>
      <c r="X187" s="23"/>
      <c r="Y187" s="23"/>
      <c r="Z187" s="33"/>
      <c r="AB187" s="31" t="s">
        <v>138</v>
      </c>
      <c r="AC187" s="32" t="s">
        <v>174</v>
      </c>
      <c r="AD187" s="32"/>
      <c r="AE187" s="23"/>
      <c r="AF187" s="32" t="s">
        <v>179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21268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36519.004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17234.5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17234.5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191</v>
      </c>
      <c r="B190" s="93" t="s">
        <v>53</v>
      </c>
      <c r="C190" s="93"/>
      <c r="D190" s="23"/>
      <c r="E190" s="93" t="s">
        <v>192</v>
      </c>
      <c r="F190" s="23"/>
      <c r="G190" s="23"/>
      <c r="H190" s="33"/>
      <c r="J190" s="31" t="s">
        <v>191</v>
      </c>
      <c r="K190" s="32" t="s">
        <v>53</v>
      </c>
      <c r="L190" s="32"/>
      <c r="M190" s="23"/>
      <c r="N190" s="32" t="s">
        <v>192</v>
      </c>
      <c r="O190" s="23"/>
      <c r="P190" s="23"/>
      <c r="Q190" s="33"/>
      <c r="S190" s="31" t="s">
        <v>191</v>
      </c>
      <c r="T190" s="32" t="s">
        <v>53</v>
      </c>
      <c r="U190" s="32"/>
      <c r="V190" s="23"/>
      <c r="W190" s="32" t="s">
        <v>192</v>
      </c>
      <c r="X190" s="23"/>
      <c r="Y190" s="23"/>
      <c r="Z190" s="33"/>
      <c r="AB190" s="31" t="s">
        <v>191</v>
      </c>
      <c r="AC190" s="32" t="s">
        <v>53</v>
      </c>
      <c r="AD190" s="32"/>
      <c r="AE190" s="23"/>
      <c r="AF190" s="32" t="s">
        <v>192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-631.905206705283</v>
      </c>
      <c r="B191" s="103" t="str">
        <f aca="false">B123</f>
        <v>239.99</v>
      </c>
      <c r="C191" s="103"/>
      <c r="D191" s="23"/>
      <c r="E191" s="103" t="n">
        <f aca="false">E188+A191+B191+A194</f>
        <v>20886.0847932947</v>
      </c>
      <c r="F191" s="23"/>
      <c r="G191" s="23"/>
      <c r="H191" s="105"/>
      <c r="J191" s="111" t="n">
        <f aca="false">(J176*K68)+N194-N188-J194</f>
        <v>12208.2150424278</v>
      </c>
      <c r="K191" s="38" t="n">
        <f aca="false">K123</f>
        <v>239.99</v>
      </c>
      <c r="L191" s="38"/>
      <c r="M191" s="23"/>
      <c r="N191" s="38" t="n">
        <f aca="false">N188+J191+K191+J194</f>
        <v>48987.2090424278</v>
      </c>
      <c r="O191" s="23"/>
      <c r="P191" s="23"/>
      <c r="Q191" s="105"/>
      <c r="S191" s="111" t="n">
        <f aca="false">(S176*T68)+W194-W188-S194</f>
        <v>3083.09176151916</v>
      </c>
      <c r="T191" s="38" t="n">
        <f aca="false">T123</f>
        <v>199.99</v>
      </c>
      <c r="U191" s="38"/>
      <c r="V191" s="23"/>
      <c r="W191" s="38" t="n">
        <f aca="false">W188+S191+T191+S194</f>
        <v>20527.5817615192</v>
      </c>
      <c r="X191" s="23"/>
      <c r="Y191" s="23"/>
      <c r="Z191" s="105"/>
      <c r="AB191" s="111" t="n">
        <f aca="false">(AB176*AC68)+AF194-AF188-AB194</f>
        <v>3083.09176151916</v>
      </c>
      <c r="AC191" s="38" t="n">
        <f aca="false">AC123</f>
        <v>239.99</v>
      </c>
      <c r="AD191" s="38"/>
      <c r="AE191" s="23"/>
      <c r="AF191" s="38" t="n">
        <f aca="false">AF188+AB191+AC191+AB194</f>
        <v>20567.5817615192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193</v>
      </c>
      <c r="B193" s="93" t="s">
        <v>194</v>
      </c>
      <c r="C193" s="93"/>
      <c r="D193" s="23"/>
      <c r="E193" s="93" t="s">
        <v>195</v>
      </c>
      <c r="F193" s="23"/>
      <c r="G193" s="23"/>
      <c r="H193" s="33"/>
      <c r="J193" s="31" t="s">
        <v>193</v>
      </c>
      <c r="K193" s="32" t="s">
        <v>194</v>
      </c>
      <c r="L193" s="32"/>
      <c r="M193" s="23"/>
      <c r="N193" s="32" t="s">
        <v>195</v>
      </c>
      <c r="O193" s="23"/>
      <c r="P193" s="23"/>
      <c r="Q193" s="33"/>
      <c r="S193" s="31" t="s">
        <v>193</v>
      </c>
      <c r="T193" s="32" t="s">
        <v>194</v>
      </c>
      <c r="U193" s="32"/>
      <c r="V193" s="23"/>
      <c r="W193" s="32" t="s">
        <v>195</v>
      </c>
      <c r="X193" s="23"/>
      <c r="Y193" s="23"/>
      <c r="Z193" s="33"/>
      <c r="AB193" s="31" t="s">
        <v>193</v>
      </c>
      <c r="AC193" s="32" t="s">
        <v>194</v>
      </c>
      <c r="AD193" s="32"/>
      <c r="AE193" s="23"/>
      <c r="AF193" s="32" t="s">
        <v>195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7210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196</v>
      </c>
      <c r="B196" s="93" t="s">
        <v>197</v>
      </c>
      <c r="C196" s="93"/>
      <c r="D196" s="93"/>
      <c r="E196" s="166" t="s">
        <v>198</v>
      </c>
      <c r="F196" s="23"/>
      <c r="G196" s="23"/>
      <c r="H196" s="33"/>
      <c r="J196" s="31" t="s">
        <v>196</v>
      </c>
      <c r="K196" s="32" t="s">
        <v>197</v>
      </c>
      <c r="L196" s="32"/>
      <c r="M196" s="32"/>
      <c r="N196" s="39" t="s">
        <v>198</v>
      </c>
      <c r="O196" s="23"/>
      <c r="P196" s="23"/>
      <c r="Q196" s="33"/>
      <c r="S196" s="31" t="s">
        <v>196</v>
      </c>
      <c r="T196" s="32" t="s">
        <v>197</v>
      </c>
      <c r="U196" s="32"/>
      <c r="V196" s="32"/>
      <c r="W196" s="39" t="s">
        <v>198</v>
      </c>
      <c r="X196" s="32"/>
      <c r="Y196" s="32"/>
      <c r="Z196" s="33"/>
      <c r="AB196" s="31" t="s">
        <v>196</v>
      </c>
      <c r="AC196" s="32" t="s">
        <v>197</v>
      </c>
      <c r="AD196" s="32"/>
      <c r="AE196" s="32"/>
      <c r="AF196" s="39" t="s">
        <v>198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5.02272</v>
      </c>
      <c r="B197" s="103" t="n">
        <f aca="false">(G167*B76)/1.2</f>
        <v>166.15625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0.042536</v>
      </c>
      <c r="K197" s="38" t="n">
        <f aca="false">(P167*K76)/1.2</f>
        <v>2187.33617708333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134.64453125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134.64453125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199</v>
      </c>
      <c r="B199" s="166" t="s">
        <v>200</v>
      </c>
      <c r="C199" s="93"/>
      <c r="D199" s="93"/>
      <c r="E199" s="166" t="s">
        <v>201</v>
      </c>
      <c r="F199" s="23"/>
      <c r="G199" s="23"/>
      <c r="H199" s="33"/>
      <c r="J199" s="60" t="s">
        <v>199</v>
      </c>
      <c r="K199" s="39" t="s">
        <v>200</v>
      </c>
      <c r="L199" s="32"/>
      <c r="M199" s="32"/>
      <c r="N199" s="39" t="s">
        <v>201</v>
      </c>
      <c r="O199" s="23"/>
      <c r="P199" s="23"/>
      <c r="Q199" s="33"/>
      <c r="S199" s="60" t="s">
        <v>199</v>
      </c>
      <c r="T199" s="39" t="s">
        <v>200</v>
      </c>
      <c r="U199" s="32"/>
      <c r="V199" s="32"/>
      <c r="W199" s="39" t="s">
        <v>201</v>
      </c>
      <c r="X199" s="32"/>
      <c r="Y199" s="32"/>
      <c r="Z199" s="33"/>
      <c r="AB199" s="60" t="s">
        <v>199</v>
      </c>
      <c r="AC199" s="39" t="s">
        <v>200</v>
      </c>
      <c r="AD199" s="32"/>
      <c r="AE199" s="32"/>
      <c r="AF199" s="39" t="s">
        <v>201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315.647916666667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3327.32617708333</v>
      </c>
      <c r="L200" s="32"/>
      <c r="M200" s="32"/>
      <c r="N200" s="38" t="n">
        <f aca="false">Q157</f>
        <v>14251.004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1234.63453125</v>
      </c>
      <c r="U200" s="32"/>
      <c r="V200" s="32"/>
      <c r="W200" s="38" t="n">
        <f aca="false">Z157</f>
        <v>-5033.5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1274.63453125</v>
      </c>
      <c r="AD200" s="32"/>
      <c r="AE200" s="32"/>
      <c r="AF200" s="38" t="n">
        <f aca="false">AI157</f>
        <v>-5033.5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202</v>
      </c>
      <c r="B202" s="93"/>
      <c r="C202" s="93"/>
      <c r="D202" s="67"/>
      <c r="E202" s="67"/>
      <c r="F202" s="67"/>
      <c r="G202" s="67"/>
      <c r="H202" s="68"/>
      <c r="J202" s="66" t="s">
        <v>202</v>
      </c>
      <c r="K202" s="32"/>
      <c r="L202" s="32"/>
      <c r="M202" s="67"/>
      <c r="N202" s="67"/>
      <c r="O202" s="67"/>
      <c r="P202" s="67"/>
      <c r="Q202" s="68"/>
      <c r="S202" s="66" t="s">
        <v>202</v>
      </c>
      <c r="T202" s="32"/>
      <c r="U202" s="32"/>
      <c r="V202" s="67"/>
      <c r="W202" s="67"/>
      <c r="X202" s="67"/>
      <c r="Y202" s="67"/>
      <c r="Z202" s="68"/>
      <c r="AB202" s="66" t="s">
        <v>202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82</v>
      </c>
      <c r="B204" s="71" t="s">
        <v>83</v>
      </c>
      <c r="C204" s="71"/>
      <c r="D204" s="71"/>
      <c r="E204" s="23"/>
      <c r="F204" s="23"/>
      <c r="G204" s="23"/>
      <c r="H204" s="33"/>
      <c r="J204" s="187" t="s">
        <v>82</v>
      </c>
      <c r="K204" s="188" t="s">
        <v>83</v>
      </c>
      <c r="L204" s="188"/>
      <c r="M204" s="188"/>
      <c r="N204" s="23"/>
      <c r="O204" s="23"/>
      <c r="P204" s="23"/>
      <c r="Q204" s="33"/>
      <c r="S204" s="187" t="s">
        <v>82</v>
      </c>
      <c r="T204" s="71" t="s">
        <v>83</v>
      </c>
      <c r="U204" s="71"/>
      <c r="V204" s="71"/>
      <c r="W204" s="23"/>
      <c r="X204" s="23"/>
      <c r="Y204" s="23"/>
      <c r="Z204" s="33"/>
      <c r="AB204" s="187" t="s">
        <v>82</v>
      </c>
      <c r="AC204" s="71" t="s">
        <v>83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500.31546229046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1522.35059507587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634.549742547474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634.549742547474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203</v>
      </c>
      <c r="B209" s="93" t="s">
        <v>204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-1228</v>
      </c>
      <c r="B210" s="186" t="n">
        <f aca="false">E188+A210+B191+A194</f>
        <v>20289.99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180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125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205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182</v>
      </c>
      <c r="B220" s="192" t="s">
        <v>183</v>
      </c>
      <c r="C220" s="192"/>
      <c r="D220" s="192"/>
      <c r="E220" s="192" t="s">
        <v>184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419.87796229046</v>
      </c>
      <c r="B221" s="177" t="n">
        <f aca="false">B176</f>
        <v>80.4375</v>
      </c>
      <c r="C221" s="174"/>
      <c r="D221" s="174"/>
      <c r="E221" s="177" t="n">
        <f aca="false">E176</f>
        <v>500.31546229046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187</v>
      </c>
      <c r="B223" s="93" t="s">
        <v>188</v>
      </c>
      <c r="C223" s="93"/>
      <c r="D223" s="113"/>
      <c r="E223" s="93" t="s">
        <v>189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17440</v>
      </c>
      <c r="B224" s="103" t="n">
        <f aca="false">B182</f>
        <v>3488</v>
      </c>
      <c r="C224" s="186"/>
      <c r="D224" s="113"/>
      <c r="E224" s="182" t="n">
        <f aca="false">E182</f>
        <v>340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190</v>
      </c>
      <c r="B226" s="93" t="s">
        <v>136</v>
      </c>
      <c r="C226" s="93"/>
      <c r="D226" s="113"/>
      <c r="E226" s="93" t="s">
        <v>137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21268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138</v>
      </c>
      <c r="B229" s="93" t="s">
        <v>174</v>
      </c>
      <c r="C229" s="93"/>
      <c r="D229" s="113"/>
      <c r="E229" s="93" t="s">
        <v>179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21268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191</v>
      </c>
      <c r="B232" s="93" t="s">
        <v>53</v>
      </c>
      <c r="C232" s="93"/>
      <c r="D232" s="113"/>
      <c r="E232" s="93" t="s">
        <v>192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-631.905206705283</v>
      </c>
      <c r="B233" s="103" t="str">
        <f aca="false">B191</f>
        <v>239.99</v>
      </c>
      <c r="C233" s="103"/>
      <c r="D233" s="113"/>
      <c r="E233" s="103" t="n">
        <f aca="false">E191</f>
        <v>20886.0847932947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193</v>
      </c>
      <c r="B235" s="93" t="s">
        <v>194</v>
      </c>
      <c r="C235" s="93"/>
      <c r="D235" s="113"/>
      <c r="E235" s="93" t="s">
        <v>206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182</v>
      </c>
      <c r="B238" s="93" t="s">
        <v>183</v>
      </c>
      <c r="C238" s="93"/>
      <c r="D238" s="93"/>
      <c r="E238" s="93" t="s">
        <v>184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419.87796229046</v>
      </c>
      <c r="B239" s="103" t="n">
        <f aca="false">B176</f>
        <v>80.4375</v>
      </c>
      <c r="C239" s="186"/>
      <c r="D239" s="186"/>
      <c r="E239" s="103" t="n">
        <f aca="false">E176</f>
        <v>500.31546229046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207</v>
      </c>
      <c r="B241" s="93" t="s">
        <v>208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7200</v>
      </c>
      <c r="B242" s="103" t="n">
        <f aca="false">E194</f>
        <v>7210</v>
      </c>
      <c r="C242" s="93"/>
      <c r="D242" s="93"/>
      <c r="E242" s="103" t="n">
        <f aca="false">J18*0.000006*100*1.2</f>
        <v>15.06816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209</v>
      </c>
      <c r="B244" s="166" t="s">
        <v>72</v>
      </c>
      <c r="C244" s="93"/>
      <c r="D244" s="93"/>
      <c r="E244" s="166" t="s">
        <v>130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5.02272</v>
      </c>
      <c r="B245" s="103" t="n">
        <f aca="false">E242+A245</f>
        <v>20.09088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210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211</v>
      </c>
      <c r="B248" s="93" t="s">
        <v>197</v>
      </c>
      <c r="C248" s="93"/>
      <c r="D248" s="93"/>
      <c r="E248" s="166" t="s">
        <v>198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166.15625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199</v>
      </c>
      <c r="B251" s="166" t="s">
        <v>200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315.647916666667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212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213</v>
      </c>
      <c r="B262" s="196" t="n">
        <f aca="false">B72</f>
        <v>0.065</v>
      </c>
      <c r="C262" s="197"/>
      <c r="D262" s="198" t="s">
        <v>214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215</v>
      </c>
      <c r="B263" s="199" t="n">
        <f aca="false">(E191-B191)-(B210-B191-A194)</f>
        <v>606.094793294717</v>
      </c>
      <c r="C263" s="197"/>
      <c r="D263" s="198" t="s">
        <v>216</v>
      </c>
      <c r="E263" s="198"/>
      <c r="F263" s="200" t="n">
        <f aca="false">F270+F276+F278+B279+B280</f>
        <v>199.3875</v>
      </c>
      <c r="G263" s="23"/>
      <c r="H263" s="33"/>
    </row>
    <row r="264" customFormat="false" ht="17.35" hidden="false" customHeight="false" outlineLevel="0" collapsed="false">
      <c r="A264" s="191" t="s">
        <v>217</v>
      </c>
      <c r="B264" s="200" t="n">
        <f aca="false">F271+B272</f>
        <v>594.991666666667</v>
      </c>
      <c r="C264" s="197"/>
      <c r="D264" s="198" t="s">
        <v>218</v>
      </c>
      <c r="E264" s="198"/>
      <c r="F264" s="200" t="n">
        <f aca="false">(B263-F263)+B264</f>
        <v>1001.69895996138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213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219</v>
      </c>
      <c r="B268" s="205" t="n">
        <f aca="false">B73</f>
        <v>0.05</v>
      </c>
      <c r="C268" s="32"/>
      <c r="D268" s="166" t="s">
        <v>220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214</v>
      </c>
      <c r="B269" s="209" t="n">
        <f aca="false">B92</f>
        <v>0.115</v>
      </c>
      <c r="C269" s="43"/>
      <c r="D269" s="166" t="s">
        <v>215</v>
      </c>
      <c r="E269" s="166"/>
      <c r="F269" s="146" t="n">
        <f aca="false">B263</f>
        <v>606.094793294717</v>
      </c>
      <c r="G269" s="23"/>
      <c r="H269" s="33"/>
    </row>
    <row r="270" customFormat="false" ht="17.35" hidden="false" customHeight="false" outlineLevel="0" collapsed="false">
      <c r="A270" s="31" t="s">
        <v>221</v>
      </c>
      <c r="B270" s="209" t="n">
        <f aca="false">B76</f>
        <v>0.009375</v>
      </c>
      <c r="C270" s="32"/>
      <c r="D270" s="166" t="s">
        <v>221</v>
      </c>
      <c r="E270" s="166"/>
      <c r="F270" s="151" t="n">
        <f aca="false">B77</f>
        <v>199.3875</v>
      </c>
      <c r="G270" s="23"/>
      <c r="H270" s="33"/>
    </row>
    <row r="271" customFormat="false" ht="17.35" hidden="false" customHeight="false" outlineLevel="0" collapsed="false">
      <c r="A271" s="31" t="s">
        <v>222</v>
      </c>
      <c r="B271" s="205" t="n">
        <f aca="false">A117</f>
        <v>0.3</v>
      </c>
      <c r="C271" s="32"/>
      <c r="D271" s="166" t="s">
        <v>222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223</v>
      </c>
      <c r="B272" s="146" t="n">
        <f aca="false">A252</f>
        <v>99.9916666666667</v>
      </c>
      <c r="C272" s="32"/>
      <c r="D272" s="39" t="s">
        <v>218</v>
      </c>
      <c r="E272" s="39"/>
      <c r="F272" s="146" t="n">
        <f aca="false">(B263-F263)+B264</f>
        <v>1001.69895996138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224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225</v>
      </c>
      <c r="B275" s="151" t="n">
        <v>0</v>
      </c>
      <c r="C275" s="32"/>
      <c r="D275" s="210" t="s">
        <v>226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227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228</v>
      </c>
      <c r="B277" s="211" t="s">
        <v>4</v>
      </c>
      <c r="C277" s="32"/>
      <c r="D277" s="166" t="s">
        <v>229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230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231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232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20958.33</v>
      </c>
      <c r="C2" s="4" t="s">
        <v>2</v>
      </c>
      <c r="D2" s="5" t="n">
        <f aca="false">C9</f>
        <v>4191.666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25149.996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20958.33</v>
      </c>
      <c r="C9" s="14" t="n">
        <f aca="false">B9*0.2</f>
        <v>4191.666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20958.33</v>
      </c>
      <c r="C15" s="14" t="n">
        <f aca="false">SUM(C9:C13)</f>
        <v>4191.666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25149.996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20958.33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19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10000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224.078626612779</v>
      </c>
      <c r="E33" s="216"/>
      <c r="F33" s="63"/>
      <c r="G33" s="219" t="s">
        <v>356</v>
      </c>
      <c r="H33" s="460" t="n">
        <f aca="false">E21-E11</f>
        <v>20958.33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224.078626612779</v>
      </c>
      <c r="B36" s="103" t="str">
        <f aca="false">IF(B26="YES", H42, "")</f>
        <v/>
      </c>
      <c r="C36" s="221"/>
      <c r="D36" s="184" t="n">
        <f aca="false">H31</f>
        <v>20000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20958.33</v>
      </c>
      <c r="I39" s="238" t="n">
        <f aca="false">(I48*H46)+H44</f>
        <v>59325.6915133649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str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106</v>
      </c>
      <c r="H40" s="238" t="n">
        <f aca="false">A40/1.2</f>
        <v>16666.6666666667</v>
      </c>
      <c r="I40" s="238" t="n">
        <f aca="false">H39-I39</f>
        <v>-38367.3615133649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13647.2071058677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7311.1228941323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224.078626612779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224.078626612779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224.078626612779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376</v>
      </c>
      <c r="B60" s="215" t="n">
        <f aca="false">E19</f>
        <v>25149.996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90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90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0.02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B60*B66</f>
        <v>502.99992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0</v>
      </c>
      <c r="I67" s="215"/>
      <c r="J67" s="291"/>
      <c r="K67" s="216"/>
      <c r="L67" s="63"/>
      <c r="M67" s="285" t="s">
        <v>93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227</v>
      </c>
      <c r="F73" s="63"/>
      <c r="G73" s="285" t="s">
        <v>99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99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165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282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11288.75</v>
      </c>
      <c r="C81" s="473"/>
      <c r="D81" s="474"/>
      <c r="E81" s="466"/>
      <c r="F81" s="63"/>
      <c r="G81" s="303" t="s">
        <v>102</v>
      </c>
      <c r="H81" s="304" t="n">
        <f aca="false">SUM(J64:J80)</f>
        <v>1065.75</v>
      </c>
      <c r="I81" s="215"/>
      <c r="J81" s="215"/>
      <c r="K81" s="216"/>
      <c r="L81" s="63"/>
      <c r="M81" s="303" t="s">
        <v>102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313.576388888889</v>
      </c>
      <c r="C82" s="473"/>
      <c r="D82" s="215"/>
      <c r="E82" s="466"/>
      <c r="F82" s="63"/>
      <c r="G82" s="214" t="s">
        <v>103</v>
      </c>
      <c r="H82" s="300" t="n">
        <f aca="false">H81/H29</f>
        <v>29.6041666666667</v>
      </c>
      <c r="I82" s="215"/>
      <c r="J82" s="215"/>
      <c r="K82" s="216"/>
      <c r="L82" s="63"/>
      <c r="M82" s="214" t="s">
        <v>103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224.078626612779</v>
      </c>
      <c r="C83" s="473"/>
      <c r="D83" s="215"/>
      <c r="E83" s="466" t="n">
        <f aca="false">B83+E80+E77+E64</f>
        <v>537.655015501668</v>
      </c>
      <c r="F83" s="63"/>
      <c r="G83" s="305" t="s">
        <v>104</v>
      </c>
      <c r="H83" s="306" t="n">
        <f aca="false">H47</f>
        <v>224.078626612779</v>
      </c>
      <c r="I83" s="215"/>
      <c r="J83" s="215"/>
      <c r="K83" s="216"/>
      <c r="L83" s="63"/>
      <c r="M83" s="305" t="s">
        <v>104</v>
      </c>
      <c r="N83" s="306" t="n">
        <f aca="false">H47</f>
        <v>224.078626612779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19355.58055806</v>
      </c>
      <c r="C85" s="473"/>
      <c r="D85" s="473"/>
      <c r="E85" s="466" t="n">
        <f aca="false">B85/(B58+B57)</f>
        <v>537.655015501668</v>
      </c>
      <c r="F85" s="63"/>
      <c r="G85" s="288" t="s">
        <v>114</v>
      </c>
      <c r="H85" s="131" t="n">
        <f aca="false">((H83*H29)+H81)*1.2</f>
        <v>10959.0966696721</v>
      </c>
      <c r="I85" s="215"/>
      <c r="J85" s="215"/>
      <c r="K85" s="216"/>
      <c r="L85" s="63"/>
      <c r="M85" s="288" t="s">
        <v>114</v>
      </c>
      <c r="N85" s="131" t="n">
        <f aca="false">((N83*H29)+N81)</f>
        <v>8788.83055806005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163.964175764123</v>
      </c>
      <c r="C86" s="473" t="s">
        <v>230</v>
      </c>
      <c r="D86" s="215"/>
      <c r="E86" s="466" t="n">
        <f aca="false">B86/(B58+B57)</f>
        <v>4.55456043789231</v>
      </c>
      <c r="F86" s="63"/>
      <c r="G86" s="214" t="s">
        <v>115</v>
      </c>
      <c r="H86" s="300" t="n">
        <f aca="false">((((H83*H29)+H81))/(1-H70))*H70</f>
        <v>77.3635303425821</v>
      </c>
      <c r="I86" s="215"/>
      <c r="J86" s="215"/>
      <c r="K86" s="216"/>
      <c r="L86" s="63"/>
      <c r="M86" s="214" t="s">
        <v>115</v>
      </c>
      <c r="N86" s="300" t="n">
        <f aca="false">(N85/(1-N70))*N70</f>
        <v>74.4515698746515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19519.5447338242</v>
      </c>
      <c r="C87" s="473"/>
      <c r="D87" s="475"/>
      <c r="E87" s="466" t="n">
        <f aca="false">E86+E85</f>
        <v>542.20957593956</v>
      </c>
      <c r="F87" s="63"/>
      <c r="G87" s="285" t="s">
        <v>116</v>
      </c>
      <c r="H87" s="133" t="n">
        <f aca="false">IF(H110="YES",((H85+H86)-K114),(H85+H86))</f>
        <v>11036.4602000146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8863.2821279347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542.20957593956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269.181956097918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216.177612876456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542.20957593956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269.181956097918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216.177612876456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269.181956097918</v>
      </c>
      <c r="H127" s="177" t="n">
        <f aca="false">IF(G105="YES", H89*H57, 0)</f>
        <v>0</v>
      </c>
      <c r="I127" s="177"/>
      <c r="J127" s="334" t="n">
        <f aca="false">H91</f>
        <v>269.181956097918</v>
      </c>
      <c r="K127" s="216"/>
      <c r="L127" s="63"/>
      <c r="M127" s="333" t="n">
        <f aca="false">N90</f>
        <v>216.177612876456</v>
      </c>
      <c r="N127" s="177" t="n">
        <f aca="false">IF(M105="YES", N89*N57, 0)</f>
        <v>0</v>
      </c>
      <c r="O127" s="177"/>
      <c r="P127" s="177" t="n">
        <f aca="false">N91</f>
        <v>216.177612876456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542.20957593956</v>
      </c>
      <c r="B128" s="321" t="n">
        <f aca="false">IF(A105="YES", B89, 0)</f>
        <v>0</v>
      </c>
      <c r="C128" s="325"/>
      <c r="D128" s="321" t="n">
        <f aca="false">B91</f>
        <v>542.20957593956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542.20957593956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1615.09173658751</v>
      </c>
      <c r="H133" s="103" t="n">
        <f aca="false">IF(G105="YES", H89*H57, 0)</f>
        <v>0</v>
      </c>
      <c r="I133" s="221"/>
      <c r="J133" s="184" t="n">
        <f aca="false">H91*H57</f>
        <v>1615.09173658751</v>
      </c>
      <c r="K133" s="216"/>
      <c r="L133" s="63"/>
      <c r="M133" s="185" t="n">
        <f aca="false">N90*N57</f>
        <v>1297.06567725874</v>
      </c>
      <c r="N133" s="103" t="n">
        <f aca="false">IF(M105="YES", N89*N57, 0)</f>
        <v>0</v>
      </c>
      <c r="O133" s="221"/>
      <c r="P133" s="184" t="n">
        <f aca="false">N91*N57</f>
        <v>1297.06567725874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542.20957593956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542.20957593956</v>
      </c>
      <c r="B137" s="38" t="n">
        <f aca="false">IF(A105="YES", B89, 0)</f>
        <v>0</v>
      </c>
      <c r="C137" s="317"/>
      <c r="D137" s="38" t="n">
        <f aca="false">B91</f>
        <v>542.20957593956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e">
        <f aca="false">IF(G105="YES", ((B36*H105)*0.1)*(G130), 0)</f>
        <v>#VALUE!</v>
      </c>
      <c r="H142" s="103" t="n">
        <f aca="false">G102-100</f>
        <v>99.99</v>
      </c>
      <c r="I142" s="103"/>
      <c r="J142" s="103" t="e">
        <f aca="false">(H139+J139+G142+H142)-H145</f>
        <v>#VALUE!</v>
      </c>
      <c r="K142" s="105"/>
      <c r="L142" s="63"/>
      <c r="M142" s="111" t="e">
        <f aca="false">IF(M105="YES", ((B36*N105)*0.1)*(M130), 0)</f>
        <v>#VALUE!</v>
      </c>
      <c r="N142" s="103" t="n">
        <f aca="false">M102-100</f>
        <v>99.99</v>
      </c>
      <c r="O142" s="103"/>
      <c r="P142" s="103" t="e">
        <f aca="false">(N139+P139+M142+N142)-N145</f>
        <v>#VALUE!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#VALUE!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#VALUE!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502.99992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602.98992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269.181956097918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216.177612876456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542.20957593956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542.20957593956</v>
      </c>
      <c r="B177" s="355" t="n">
        <f aca="false">IF(A105="YES", B89, 0)</f>
        <v>0</v>
      </c>
      <c r="C177" s="357"/>
      <c r="D177" s="355" t="n">
        <f aca="false">B91</f>
        <v>542.20957593956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542.20957593956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542.20957593956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542.20957593956</v>
      </c>
      <c r="B186" s="103" t="n">
        <f aca="false">IF(A105="YES", B89, 0)</f>
        <v>0</v>
      </c>
      <c r="C186" s="353"/>
      <c r="D186" s="103" t="n">
        <f aca="false">B91</f>
        <v>542.20957593956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502.99992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602.98992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502.99992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9596.99008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502.99992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9596.99008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163.964175764123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 t="n">
        <v>23125</v>
      </c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13.32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456.708491839162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 t="n">
        <v>0</v>
      </c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13.32</v>
      </c>
      <c r="C167" s="174"/>
      <c r="D167" s="174"/>
      <c r="E167" s="177" t="n">
        <f aca="false">B96</f>
        <v>456.708491839162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239.99</v>
      </c>
      <c r="C182" s="103"/>
      <c r="D182" s="23"/>
      <c r="E182" s="103" t="n">
        <f aca="false">E179+A182+B182+A185</f>
        <v>21638.4217388532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272.067916666667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456.708491839162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13.32</v>
      </c>
      <c r="C212" s="174"/>
      <c r="D212" s="174"/>
      <c r="E212" s="177" t="n">
        <f aca="false">E167</f>
        <v>456.708491839162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239.99</v>
      </c>
      <c r="C224" s="103"/>
      <c r="D224" s="113"/>
      <c r="E224" s="103" t="n">
        <f aca="false">E182</f>
        <v>21638.4217388532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13.32</v>
      </c>
      <c r="C230" s="186"/>
      <c r="D230" s="186"/>
      <c r="E230" s="103" t="n">
        <f aca="false">E167</f>
        <v>456.708491839162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15.06816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5.02272</v>
      </c>
      <c r="B236" s="103" t="n">
        <f aca="false">E233+A236</f>
        <v>20.09088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272.067916666667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1358.43173885319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159.191666666667</v>
      </c>
      <c r="C255" s="197"/>
      <c r="D255" s="198" t="s">
        <v>218</v>
      </c>
      <c r="E255" s="198"/>
      <c r="F255" s="200" t="n">
        <f aca="false">(B254-F254)+B255</f>
        <v>1318.23590551985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1358.43173885319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1318.23590551985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13679.0984055199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0.137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0.0114166666666667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4950.38529500718</v>
      </c>
      <c r="C86" s="93" t="n">
        <f aca="false">(B82/((1+B84)^(B85+1)))</f>
        <v>4950.38529500718</v>
      </c>
      <c r="D86" s="93"/>
      <c r="E86" s="113"/>
      <c r="F86" s="31" t="s">
        <v>110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26.6800219733353</v>
      </c>
      <c r="C87" s="93" t="n">
        <f aca="false">((1-(1/((1+B84)^B85)))/B84)</f>
        <v>26.6800219733353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11829.6147049928</v>
      </c>
      <c r="C88" s="93" t="n">
        <f aca="false">B81-B86</f>
        <v>11829.6147049928</v>
      </c>
      <c r="D88" s="93"/>
      <c r="E88" s="113"/>
      <c r="F88" s="31" t="s">
        <v>112</v>
      </c>
      <c r="G88" s="33" t="n">
        <f aca="false">G81-G86</f>
        <v>10755.6270487144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443.388491839162</v>
      </c>
      <c r="C89" s="93" t="n">
        <f aca="false">(B88/B87)</f>
        <v>443.388491839162</v>
      </c>
      <c r="D89" s="93"/>
      <c r="E89" s="113"/>
      <c r="F89" s="31" t="s">
        <v>113</v>
      </c>
      <c r="G89" s="33" t="n">
        <f aca="false">(G88/G87)</f>
        <v>366.991495516615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14188.4317388532</v>
      </c>
      <c r="C90" s="93"/>
      <c r="D90" s="93"/>
      <c r="E90" s="113"/>
      <c r="F90" s="31" t="s">
        <v>114</v>
      </c>
      <c r="G90" s="33" t="n">
        <f aca="false">((G89*(G85))+G77)</f>
        <v>11743.7278565317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14188.4317388532</v>
      </c>
      <c r="C92" s="93"/>
      <c r="D92" s="93"/>
      <c r="E92" s="113"/>
      <c r="F92" s="56" t="s">
        <v>116</v>
      </c>
      <c r="G92" s="65" t="n">
        <f aca="false">(G90+G91)</f>
        <v>11743.7278565317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IF(B38="YES",((H36/B85)*(1+A108)),"0")</f>
        <v>11.1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443.388491839162</v>
      </c>
      <c r="C95" s="93"/>
      <c r="D95" s="93"/>
      <c r="E95" s="113"/>
      <c r="F95" s="95" t="s">
        <v>118</v>
      </c>
      <c r="G95" s="96" t="n">
        <f aca="false">G92/(G85)</f>
        <v>366.991495516615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454.488491839162</v>
      </c>
      <c r="C96" s="93"/>
      <c r="D96" s="93"/>
      <c r="E96" s="113"/>
      <c r="F96" s="97" t="s">
        <v>119</v>
      </c>
      <c r="G96" s="98" t="n">
        <f aca="false">G94+G95</f>
        <v>366.991495516615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235</v>
      </c>
      <c r="C108" s="107"/>
      <c r="D108" s="107"/>
      <c r="E108" s="108" t="n">
        <f aca="false">B83</f>
        <v>0.137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148</v>
      </c>
      <c r="D120" s="116" t="s">
        <v>147</v>
      </c>
      <c r="E120" s="118" t="n">
        <v>0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443.388491839162</v>
      </c>
      <c r="B167" s="177" t="n">
        <f aca="false">B94</f>
        <v>11.1</v>
      </c>
      <c r="C167" s="174"/>
      <c r="D167" s="174"/>
      <c r="E167" s="177" t="n">
        <f aca="false">B96</f>
        <v>454.488491839162</v>
      </c>
      <c r="F167" s="23"/>
      <c r="G167" s="23" t="n">
        <f aca="false">ROUND(G95, 2)</f>
        <v>366.99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120.431738853185</v>
      </c>
      <c r="B182" s="103" t="str">
        <f aca="false">B114</f>
        <v>199.99</v>
      </c>
      <c r="C182" s="103"/>
      <c r="D182" s="23"/>
      <c r="E182" s="103" t="n">
        <f aca="false">E179+A182+(B182*1.2)+A185</f>
        <v>21638.4197388532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5.92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272.06625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454.488491839162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-2324.32</v>
      </c>
      <c r="B201" s="186" t="n">
        <f aca="false">E179+A201+(B182*1.2)+A185</f>
        <v>19193.668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443.388491839162</v>
      </c>
      <c r="B212" s="177" t="n">
        <f aca="false">B167</f>
        <v>11.1</v>
      </c>
      <c r="C212" s="174"/>
      <c r="D212" s="174"/>
      <c r="E212" s="177" t="n">
        <f aca="false">E167</f>
        <v>454.488491839162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120.431738853185</v>
      </c>
      <c r="B224" s="103" t="str">
        <f aca="false">B182</f>
        <v>199.99</v>
      </c>
      <c r="C224" s="103"/>
      <c r="D224" s="113"/>
      <c r="E224" s="103" t="n">
        <f aca="false">E182</f>
        <v>21638.4197388532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443.388491839162</v>
      </c>
      <c r="B230" s="103" t="n">
        <f aca="false">B167</f>
        <v>11.1</v>
      </c>
      <c r="C230" s="186"/>
      <c r="D230" s="186"/>
      <c r="E230" s="103" t="n">
        <f aca="false">E167</f>
        <v>454.488491839162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5.92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272.06625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2454.75173885319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159.19</v>
      </c>
      <c r="C255" s="197"/>
      <c r="D255" s="198" t="s">
        <v>218</v>
      </c>
      <c r="E255" s="198"/>
      <c r="F255" s="200" t="n">
        <f aca="false">(B254-F254)+B255</f>
        <v>2414.55423885319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0.072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0.137</v>
      </c>
      <c r="C260" s="43"/>
      <c r="D260" s="166" t="s">
        <v>215</v>
      </c>
      <c r="E260" s="166"/>
      <c r="F260" s="146" t="n">
        <f aca="false">B254</f>
        <v>2454.75173885319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59.2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2414.55423885319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8.96969696969697</v>
      </c>
      <c r="E32" s="226"/>
      <c r="F32" s="63"/>
      <c r="G32" s="227" t="s">
        <v>244</v>
      </c>
      <c r="H32" s="225" t="n">
        <f aca="false">A41</f>
        <v>8.96969696969697</v>
      </c>
      <c r="I32" s="0"/>
      <c r="J32" s="44" t="s">
        <v>37</v>
      </c>
      <c r="K32" s="45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508.969696969697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s">
        <v>382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8.96969696969697</v>
      </c>
      <c r="B41" s="241" t="n">
        <f aca="false">IF(B38="YES", D38+A41, D38)</f>
        <v>508.969696969697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8.96969696969697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509.333333333333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509.333333333333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12926.7614599614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n">
        <f aca="false">IF(B38="YES",((H36/B85)*(1+A108)*1.2),"0")</f>
        <v>14.43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434.30796229046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0.3</v>
      </c>
      <c r="B108" s="107" t="s">
        <v>235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n">
        <f aca="false">B94</f>
        <v>14.43</v>
      </c>
      <c r="C167" s="174"/>
      <c r="D167" s="174"/>
      <c r="E167" s="177" t="n">
        <f aca="false">B96</f>
        <v>434.30796229046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239.99</v>
      </c>
      <c r="C182" s="103"/>
      <c r="D182" s="23"/>
      <c r="E182" s="103" t="n">
        <f aca="false">E179+A182+B182+A185</f>
        <v>20886.0847932947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5.02272</v>
      </c>
      <c r="B188" s="103" t="n">
        <f aca="false">(G158*B67)/1.2</f>
        <v>166.15625</v>
      </c>
      <c r="C188" s="93"/>
      <c r="D188" s="93"/>
      <c r="E188" s="103" t="n">
        <f aca="false">IF(E105 = "YES" , (H36*A108)*0.1 , 0)</f>
        <v>8.88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275.027916666667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434.30796229046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E179+A201+B182+A185</f>
        <v>20289.99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n">
        <f aca="false">B167</f>
        <v>14.43</v>
      </c>
      <c r="C212" s="174"/>
      <c r="D212" s="174"/>
      <c r="E212" s="177" t="n">
        <f aca="false">E167</f>
        <v>434.30796229046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239.99</v>
      </c>
      <c r="C224" s="103"/>
      <c r="D224" s="113"/>
      <c r="E224" s="103" t="n">
        <f aca="false">E182</f>
        <v>20886.0847932947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n">
        <f aca="false">B167</f>
        <v>14.43</v>
      </c>
      <c r="C230" s="186"/>
      <c r="D230" s="186"/>
      <c r="E230" s="103" t="n">
        <f aca="false">E167</f>
        <v>434.30796229046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E188</f>
        <v>8.88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275.027916666667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188.791666666667</v>
      </c>
      <c r="C255" s="197"/>
      <c r="D255" s="198" t="s">
        <v>218</v>
      </c>
      <c r="E255" s="198"/>
      <c r="F255" s="200" t="n">
        <f aca="false">(B254-F254)+B255</f>
        <v>595.498959961383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0.3</v>
      </c>
      <c r="C262" s="32"/>
      <c r="D262" s="166" t="s">
        <v>222</v>
      </c>
      <c r="E262" s="166"/>
      <c r="F262" s="146" t="n">
        <f aca="false">E240*10</f>
        <v>88.8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595.498959961383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n">
        <v>0.07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0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0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 t="n">
        <v>0.01</v>
      </c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B61*B66</f>
        <v>0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0.0075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0.0075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0</v>
      </c>
      <c r="C70" s="215" t="n">
        <v>10000</v>
      </c>
      <c r="D70" s="291" t="n">
        <f aca="false">B70-A149</f>
        <v>0</v>
      </c>
      <c r="E70" s="216" t="n">
        <f aca="false">D70/12</f>
        <v>0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200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200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0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200</v>
      </c>
      <c r="C80" s="215"/>
      <c r="D80" s="215"/>
      <c r="E80" s="430" t="n">
        <f aca="false">E79+D82</f>
        <v>676.666666666667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56.3888888888889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16.6666666666667</v>
      </c>
      <c r="C82" s="215"/>
      <c r="D82" s="291" t="n">
        <f aca="false">IF(A50="YES", 0, B82)</f>
        <v>16.6666666666667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676.666666666667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56.3888888888889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6688.66666666667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0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6688.66666666667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e">
        <f aca="false">IF(B105=Z104,(((H44*B35)+(H44*B35)*(B111/100))/(B64)),(((H44*B35)+(H44*B35)*(B111/100))/(B63+B64)))</f>
        <v>#DIV/0!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e">
        <f aca="false">IF(B105=Z104, (B93-D111)/(B64), B93/(B63+B64))</f>
        <v>#DIV/0!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e">
        <f aca="false">IF(A111="YES", B96+B95, B96)</f>
        <v>#DIV/0!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343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n">
        <v>20</v>
      </c>
      <c r="C105" s="312"/>
      <c r="D105" s="421" t="n">
        <v>200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200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-3560.012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e">
        <f aca="false">B157</f>
        <v>#DIV/0!</v>
      </c>
      <c r="I133" s="230"/>
      <c r="J133" s="229" t="n">
        <f aca="false">B64</f>
        <v>0</v>
      </c>
      <c r="K133" s="216"/>
      <c r="L133" s="63"/>
      <c r="M133" s="228" t="n">
        <f aca="false">M161</f>
        <v>12</v>
      </c>
      <c r="N133" s="229" t="e">
        <f aca="false">B157</f>
        <v>#DIV/0!</v>
      </c>
      <c r="O133" s="230"/>
      <c r="P133" s="229" t="n">
        <f aca="false">B64</f>
        <v>0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e">
        <f aca="false">B96</f>
        <v>#DIV/0!</v>
      </c>
      <c r="B134" s="321" t="e">
        <f aca="false">IF(A111="YES", B95, 0)</f>
        <v>#DIV/0!</v>
      </c>
      <c r="C134" s="326"/>
      <c r="D134" s="321" t="e">
        <f aca="false">B97</f>
        <v>#DIV/0!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n">
        <f aca="false">B105</f>
        <v>20</v>
      </c>
      <c r="B137" s="38" t="e">
        <f aca="false">B96*B63</f>
        <v>#DIV/0!</v>
      </c>
      <c r="C137" s="317"/>
      <c r="D137" s="38" t="e">
        <f aca="false">IF(A111="YES", B95*B63, 0)</f>
        <v>#DIV/0!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e">
        <f aca="false">B97*B63</f>
        <v>#DIV/0!</v>
      </c>
      <c r="B140" s="38" t="n">
        <f aca="false">E120</f>
        <v>4000</v>
      </c>
      <c r="C140" s="317"/>
      <c r="D140" s="337" t="n">
        <f aca="false">B64</f>
        <v>0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e">
        <f aca="false">B96</f>
        <v>#DIV/0!</v>
      </c>
      <c r="B143" s="38" t="e">
        <f aca="false">IF(A111="YES", B95, 0)</f>
        <v>#DIV/0!</v>
      </c>
      <c r="C143" s="317"/>
      <c r="D143" s="38" t="e">
        <f aca="false">B97</f>
        <v>#DIV/0!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0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e">
        <f aca="false">(A154+B154+D154+A157)*(A149/B70)</f>
        <v>#DIV/0!</v>
      </c>
      <c r="C157" s="38"/>
      <c r="D157" s="38" t="e">
        <f aca="false">(A154+B154+D154+A157)-B157</f>
        <v>#DIV/0!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e">
        <f aca="false">B97</f>
        <v>#DIV/0!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e">
        <f aca="false">B96</f>
        <v>#DIV/0!</v>
      </c>
      <c r="B177" s="355" t="e">
        <f aca="false">IF(A111="YES", B95, 0)</f>
        <v>#DIV/0!</v>
      </c>
      <c r="C177" s="358"/>
      <c r="D177" s="355" t="n">
        <f aca="false">B91</f>
        <v>6688.66666666667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n">
        <f aca="false">B105</f>
        <v>20</v>
      </c>
      <c r="B180" s="103" t="e">
        <f aca="false">B96*B63</f>
        <v>#DIV/0!</v>
      </c>
      <c r="C180" s="353"/>
      <c r="D180" s="103" t="e">
        <f aca="false">IF(A111="YES", B95*B63, 0)</f>
        <v>#DIV/0!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e">
        <f aca="false">B97*B63</f>
        <v>#DIV/0!</v>
      </c>
      <c r="B183" s="103" t="n">
        <f aca="false">E120</f>
        <v>4000</v>
      </c>
      <c r="C183" s="353"/>
      <c r="D183" s="361" t="n">
        <f aca="false">B64</f>
        <v>0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e">
        <f aca="false">B96</f>
        <v>#DIV/0!</v>
      </c>
      <c r="B186" s="103" t="e">
        <f aca="false">IF(A111="YES", B95, 0)</f>
        <v>#DIV/0!</v>
      </c>
      <c r="C186" s="353"/>
      <c r="D186" s="103" t="e">
        <f aca="false">B97</f>
        <v>#DIV/0!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0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e">
        <f aca="false">(A154+B154+D154+A157)*(A149/B70)</f>
        <v>#DIV/0!</v>
      </c>
      <c r="C200" s="103"/>
      <c r="D200" s="103" t="e">
        <f aca="false">(A154+B154+D154+A157)-B157</f>
        <v>#DIV/0!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0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0</v>
      </c>
      <c r="C217" s="375" t="s">
        <v>221</v>
      </c>
      <c r="D217" s="317"/>
      <c r="E217" s="376" t="n">
        <f aca="false">B72</f>
        <v>200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0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99.99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</v>
      </c>
      <c r="C231" s="336" t="s">
        <v>229</v>
      </c>
      <c r="D231" s="343"/>
      <c r="E231" s="376" t="n">
        <f aca="false">B75</f>
        <v>0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0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200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10564.352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10638.9289100444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886.577409170364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886.577409170364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128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18</v>
      </c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886.577409170364</v>
      </c>
      <c r="B134" s="321" t="n">
        <f aca="false">IF(A111="YES", B95, 0)</f>
        <v>0</v>
      </c>
      <c r="C134" s="326"/>
      <c r="D134" s="321" t="n">
        <f aca="false">B97</f>
        <v>886.577409170364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886.577409170364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886.577409170364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886.577409170364</v>
      </c>
      <c r="B143" s="38" t="n">
        <f aca="false">IF(A111="YES", B95, 0)</f>
        <v>0</v>
      </c>
      <c r="C143" s="317"/>
      <c r="D143" s="38" t="n">
        <f aca="false">B97</f>
        <v>886.577409170364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886.577409170364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886.577409170364</v>
      </c>
      <c r="B177" s="355" t="n">
        <f aca="false">IF(A111="YES", B95, 0)</f>
        <v>0</v>
      </c>
      <c r="C177" s="358"/>
      <c r="D177" s="355" t="n">
        <f aca="false">B91</f>
        <v>10564.352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886.577409170364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886.577409170364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886.577409170364</v>
      </c>
      <c r="B186" s="103" t="n">
        <f aca="false">IF(A111="YES", B95, 0)</f>
        <v>0</v>
      </c>
      <c r="C186" s="353"/>
      <c r="D186" s="103" t="n">
        <f aca="false">B97</f>
        <v>886.577409170364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244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250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2791.62666666667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232.635555555556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8803.62666666667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74.5769100443727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8878.20357671104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739.850298059253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739.850298059253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739.850298059253</v>
      </c>
      <c r="B134" s="321" t="n">
        <f aca="false">IF(A111="YES", B95, 0)</f>
        <v>0</v>
      </c>
      <c r="C134" s="326"/>
      <c r="D134" s="321" t="n">
        <f aca="false">B97</f>
        <v>739.850298059253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739.850298059253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739.850298059253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739.850298059253</v>
      </c>
      <c r="B143" s="38" t="n">
        <f aca="false">IF(A111="YES", B95, 0)</f>
        <v>0</v>
      </c>
      <c r="C143" s="317"/>
      <c r="D143" s="38" t="n">
        <f aca="false">B97</f>
        <v>739.850298059253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1307.188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1267.19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739.850298059253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739.850298059253</v>
      </c>
      <c r="B177" s="355" t="n">
        <f aca="false">IF(A111="YES", B95, 0)</f>
        <v>0</v>
      </c>
      <c r="C177" s="358"/>
      <c r="D177" s="355" t="n">
        <f aca="false">B91</f>
        <v>8803.62666666667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739.850298059253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739.850298059253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739.850298059253</v>
      </c>
      <c r="B186" s="103" t="n">
        <f aca="false">IF(A111="YES", B95, 0)</f>
        <v>0</v>
      </c>
      <c r="C186" s="353"/>
      <c r="D186" s="103" t="n">
        <f aca="false">B97</f>
        <v>739.850298059253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1595.67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1595.67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74.5769100443727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244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384</v>
      </c>
      <c r="B41" s="241" t="n">
        <f aca="false">IF(B38="YES", D38+A41, D38)</f>
        <v>560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385</v>
      </c>
      <c r="E44" s="104"/>
      <c r="F44" s="63"/>
      <c r="G44" s="63" t="s">
        <v>258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340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280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281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448.218055555556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78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1035.25903141948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351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30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78</v>
      </c>
      <c r="C134" s="326"/>
      <c r="D134" s="321" t="n">
        <f aca="false">B97</f>
        <v>1035.25903141948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1035.25903141948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78</v>
      </c>
      <c r="C143" s="317"/>
      <c r="D143" s="38" t="n">
        <f aca="false">B97</f>
        <v>1035.25903141948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21.6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1100.44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1035.25903141948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78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1035.25903141948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78</v>
      </c>
      <c r="C186" s="353"/>
      <c r="D186" s="103" t="n">
        <f aca="false">B97</f>
        <v>1035.25903141948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21.6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1100.44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578.85</v>
      </c>
      <c r="C211" s="320" t="s">
        <v>217</v>
      </c>
      <c r="D211" s="370" t="n">
        <f aca="false">B225+E221+B221+B223</f>
        <v>555.99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4029.09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4051.95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578.85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200</v>
      </c>
      <c r="C223" s="336" t="s">
        <v>218</v>
      </c>
      <c r="D223" s="317"/>
      <c r="E223" s="33" t="n">
        <f aca="false">(B217-B211+D211)</f>
        <v>4029.09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216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((B89*H29)+B87)*1.2</f>
        <v>9764.352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9833.28147156111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IF(B105=Z104,(((H44*B35)+(H44*B35)*(B111/100))/(B64)),(((H44*B35)+(H44*B35)*(B111/100))/(B63+B64)))*1.2</f>
        <v>72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819.440122630093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819.440122630093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819.440122630093</v>
      </c>
      <c r="B134" s="321" t="n">
        <f aca="false">IF(A111="YES", B95, 0)</f>
        <v>0</v>
      </c>
      <c r="C134" s="326"/>
      <c r="D134" s="321" t="n">
        <f aca="false">B97</f>
        <v>819.440122630093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819.440122630093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819.440122630093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819.440122630093</v>
      </c>
      <c r="B143" s="38" t="n">
        <f aca="false">IF(A111="YES", B95, 0)</f>
        <v>0</v>
      </c>
      <c r="C143" s="317"/>
      <c r="D143" s="38" t="n">
        <f aca="false">B97</f>
        <v>819.440122630093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309.271666666667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819.440122630093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819.440122630093</v>
      </c>
      <c r="B177" s="355" t="n">
        <f aca="false">IF(A111="YES", B95, 0)</f>
        <v>0</v>
      </c>
      <c r="C177" s="358"/>
      <c r="D177" s="355" t="n">
        <f aca="false">B97</f>
        <v>819.440122630093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819.440122630093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819.440122630093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819.440122630093</v>
      </c>
      <c r="B186" s="103" t="n">
        <f aca="false">IF(A111="YES", B95, 0)</f>
        <v>0</v>
      </c>
      <c r="C186" s="353"/>
      <c r="D186" s="103" t="n">
        <f aca="false">B97</f>
        <v>819.440122630093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309.271666666667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233</v>
      </c>
      <c r="B41" s="241" t="n">
        <f aca="false">IF(B38="YES", D38+A41, D38)</f>
        <v>550</v>
      </c>
      <c r="C41" s="241"/>
      <c r="D41" s="104" t="s">
        <v>336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338</v>
      </c>
      <c r="C44" s="104"/>
      <c r="D44" s="104" t="s">
        <v>350</v>
      </c>
      <c r="E44" s="104"/>
      <c r="F44" s="63"/>
      <c r="G44" s="63" t="s">
        <v>258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350</v>
      </c>
      <c r="C47" s="429"/>
      <c r="D47" s="104" t="s">
        <v>350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339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339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20928</v>
      </c>
      <c r="C67" s="215"/>
      <c r="D67" s="215"/>
      <c r="E67" s="216"/>
      <c r="F67" s="63"/>
      <c r="G67" s="214" t="s">
        <v>14</v>
      </c>
      <c r="H67" s="291" t="n">
        <f aca="false">G18</f>
        <v>20928</v>
      </c>
      <c r="I67" s="215"/>
      <c r="J67" s="215"/>
      <c r="K67" s="216"/>
      <c r="L67" s="63"/>
      <c r="M67" s="214" t="s">
        <v>14</v>
      </c>
      <c r="N67" s="291" t="n">
        <f aca="false">G18</f>
        <v>20928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1464.96</v>
      </c>
      <c r="C70" s="215" t="n">
        <v>10000</v>
      </c>
      <c r="D70" s="291" t="n">
        <f aca="false">B70-A149</f>
        <v>1464.96</v>
      </c>
      <c r="E70" s="216" t="n">
        <f aca="false">D70/12</f>
        <v>122.08</v>
      </c>
      <c r="F70" s="63"/>
      <c r="G70" s="285" t="s">
        <v>90</v>
      </c>
      <c r="H70" s="133" t="n">
        <f aca="false">H67*H69</f>
        <v>1464.96</v>
      </c>
      <c r="I70" s="215"/>
      <c r="J70" s="291" t="n">
        <f aca="false">H70-G151</f>
        <v>1464.96</v>
      </c>
      <c r="K70" s="216"/>
      <c r="L70" s="63"/>
      <c r="M70" s="285" t="s">
        <v>90</v>
      </c>
      <c r="N70" s="133" t="n">
        <f aca="false">N67*N69</f>
        <v>1464.96</v>
      </c>
      <c r="O70" s="215"/>
      <c r="P70" s="291" t="n">
        <f aca="false">N70-M151</f>
        <v>1464.96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209.28</v>
      </c>
      <c r="C73" s="215"/>
      <c r="D73" s="291"/>
      <c r="E73" s="216"/>
      <c r="F73" s="63"/>
      <c r="G73" s="285" t="s">
        <v>93</v>
      </c>
      <c r="H73" s="133" t="n">
        <f aca="false">H67*H72</f>
        <v>104.64</v>
      </c>
      <c r="I73" s="215"/>
      <c r="J73" s="291"/>
      <c r="K73" s="216"/>
      <c r="L73" s="63"/>
      <c r="M73" s="285" t="s">
        <v>93</v>
      </c>
      <c r="N73" s="133" t="n">
        <f aca="false">N67*N72</f>
        <v>104.64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2124.96</v>
      </c>
      <c r="C87" s="215"/>
      <c r="D87" s="215"/>
      <c r="E87" s="216"/>
      <c r="F87" s="63"/>
      <c r="G87" s="303" t="s">
        <v>102</v>
      </c>
      <c r="H87" s="304" t="n">
        <f aca="false">SUM(J70:J86)</f>
        <v>4591.46</v>
      </c>
      <c r="I87" s="215"/>
      <c r="J87" s="215"/>
      <c r="K87" s="216"/>
      <c r="L87" s="63"/>
      <c r="M87" s="303" t="s">
        <v>102</v>
      </c>
      <c r="N87" s="304" t="n">
        <f aca="false">SUM(P70:P86)</f>
        <v>4578.96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177.08</v>
      </c>
      <c r="C88" s="215"/>
      <c r="D88" s="215"/>
      <c r="E88" s="216"/>
      <c r="F88" s="63"/>
      <c r="G88" s="214" t="s">
        <v>103</v>
      </c>
      <c r="H88" s="300" t="n">
        <f aca="false">H87/H29</f>
        <v>382.621666666667</v>
      </c>
      <c r="I88" s="215"/>
      <c r="J88" s="215"/>
      <c r="K88" s="216"/>
      <c r="L88" s="63"/>
      <c r="M88" s="214" t="s">
        <v>103</v>
      </c>
      <c r="N88" s="300" t="n">
        <f aca="false">N87/H29</f>
        <v>381.58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8136.96</v>
      </c>
      <c r="C91" s="215"/>
      <c r="D91" s="215"/>
      <c r="E91" s="216"/>
      <c r="F91" s="63"/>
      <c r="G91" s="288" t="s">
        <v>114</v>
      </c>
      <c r="H91" s="131" t="n">
        <f aca="false">((H89*H29)+H87)*1.2</f>
        <v>12724.152</v>
      </c>
      <c r="I91" s="215"/>
      <c r="J91" s="215"/>
      <c r="K91" s="216"/>
      <c r="L91" s="63"/>
      <c r="M91" s="288" t="s">
        <v>114</v>
      </c>
      <c r="N91" s="131" t="n">
        <f aca="false">((N89*H29)+N87)</f>
        <v>10590.96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68.9294715611134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89.8235820895522</v>
      </c>
      <c r="I92" s="215"/>
      <c r="J92" s="215"/>
      <c r="K92" s="216"/>
      <c r="L92" s="63"/>
      <c r="M92" s="214" t="s">
        <v>115</v>
      </c>
      <c r="N92" s="300" t="n">
        <f aca="false">(N91/(1-N76))*N76</f>
        <v>89.7176926179911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8205.88947156111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14813.9755820896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12680.677692618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IF(B105=Z104, (B93-D111)/(B64), B93/(B63+B64))</f>
        <v>683.824122630093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683.824122630093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/>
      <c r="B105" s="312" t="s">
        <v>128</v>
      </c>
      <c r="C105" s="312"/>
      <c r="D105" s="421" t="n">
        <v>1000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19</v>
      </c>
      <c r="B111" s="312" t="n">
        <v>20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6000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-6000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1000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125</v>
      </c>
      <c r="B130" s="320" t="n">
        <v>0</v>
      </c>
      <c r="C130" s="321"/>
      <c r="D130" s="320" t="s">
        <v>83</v>
      </c>
      <c r="E130" s="322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287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118</v>
      </c>
      <c r="B133" s="320" t="s">
        <v>297</v>
      </c>
      <c r="C133" s="321"/>
      <c r="D133" s="320" t="s">
        <v>298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683.824122630093</v>
      </c>
      <c r="B134" s="321" t="n">
        <f aca="false">IF(A111="YES", B95, 0)</f>
        <v>0</v>
      </c>
      <c r="C134" s="326"/>
      <c r="D134" s="321" t="n">
        <f aca="false">B97</f>
        <v>683.824122630093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302</v>
      </c>
      <c r="C136" s="332"/>
      <c r="D136" s="331" t="s">
        <v>303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683.824122630093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307</v>
      </c>
      <c r="B139" s="39" t="s">
        <v>308</v>
      </c>
      <c r="C139" s="336"/>
      <c r="D139" s="247" t="s">
        <v>206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683.824122630093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118</v>
      </c>
      <c r="B142" s="339" t="s">
        <v>297</v>
      </c>
      <c r="C142" s="317"/>
      <c r="D142" s="317" t="s">
        <v>298</v>
      </c>
      <c r="E142" s="318"/>
      <c r="F142" s="63"/>
      <c r="G142" s="111" t="n">
        <f aca="false">E15*0.000006</f>
        <v>0.127608</v>
      </c>
      <c r="H142" s="103" t="n">
        <f aca="false">IF(G111="YES", E15*0.000002, 0)</f>
        <v>0.042536</v>
      </c>
      <c r="I142" s="103"/>
      <c r="J142" s="103" t="n">
        <f aca="false">G142+H142</f>
        <v>0.170144</v>
      </c>
      <c r="K142" s="105"/>
      <c r="L142" s="63"/>
      <c r="M142" s="111" t="n">
        <f aca="false">E15*0.000006</f>
        <v>0.127608</v>
      </c>
      <c r="N142" s="103" t="n">
        <f aca="false">IF(M111="YES", E15*0.000002, 0)</f>
        <v>0.042536</v>
      </c>
      <c r="O142" s="103"/>
      <c r="P142" s="103" t="n">
        <f aca="false">M142+N142</f>
        <v>0.170144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683.824122630093</v>
      </c>
      <c r="B143" s="38" t="n">
        <f aca="false">IF(A111="YES", B95, 0)</f>
        <v>0</v>
      </c>
      <c r="C143" s="317"/>
      <c r="D143" s="38" t="n">
        <f aca="false">B97</f>
        <v>683.824122630093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315</v>
      </c>
      <c r="C145" s="38"/>
      <c r="D145" s="341" t="s">
        <v>72</v>
      </c>
      <c r="E145" s="105"/>
      <c r="F145" s="63"/>
      <c r="G145" s="111" t="n">
        <f aca="false">G108</f>
        <v>239.988</v>
      </c>
      <c r="H145" s="103" t="n">
        <f aca="false">H73/1.2</f>
        <v>87.2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87.2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15.06816</v>
      </c>
      <c r="B146" s="343" t="n">
        <f aca="false">G18*0.000002 *1.2*100</f>
        <v>5.02272</v>
      </c>
      <c r="C146" s="317"/>
      <c r="D146" s="343" t="n">
        <f aca="false">A146+B146</f>
        <v>20.09088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319</v>
      </c>
      <c r="B148" s="341" t="s">
        <v>53</v>
      </c>
      <c r="C148" s="38"/>
      <c r="D148" s="341" t="s">
        <v>283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1319.188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1279.19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322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323</v>
      </c>
      <c r="B153" s="317" t="s">
        <v>324</v>
      </c>
      <c r="C153" s="317"/>
      <c r="D153" s="317" t="s">
        <v>325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209.28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327</v>
      </c>
      <c r="B156" s="317" t="s">
        <v>321</v>
      </c>
      <c r="C156" s="317"/>
      <c r="D156" s="317" t="s">
        <v>318</v>
      </c>
      <c r="E156" s="318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309.27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328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326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82</v>
      </c>
      <c r="B165" s="251" t="s">
        <v>83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683.824122630093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683.824122630093</v>
      </c>
      <c r="B177" s="355" t="n">
        <f aca="false">IF(A111="YES", B95, 0)</f>
        <v>0</v>
      </c>
      <c r="C177" s="358"/>
      <c r="D177" s="355" t="n">
        <f aca="false">B91</f>
        <v>8136.96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683.824122630093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683.824122630093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683.824122630093</v>
      </c>
      <c r="B186" s="103" t="n">
        <f aca="false">IF(A111="YES", B95, 0)</f>
        <v>0</v>
      </c>
      <c r="C186" s="353"/>
      <c r="D186" s="103" t="n">
        <f aca="false">B97</f>
        <v>683.824122630093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G18*0.000002 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209.28</v>
      </c>
      <c r="B197" s="103" t="n">
        <f aca="false">B154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309.27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</v>
      </c>
      <c r="C209" s="321" t="s">
        <v>215</v>
      </c>
      <c r="D209" s="370" t="n">
        <f aca="false">D70</f>
        <v>1464.96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209.28</v>
      </c>
      <c r="C211" s="320" t="s">
        <v>217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1355.67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D70</f>
        <v>1464.96</v>
      </c>
      <c r="C217" s="375" t="s">
        <v>221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B73</f>
        <v>209.28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B84-(B84*(E219*100))</f>
        <v>0</v>
      </c>
      <c r="C223" s="336" t="s">
        <v>218</v>
      </c>
      <c r="D223" s="317"/>
      <c r="E223" s="33" t="n">
        <f aca="false">(B217-B211+D211)</f>
        <v>1355.67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B77</f>
        <v>200</v>
      </c>
      <c r="C229" s="336" t="s">
        <v>226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B74</f>
        <v>0.0075</v>
      </c>
      <c r="C231" s="336" t="s">
        <v>229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B92</f>
        <v>68.9294715611134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B85</f>
        <v>200</v>
      </c>
      <c r="C233" s="382" t="s">
        <v>333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B86</f>
        <v>200</v>
      </c>
      <c r="C235" s="386" t="s">
        <v>334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128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244</v>
      </c>
      <c r="H32" s="225" t="n">
        <f aca="false">A41</f>
        <v>0</v>
      </c>
      <c r="I32" s="0"/>
      <c r="J32" s="44" t="s">
        <v>37</v>
      </c>
      <c r="K32" s="263" t="s">
        <v>383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249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78</v>
      </c>
      <c r="H36" s="64" t="n">
        <v>0</v>
      </c>
      <c r="I36" s="0"/>
      <c r="J36" s="44" t="s">
        <v>51</v>
      </c>
      <c r="K36" s="52" t="n">
        <f aca="false">K32-K34</f>
        <v>16780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258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82</v>
      </c>
      <c r="B51" s="251" t="s">
        <v>83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84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85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86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87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88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89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90</v>
      </c>
      <c r="B65" s="65" t="n">
        <f aca="false">(B89*B59)-B53</f>
        <v>12935.7311569311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92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93</v>
      </c>
      <c r="B68" s="65" t="n">
        <f aca="false">(G158*B67)</f>
        <v>199.3875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94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95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97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98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99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100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101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103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104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105</v>
      </c>
      <c r="B81" s="27" t="n">
        <f aca="false">K36</f>
        <v>16780</v>
      </c>
      <c r="C81" s="93"/>
      <c r="D81" s="93"/>
      <c r="E81" s="113"/>
      <c r="F81" s="25" t="s">
        <v>105</v>
      </c>
      <c r="G81" s="27" t="n">
        <f aca="false">B81</f>
        <v>16780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106</v>
      </c>
      <c r="B82" s="33" t="n">
        <f aca="false">IF(A111="YES",D41,0)*1.2</f>
        <v>7200</v>
      </c>
      <c r="C82" s="93"/>
      <c r="D82" s="93"/>
      <c r="E82" s="113"/>
      <c r="F82" s="31" t="s">
        <v>106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107</v>
      </c>
      <c r="B83" s="91" t="n">
        <f aca="false">B62+B63+B64</f>
        <v>0.115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108</v>
      </c>
      <c r="B84" s="92" t="n">
        <f aca="false">B83/12</f>
        <v>0.00958333333333333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32</v>
      </c>
      <c r="C85" s="93"/>
      <c r="D85" s="93"/>
      <c r="E85" s="113"/>
      <c r="F85" s="31" t="s">
        <v>109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110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111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112</v>
      </c>
      <c r="B88" s="33" t="n">
        <f aca="false">B81-B86</f>
        <v>11524.1760889046</v>
      </c>
      <c r="C88" s="93" t="n">
        <f aca="false">B81-B86</f>
        <v>11524.1760889046</v>
      </c>
      <c r="D88" s="93"/>
      <c r="E88" s="113"/>
      <c r="F88" s="31" t="s">
        <v>112</v>
      </c>
      <c r="G88" s="33" t="n">
        <f aca="false">G81-G86</f>
        <v>11759.689207262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113</v>
      </c>
      <c r="B89" s="33" t="n">
        <f aca="false">(B88/B87)</f>
        <v>419.87796229046</v>
      </c>
      <c r="C89" s="93" t="n">
        <f aca="false">(B88/B87)</f>
        <v>419.87796229046</v>
      </c>
      <c r="D89" s="93"/>
      <c r="E89" s="113"/>
      <c r="F89" s="31" t="s">
        <v>113</v>
      </c>
      <c r="G89" s="33" t="n">
        <f aca="false">(G88/G87)</f>
        <v>401.250983270151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13436.0947932947</v>
      </c>
      <c r="C90" s="93"/>
      <c r="D90" s="93"/>
      <c r="E90" s="113"/>
      <c r="F90" s="31" t="s">
        <v>114</v>
      </c>
      <c r="G90" s="33" t="n">
        <f aca="false">((G89*(G85))+G77)</f>
        <v>12840.0314646448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116</v>
      </c>
      <c r="B92" s="65" t="n">
        <f aca="false">(B90+B91)</f>
        <v>13436.0947932947</v>
      </c>
      <c r="C92" s="93"/>
      <c r="D92" s="93"/>
      <c r="E92" s="113"/>
      <c r="F92" s="56" t="s">
        <v>116</v>
      </c>
      <c r="G92" s="65" t="n">
        <f aca="false">(G90+G91)</f>
        <v>12840.0314646448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117</v>
      </c>
      <c r="B94" s="94" t="str">
        <f aca="false">IF(B38="YES",((H36/B85)*(1+A108)),"0")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118</v>
      </c>
      <c r="B95" s="96" t="n">
        <f aca="false">B92/(B85)</f>
        <v>419.87796229046</v>
      </c>
      <c r="C95" s="93"/>
      <c r="D95" s="93"/>
      <c r="E95" s="113"/>
      <c r="F95" s="95" t="s">
        <v>118</v>
      </c>
      <c r="G95" s="96" t="n">
        <f aca="false">G92/(G85)</f>
        <v>401.250983270151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119</v>
      </c>
      <c r="B96" s="98" t="n">
        <f aca="false">B94+B95</f>
        <v>419.87796229046</v>
      </c>
      <c r="C96" s="93"/>
      <c r="D96" s="93"/>
      <c r="E96" s="113"/>
      <c r="F96" s="97" t="s">
        <v>119</v>
      </c>
      <c r="G96" s="98" t="n">
        <f aca="false">G94+G95</f>
        <v>401.250983270151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128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264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265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266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267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273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268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269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270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271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-13983.3333333333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419.87796229046</v>
      </c>
      <c r="B167" s="177" t="str">
        <f aca="false">B94</f>
        <v>0</v>
      </c>
      <c r="C167" s="174"/>
      <c r="D167" s="174"/>
      <c r="E167" s="177" t="n">
        <f aca="false">B96</f>
        <v>419.87796229046</v>
      </c>
      <c r="F167" s="23"/>
      <c r="G167" s="23" t="n">
        <f aca="false">ROUND(G95, 2)</f>
        <v>401.25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-631.905206705283</v>
      </c>
      <c r="B182" s="103" t="str">
        <f aca="false">B114</f>
        <v>199.99</v>
      </c>
      <c r="C182" s="103"/>
      <c r="D182" s="23"/>
      <c r="E182" s="103" t="n">
        <f aca="false">E179+A182+(B182*1.2)+A185</f>
        <v>20886.0827932947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4.1856</v>
      </c>
      <c r="B188" s="103" t="n">
        <f aca="false">(G158*B67)/1.2</f>
        <v>166.15625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266.14625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419.87796229046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-1228</v>
      </c>
      <c r="B201" s="186" t="n">
        <f aca="false">E179+A201+(B182*1.2)+A185</f>
        <v>20289.988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419.87796229046</v>
      </c>
      <c r="B212" s="177" t="str">
        <f aca="false">B167</f>
        <v>0</v>
      </c>
      <c r="C212" s="174"/>
      <c r="D212" s="174"/>
      <c r="E212" s="177" t="n">
        <f aca="false">E167</f>
        <v>419.87796229046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-631.905206705283</v>
      </c>
      <c r="B224" s="103" t="str">
        <f aca="false">B182</f>
        <v>199.99</v>
      </c>
      <c r="C224" s="103"/>
      <c r="D224" s="113"/>
      <c r="E224" s="103" t="n">
        <f aca="false">E182</f>
        <v>20886.0827932947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419.87796229046</v>
      </c>
      <c r="B230" s="103" t="str">
        <f aca="false">B167</f>
        <v>0</v>
      </c>
      <c r="C230" s="186"/>
      <c r="D230" s="186"/>
      <c r="E230" s="103" t="n">
        <f aca="false">E167</f>
        <v>419.87796229046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4.1856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166.15625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266.14625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B63</f>
        <v>0.065</v>
      </c>
      <c r="C253" s="197"/>
      <c r="D253" s="198" t="s">
        <v>214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606.094793294717</v>
      </c>
      <c r="C254" s="197"/>
      <c r="D254" s="198" t="s">
        <v>216</v>
      </c>
      <c r="E254" s="198"/>
      <c r="F254" s="200" t="n">
        <f aca="false">F261+F267+F269+B270+B271</f>
        <v>199.3875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506.697293294716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0.05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0.115</v>
      </c>
      <c r="C260" s="43"/>
      <c r="D260" s="166" t="s">
        <v>215</v>
      </c>
      <c r="E260" s="166"/>
      <c r="F260" s="146" t="n">
        <f aca="false">B254</f>
        <v>606.094793294717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0.009375</v>
      </c>
      <c r="C261" s="32"/>
      <c r="D261" s="166" t="s">
        <v>221</v>
      </c>
      <c r="E261" s="166"/>
      <c r="F261" s="151" t="n">
        <f aca="false">B68</f>
        <v>199.3875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506.697293294716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K10" s="1" t="s">
        <v>19</v>
      </c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 t="n">
        <v>0</v>
      </c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2625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502.420785873284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502.420785873284</v>
      </c>
      <c r="B36" s="232" t="str">
        <f aca="false">IF(B26="YES", K42, "0.00")</f>
        <v>0.00</v>
      </c>
      <c r="C36" s="232"/>
      <c r="D36" s="232"/>
      <c r="E36" s="232" t="n">
        <f aca="false">K31</f>
        <v>2625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27244.2751190162</v>
      </c>
      <c r="N39" s="1" t="n">
        <f aca="false">K39-L39</f>
        <v>-9464.27511901621</v>
      </c>
      <c r="P39" s="212"/>
    </row>
    <row r="40" customFormat="false" ht="17.35" hidden="false" customHeight="false" outlineLevel="0" collapsed="false">
      <c r="A40" s="107" t="n">
        <f aca="false">E36*A45/100</f>
        <v>2625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106</v>
      </c>
      <c r="K40" s="2" t="n">
        <f aca="false">(A40)/1.2</f>
        <v>2187.5</v>
      </c>
      <c r="L40" s="2" t="n">
        <f aca="false">K39-L39</f>
        <v>-9464.27511901621</v>
      </c>
      <c r="N40" s="1" t="n">
        <f aca="false">N38-N39</f>
        <v>12375.9551190162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1800.89824394696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367</v>
      </c>
      <c r="K45" s="2" t="n">
        <f aca="false">(K39-K44)</f>
        <v>15979.101756053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502.420785873284</v>
      </c>
      <c r="L47" s="2" t="n">
        <f aca="false">L49-K42</f>
        <v>800</v>
      </c>
      <c r="M47" s="1" t="n">
        <f aca="false">K47-L47</f>
        <v>-297.579214126716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502.420785873284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502.420785873284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4255.21456835915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32083.8609675936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979.963652203249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979.963652203249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173.540972222222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502.420785873284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502.420785873284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502.420785873284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502.420785873284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21268</v>
      </c>
      <c r="C81" s="93"/>
      <c r="D81" s="93"/>
      <c r="E81" s="113"/>
      <c r="F81" s="25" t="s">
        <v>105</v>
      </c>
      <c r="G81" s="27" t="n">
        <f aca="false">G158</f>
        <v>21268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17234.5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2625</v>
      </c>
      <c r="C82" s="93"/>
      <c r="D82" s="93"/>
      <c r="E82" s="113"/>
      <c r="F82" s="31" t="s">
        <v>106</v>
      </c>
      <c r="G82" s="33" t="n">
        <f aca="false">IF(A111="YES",A40,0)</f>
        <v>2625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2625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2625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1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2026.79443909484</v>
      </c>
      <c r="C86" s="93"/>
      <c r="D86" s="93"/>
      <c r="E86" s="113"/>
      <c r="F86" s="31" t="s">
        <v>110</v>
      </c>
      <c r="G86" s="33" t="n">
        <f aca="false">(G82/((1+G84)^(G85+1)))</f>
        <v>2172.78373132201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1795.11313178135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1795.11313178135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19241.2055609052</v>
      </c>
      <c r="C88" s="93"/>
      <c r="D88" s="93"/>
      <c r="E88" s="113"/>
      <c r="F88" s="31" t="s">
        <v>112</v>
      </c>
      <c r="G88" s="33" t="n">
        <f aca="false">G81-G86</f>
        <v>19095.216268678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15439.3868682187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15439.3868682187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642.351237468355</v>
      </c>
      <c r="C89" s="93"/>
      <c r="D89" s="93"/>
      <c r="E89" s="113"/>
      <c r="F89" s="31" t="s">
        <v>113</v>
      </c>
      <c r="G89" s="33" t="n">
        <f aca="false">(G88/G87)</f>
        <v>616.442141402771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546.020328169653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546.020328169653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21839.9420739241</v>
      </c>
      <c r="C90" s="93"/>
      <c r="D90" s="93"/>
      <c r="E90" s="113"/>
      <c r="F90" s="31" t="s">
        <v>114</v>
      </c>
      <c r="G90" s="33" t="n">
        <f aca="false">((G89*(G85))+G77)</f>
        <v>20959.0328076942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18564.6911577682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18564.6911577682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(((B89*(B85))+B77)/(1-B71))*B71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21839.9420739241</v>
      </c>
      <c r="C92" s="93"/>
      <c r="D92" s="93"/>
      <c r="E92" s="113"/>
      <c r="F92" s="56" t="s">
        <v>116</v>
      </c>
      <c r="G92" s="65" t="n">
        <f aca="false">(G90+G91)</f>
        <v>20959.0328076942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18564.6911577682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18564.6911577682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94" t="str">
        <f aca="false">IF(B26="YES",((E40/B85)*(1+A108)*(C45/100)),"0")</f>
        <v>0</v>
      </c>
      <c r="C94" s="93"/>
      <c r="D94" s="93"/>
      <c r="E94" s="113"/>
      <c r="F94" s="88" t="s">
        <v>117</v>
      </c>
      <c r="G94" s="94" t="str">
        <f aca="false">IF(B26="YES",((E40/B85)*(1+A108)*(C45/100)),"0")</f>
        <v>0</v>
      </c>
      <c r="H94" s="33"/>
      <c r="J94" s="88" t="s">
        <v>117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642.351237468355</v>
      </c>
      <c r="C95" s="93"/>
      <c r="D95" s="93"/>
      <c r="E95" s="113"/>
      <c r="F95" s="95" t="s">
        <v>118</v>
      </c>
      <c r="G95" s="96" t="n">
        <f aca="false">G92/(G85)</f>
        <v>616.442141402771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546.020328169653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546.020328169653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B94+B95</f>
        <v>642.351237468355</v>
      </c>
      <c r="C96" s="93"/>
      <c r="D96" s="93"/>
      <c r="E96" s="113"/>
      <c r="F96" s="97" t="s">
        <v>119</v>
      </c>
      <c r="G96" s="98" t="n">
        <f aca="false">G94+G95</f>
        <v>616.442141402771</v>
      </c>
      <c r="H96" s="33"/>
      <c r="J96" s="97" t="s">
        <v>119</v>
      </c>
      <c r="K96" s="98" t="n">
        <f aca="false">(K94+K95)</f>
        <v>1460.84083744584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546.020328169653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546.020328169653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120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451" t="s">
        <v>19</v>
      </c>
      <c r="F105" s="451"/>
      <c r="G105" s="451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 t="n">
        <v>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236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(U121*U122)+U123</f>
        <v>4186.25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12558.75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12558.75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2650.75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16234.5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16234.5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-17723.3333333333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-5033.5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21268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17234.5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642.351237468355</v>
      </c>
      <c r="B167" s="177" t="str">
        <f aca="false">B94</f>
        <v>0</v>
      </c>
      <c r="C167" s="174"/>
      <c r="D167" s="174"/>
      <c r="E167" s="177" t="n">
        <f aca="false">B96</f>
        <v>642.351237468355</v>
      </c>
      <c r="F167" s="23"/>
      <c r="G167" s="23" t="n">
        <f aca="false">ROUND(G95, 2)</f>
        <v>616.44</v>
      </c>
      <c r="H167" s="33"/>
      <c r="J167" s="176" t="n">
        <f aca="false">K95</f>
        <v>1460.84083744584</v>
      </c>
      <c r="K167" s="177" t="n">
        <f aca="false">K94</f>
        <v>0</v>
      </c>
      <c r="L167" s="174"/>
      <c r="M167" s="174"/>
      <c r="N167" s="177" t="n">
        <f aca="false">K96</f>
        <v>1460.84083744584</v>
      </c>
      <c r="O167" s="23"/>
      <c r="P167" s="23"/>
      <c r="Q167" s="33"/>
      <c r="S167" s="176" t="n">
        <f aca="false">T95</f>
        <v>546.020328169653</v>
      </c>
      <c r="T167" s="177" t="n">
        <f aca="false">T94</f>
        <v>0</v>
      </c>
      <c r="U167" s="174"/>
      <c r="V167" s="174"/>
      <c r="W167" s="177" t="n">
        <f aca="false">T96</f>
        <v>546.020328169653</v>
      </c>
      <c r="X167" s="23"/>
      <c r="Y167" s="23"/>
      <c r="Z167" s="33"/>
      <c r="AB167" s="176" t="n">
        <f aca="false">AC95</f>
        <v>546.020328169653</v>
      </c>
      <c r="AC167" s="177" t="n">
        <f aca="false">AC94</f>
        <v>0</v>
      </c>
      <c r="AD167" s="174"/>
      <c r="AE167" s="174"/>
      <c r="AF167" s="177" t="n">
        <f aca="false">AC96</f>
        <v>546.020328169653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2625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2625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2625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2625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13253.75</v>
      </c>
      <c r="T173" s="103" t="n">
        <f aca="false">Z137</f>
        <v>2650.75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16234.5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21268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17234.5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3196.94207392408</v>
      </c>
      <c r="B182" s="103" t="str">
        <f aca="false">B114</f>
        <v>199.99</v>
      </c>
      <c r="C182" s="103"/>
      <c r="D182" s="23"/>
      <c r="E182" s="103" t="n">
        <f aca="false">E179+A182+(B182*1.2)+A185</f>
        <v>24714.9300739241</v>
      </c>
      <c r="F182" s="23"/>
      <c r="G182" s="23"/>
      <c r="H182" s="105"/>
      <c r="J182" s="111" t="n">
        <f aca="false">(J167*K59)+N185-N179-J185</f>
        <v>15774.5844731586</v>
      </c>
      <c r="K182" s="103" t="n">
        <f aca="false">K114</f>
        <v>239.99</v>
      </c>
      <c r="L182" s="103"/>
      <c r="M182" s="23"/>
      <c r="N182" s="103" t="n">
        <f aca="false">N179+J182+K182+J185</f>
        <v>52553.5784731586</v>
      </c>
      <c r="O182" s="23"/>
      <c r="P182" s="23"/>
      <c r="Q182" s="105"/>
      <c r="S182" s="111" t="n">
        <f aca="false">(S167*T59)+W185-W179-S185</f>
        <v>3955.19115776819</v>
      </c>
      <c r="T182" s="103" t="n">
        <f aca="false">T114</f>
        <v>199.99</v>
      </c>
      <c r="U182" s="103"/>
      <c r="V182" s="23"/>
      <c r="W182" s="103" t="n">
        <f aca="false">W179+S182+T182+S185</f>
        <v>21399.6811577682</v>
      </c>
      <c r="X182" s="23"/>
      <c r="Y182" s="23"/>
      <c r="Z182" s="105"/>
      <c r="AB182" s="111" t="n">
        <f aca="false">(AB167*AC59)+AF185-AF179-AB185</f>
        <v>3955.19115776819</v>
      </c>
      <c r="AC182" s="103" t="n">
        <f aca="false">AC114</f>
        <v>239.99</v>
      </c>
      <c r="AD182" s="103"/>
      <c r="AE182" s="23"/>
      <c r="AF182" s="103" t="n">
        <f aca="false">AF179+AB182+AC182+AB185</f>
        <v>21439.6811577682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2635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2645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2635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2635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173.540972222222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140.628732638889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273.530972222222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3390.72722569444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1240.61873263889</v>
      </c>
      <c r="U191" s="93"/>
      <c r="V191" s="93"/>
      <c r="W191" s="103" t="n">
        <f aca="false">Z148</f>
        <v>-5033.5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1280.61873263889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642.351237468355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1460.84083744584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546.020328169653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546.020328169653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2315.96</v>
      </c>
      <c r="B201" s="186" t="n">
        <f aca="false">E179+A201+(B182*1.2)+A185</f>
        <v>23833.948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642.351237468355</v>
      </c>
      <c r="B212" s="177" t="str">
        <f aca="false">B167</f>
        <v>0</v>
      </c>
      <c r="C212" s="174"/>
      <c r="D212" s="174"/>
      <c r="E212" s="177" t="n">
        <f aca="false">E167</f>
        <v>642.351237468355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21268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3196.94207392408</v>
      </c>
      <c r="B224" s="103" t="str">
        <f aca="false">B182</f>
        <v>199.99</v>
      </c>
      <c r="C224" s="103"/>
      <c r="D224" s="113"/>
      <c r="E224" s="103" t="n">
        <f aca="false">E182</f>
        <v>24714.9300739241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642.351237468355</v>
      </c>
      <c r="B230" s="103" t="str">
        <f aca="false">B167</f>
        <v>0</v>
      </c>
      <c r="C230" s="186"/>
      <c r="D230" s="186"/>
      <c r="E230" s="103" t="n">
        <f aca="false">E167</f>
        <v>642.351237468355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2625</v>
      </c>
      <c r="B233" s="103" t="n">
        <f aca="false">E185</f>
        <v>2635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173.540972222222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273.530972222222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890.982073924082</v>
      </c>
      <c r="C254" s="197"/>
      <c r="D254" s="198" t="s">
        <v>216</v>
      </c>
      <c r="E254" s="198"/>
      <c r="F254" s="200" t="n">
        <f aca="false">F261+F267+F269+B270+B271</f>
        <v>208.249166666667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99.99</v>
      </c>
      <c r="C255" s="197"/>
      <c r="D255" s="198" t="s">
        <v>218</v>
      </c>
      <c r="E255" s="198"/>
      <c r="F255" s="200" t="n">
        <f aca="false">(B254-F254)+B255</f>
        <v>782.722907257416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890.982073924082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208.249166666667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782.722907257416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34</v>
      </c>
      <c r="P29" s="212"/>
    </row>
    <row r="30" customFormat="false" ht="17.9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3382</v>
      </c>
      <c r="P32" s="212"/>
    </row>
    <row r="33" customFormat="false" ht="34.8" hidden="false" customHeight="false" outlineLevel="0" collapsed="false">
      <c r="A33" s="179" t="n">
        <f aca="false">A52</f>
        <v>34</v>
      </c>
      <c r="B33" s="232" t="n">
        <f aca="false">B51</f>
        <v>35000</v>
      </c>
      <c r="C33" s="93"/>
      <c r="D33" s="93"/>
      <c r="E33" s="232" t="n">
        <f aca="false">K48</f>
        <v>598.851262636909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573.983615578085</v>
      </c>
      <c r="B36" s="232" t="n">
        <f aca="false">IF(B26="YES", K42, "0.00")</f>
        <v>24.8676470588235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34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24010.8826476062</v>
      </c>
      <c r="N39" s="1" t="n">
        <f aca="false">K39-L39</f>
        <v>-6230.8826476062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n">
        <f aca="false">IF(B26="YES", K42, "0.00")</f>
        <v>24.8676470588235</v>
      </c>
      <c r="C40" s="107"/>
      <c r="D40" s="107"/>
      <c r="E40" s="182" t="n">
        <f aca="false">K32</f>
        <v>3382</v>
      </c>
      <c r="F40" s="186"/>
      <c r="G40" s="186"/>
      <c r="H40" s="47"/>
      <c r="J40" s="2" t="s">
        <v>106</v>
      </c>
      <c r="K40" s="2" t="n">
        <f aca="false">(A40)/1.2</f>
        <v>0</v>
      </c>
      <c r="L40" s="2" t="n">
        <f aca="false">K39-L39</f>
        <v>-6230.8826476062</v>
      </c>
      <c r="N40" s="1" t="n">
        <f aca="false">N38-N39</f>
        <v>9142.5626476062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24.8676470588235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505" t="n">
        <v>30</v>
      </c>
      <c r="B45" s="93"/>
      <c r="C45" s="506" t="n">
        <v>25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17780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30.9764939580949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573.983615578085</v>
      </c>
      <c r="L47" s="2" t="n">
        <f aca="false">L49-K42</f>
        <v>775.132352941176</v>
      </c>
      <c r="M47" s="1" t="n">
        <f aca="false">K47-L47</f>
        <v>-201.148737363091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598.851262636909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34</v>
      </c>
      <c r="B52" s="74" t="n">
        <f aca="false">K48</f>
        <v>598.851262636909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33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33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33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33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1160.82829250472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29676.2471821201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7051.85981689834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1102.30852734547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0.00958333333333333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0.0729166666666667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0.00958333333333333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0.00958333333333333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149.883333333333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1526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200.56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165.163958333333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573.983615578085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573.983615578085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598.851262636909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598.851262636909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18768</v>
      </c>
      <c r="C81" s="93"/>
      <c r="D81" s="93"/>
      <c r="E81" s="113"/>
      <c r="F81" s="25" t="s">
        <v>105</v>
      </c>
      <c r="G81" s="27" t="n">
        <f aca="false">G158</f>
        <v>18768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 = "YES", A40, 0)</f>
        <v>0</v>
      </c>
      <c r="C82" s="93"/>
      <c r="D82" s="93"/>
      <c r="E82" s="113"/>
      <c r="F82" s="31" t="s">
        <v>106</v>
      </c>
      <c r="G82" s="33" t="n">
        <f aca="false">IF(A111 = "Yes", A40, 0)</f>
        <v>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34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33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33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0</v>
      </c>
      <c r="C86" s="93"/>
      <c r="D86" s="93"/>
      <c r="E86" s="113"/>
      <c r="F86" s="31" t="s">
        <v>110</v>
      </c>
      <c r="G86" s="33" t="n">
        <f aca="false">(G82/((1+G84)^(G85+1)))</f>
        <v>0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24.4985917186759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27.5848945597264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27.5848945597264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18768</v>
      </c>
      <c r="C88" s="93"/>
      <c r="D88" s="93"/>
      <c r="E88" s="113"/>
      <c r="F88" s="31" t="s">
        <v>112</v>
      </c>
      <c r="G88" s="33" t="n">
        <f aca="false">G81-G86</f>
        <v>18768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22207.765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17234.5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626.553673398776</v>
      </c>
      <c r="C89" s="93"/>
      <c r="D89" s="93"/>
      <c r="E89" s="113"/>
      <c r="F89" s="31" t="s">
        <v>113</v>
      </c>
      <c r="G89" s="33" t="n">
        <f aca="false">(G88/G87)</f>
        <v>605.87876811977</v>
      </c>
      <c r="H89" s="33"/>
      <c r="J89" s="31" t="s">
        <v>113</v>
      </c>
      <c r="K89" s="33" t="n">
        <f aca="false">(K88/K87)</f>
        <v>1490.65727611439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805.069780198583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624.78034718183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21302.8248955584</v>
      </c>
      <c r="C90" s="93"/>
      <c r="D90" s="93"/>
      <c r="E90" s="113"/>
      <c r="F90" s="31" t="s">
        <v>114</v>
      </c>
      <c r="G90" s="33" t="n">
        <f aca="false">((G89*(G85))+G77)</f>
        <v>20599.8781160722</v>
      </c>
      <c r="H90" s="33"/>
      <c r="J90" s="31" t="s">
        <v>114</v>
      </c>
      <c r="K90" s="33" t="n">
        <f aca="false">((K89*(K85))+K77)</f>
        <v>50682.3473878894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26567.3027465532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20617.7514570004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21302.8248955584</v>
      </c>
      <c r="C92" s="93"/>
      <c r="D92" s="93"/>
      <c r="E92" s="113"/>
      <c r="F92" s="56" t="s">
        <v>116</v>
      </c>
      <c r="G92" s="65" t="n">
        <f aca="false">(G90+G91)</f>
        <v>20599.8781160722</v>
      </c>
      <c r="H92" s="33"/>
      <c r="J92" s="56" t="s">
        <v>116</v>
      </c>
      <c r="K92" s="65" t="n">
        <f aca="false">(K90+K91)</f>
        <v>50682.3473878894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26567.3027465532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20617.7514570004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35.8094117647059</v>
      </c>
      <c r="C94" s="93"/>
      <c r="D94" s="93"/>
      <c r="E94" s="113"/>
      <c r="F94" s="88" t="s">
        <v>117</v>
      </c>
      <c r="G94" s="94" t="n">
        <f aca="false">IF(B26="YES",((E40/B85)*(1+A108)*(C45/100)),"0")</f>
        <v>29.8411764705882</v>
      </c>
      <c r="H94" s="33"/>
      <c r="J94" s="88" t="s">
        <v>117</v>
      </c>
      <c r="K94" s="89" t="n">
        <f aca="false">((E40/K85)*(1+J108))*1.2</f>
        <v>155.174117647059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122.981818181818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147.578181818182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626.553673398776</v>
      </c>
      <c r="C95" s="93"/>
      <c r="D95" s="93"/>
      <c r="E95" s="113"/>
      <c r="F95" s="95" t="s">
        <v>118</v>
      </c>
      <c r="G95" s="96" t="n">
        <f aca="false">G92/(G85)</f>
        <v>605.87876811977</v>
      </c>
      <c r="H95" s="33"/>
      <c r="J95" s="95" t="s">
        <v>118</v>
      </c>
      <c r="K95" s="96" t="n">
        <f aca="false">K92/(K85)</f>
        <v>1490.65727611439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805.069780198583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624.78034718183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662.363085163482</v>
      </c>
      <c r="C96" s="93"/>
      <c r="D96" s="93"/>
      <c r="E96" s="113"/>
      <c r="F96" s="97" t="s">
        <v>119</v>
      </c>
      <c r="G96" s="98" t="n">
        <f aca="false">G94+G95</f>
        <v>635.719944590358</v>
      </c>
      <c r="H96" s="33"/>
      <c r="J96" s="97" t="s">
        <v>119</v>
      </c>
      <c r="K96" s="98" t="n">
        <f aca="false">(K94+K95)</f>
        <v>1645.83139376145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928.051598380401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772.358529000011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121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16745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16745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3488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21268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21268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-15640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18768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626.553673398776</v>
      </c>
      <c r="B167" s="177" t="n">
        <f aca="false">B94</f>
        <v>35.8094117647059</v>
      </c>
      <c r="C167" s="174"/>
      <c r="D167" s="174"/>
      <c r="E167" s="177" t="n">
        <f aca="false">B96</f>
        <v>662.363085163482</v>
      </c>
      <c r="F167" s="23"/>
      <c r="G167" s="23" t="n">
        <f aca="false">ROUND(G95, 2)</f>
        <v>605.88</v>
      </c>
      <c r="H167" s="33"/>
      <c r="J167" s="176" t="n">
        <f aca="false">K95</f>
        <v>1490.65727611439</v>
      </c>
      <c r="K167" s="177" t="n">
        <f aca="false">K94</f>
        <v>155.174117647059</v>
      </c>
      <c r="L167" s="174"/>
      <c r="M167" s="174"/>
      <c r="N167" s="177" t="n">
        <f aca="false">K96</f>
        <v>1645.83139376145</v>
      </c>
      <c r="O167" s="23"/>
      <c r="P167" s="23"/>
      <c r="Q167" s="33"/>
      <c r="S167" s="176" t="n">
        <f aca="false">T95</f>
        <v>805.069780198583</v>
      </c>
      <c r="T167" s="177" t="n">
        <f aca="false">T94</f>
        <v>122.981818181818</v>
      </c>
      <c r="U167" s="174"/>
      <c r="V167" s="174"/>
      <c r="W167" s="177" t="n">
        <f aca="false">T96</f>
        <v>928.051598380401</v>
      </c>
      <c r="X167" s="23"/>
      <c r="Y167" s="23"/>
      <c r="Z167" s="33"/>
      <c r="AB167" s="176" t="n">
        <f aca="false">AC95</f>
        <v>624.78034718183</v>
      </c>
      <c r="AC167" s="177" t="n">
        <f aca="false">AC94</f>
        <v>147.578181818182</v>
      </c>
      <c r="AD167" s="174"/>
      <c r="AE167" s="174"/>
      <c r="AF167" s="177" t="n">
        <f aca="false">AC96</f>
        <v>772.358529000011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34</v>
      </c>
      <c r="B170" s="229" t="n">
        <f aca="false">K30</f>
        <v>35000</v>
      </c>
      <c r="C170" s="181"/>
      <c r="D170" s="23"/>
      <c r="E170" s="182" t="n">
        <f aca="false">IF(A111="YES", A40, 0)</f>
        <v>0</v>
      </c>
      <c r="F170" s="23"/>
      <c r="G170" s="23"/>
      <c r="H170" s="33"/>
      <c r="J170" s="179" t="n">
        <f aca="false">K29</f>
        <v>34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34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34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17440</v>
      </c>
      <c r="B173" s="103" t="n">
        <f aca="false">H137</f>
        <v>3488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21268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18768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2570.6343073231</v>
      </c>
      <c r="B182" s="103" t="str">
        <f aca="false">B114</f>
        <v>239.99</v>
      </c>
      <c r="C182" s="103"/>
      <c r="D182" s="23"/>
      <c r="E182" s="103" t="n">
        <f aca="false">E179+A182+B182+A185</f>
        <v>21588.6243073231</v>
      </c>
      <c r="F182" s="23"/>
      <c r="G182" s="23"/>
      <c r="H182" s="105"/>
      <c r="J182" s="111" t="n">
        <f aca="false">(J167*K59)+N185-N179-J185</f>
        <v>12672.686111775</v>
      </c>
      <c r="K182" s="103" t="n">
        <f aca="false">K114</f>
        <v>239.99</v>
      </c>
      <c r="L182" s="103"/>
      <c r="M182" s="23"/>
      <c r="N182" s="103" t="n">
        <f aca="false">N179+J182+K182+J185</f>
        <v>49451.680111775</v>
      </c>
      <c r="O182" s="23"/>
      <c r="P182" s="23"/>
      <c r="Q182" s="105"/>
      <c r="S182" s="111" t="n">
        <f aca="false">(S167*T59)+W185-W179-S185</f>
        <v>4359.53774655324</v>
      </c>
      <c r="T182" s="103" t="n">
        <f aca="false">T114</f>
        <v>199.99</v>
      </c>
      <c r="U182" s="103"/>
      <c r="V182" s="23"/>
      <c r="W182" s="103" t="n">
        <f aca="false">W179+S182+T182+S185</f>
        <v>26777.2927465532</v>
      </c>
      <c r="X182" s="23"/>
      <c r="Y182" s="23"/>
      <c r="Z182" s="105"/>
      <c r="AB182" s="111" t="n">
        <f aca="false">(AB167*AC59)+AF185-AF179-AB185</f>
        <v>3383.25145700037</v>
      </c>
      <c r="AC182" s="103" t="n">
        <f aca="false">AC114</f>
        <v>239.99</v>
      </c>
      <c r="AD182" s="103"/>
      <c r="AE182" s="23"/>
      <c r="AF182" s="103" t="n">
        <f aca="false">AF179+AB182+AC182+AB185</f>
        <v>20867.7414570004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672.363085163482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5.02272</v>
      </c>
      <c r="B188" s="103" t="n">
        <f aca="false">B68</f>
        <v>149.883333333333</v>
      </c>
      <c r="C188" s="93"/>
      <c r="D188" s="93"/>
      <c r="E188" s="103" t="n">
        <f aca="false">(E40*A108)*0.1*(C45/100)</f>
        <v>16.91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2219.03670138889</v>
      </c>
      <c r="L188" s="93"/>
      <c r="M188" s="93"/>
      <c r="N188" s="103" t="n">
        <f aca="false">(E40*J108)*0.1</f>
        <v>101.46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177.353678819444</v>
      </c>
      <c r="U188" s="93"/>
      <c r="V188" s="93"/>
      <c r="W188" s="103" t="n">
        <f aca="false">(E40*S108)*0.1</f>
        <v>67.64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137.636631944444</v>
      </c>
      <c r="AD188" s="93"/>
      <c r="AE188" s="93"/>
      <c r="AF188" s="103" t="n">
        <f aca="false">(E40*AB108)*0.1</f>
        <v>67.64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266.785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3460.48670138889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1344.98367881944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1345.26663194444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34</v>
      </c>
      <c r="B197" s="74" t="n">
        <f aca="false">B96</f>
        <v>662.363085163482</v>
      </c>
      <c r="C197" s="74"/>
      <c r="D197" s="74"/>
      <c r="E197" s="23"/>
      <c r="F197" s="23"/>
      <c r="G197" s="23"/>
      <c r="H197" s="33"/>
      <c r="J197" s="73" t="n">
        <f aca="false">K29</f>
        <v>34</v>
      </c>
      <c r="K197" s="74" t="n">
        <f aca="false">K96</f>
        <v>1645.83139376145</v>
      </c>
      <c r="L197" s="74"/>
      <c r="M197" s="74"/>
      <c r="N197" s="23"/>
      <c r="O197" s="23"/>
      <c r="P197" s="23"/>
      <c r="Q197" s="33"/>
      <c r="S197" s="73" t="n">
        <f aca="false">K29</f>
        <v>34</v>
      </c>
      <c r="T197" s="74" t="n">
        <f aca="false">T96</f>
        <v>928.051598380401</v>
      </c>
      <c r="U197" s="74"/>
      <c r="V197" s="74"/>
      <c r="W197" s="23"/>
      <c r="X197" s="23"/>
      <c r="Y197" s="23"/>
      <c r="Z197" s="33"/>
      <c r="AB197" s="73" t="n">
        <f aca="false">K29</f>
        <v>34</v>
      </c>
      <c r="AC197" s="74" t="n">
        <f aca="false">AC96</f>
        <v>772.358529000011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1888.40308516348</v>
      </c>
      <c r="B201" s="186" t="n">
        <f aca="false">E179+A201+B182+A185</f>
        <v>20906.3930851635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274</v>
      </c>
      <c r="B209" s="174" t="n">
        <f aca="false">A197</f>
        <v>34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626.553673398776</v>
      </c>
      <c r="B212" s="177" t="n">
        <f aca="false">B167</f>
        <v>35.8094117647059</v>
      </c>
      <c r="C212" s="174"/>
      <c r="D212" s="174"/>
      <c r="E212" s="177" t="n">
        <f aca="false">E167</f>
        <v>662.363085163482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17440</v>
      </c>
      <c r="B215" s="103" t="n">
        <f aca="false">B173</f>
        <v>3488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21268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18768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2570.6343073231</v>
      </c>
      <c r="B224" s="103" t="str">
        <f aca="false">B182</f>
        <v>239.99</v>
      </c>
      <c r="C224" s="103"/>
      <c r="D224" s="113"/>
      <c r="E224" s="103" t="n">
        <f aca="false">E182</f>
        <v>21588.6243073231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33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626.553673398776</v>
      </c>
      <c r="B230" s="103" t="n">
        <f aca="false">B167</f>
        <v>35.8094117647059</v>
      </c>
      <c r="C230" s="186"/>
      <c r="D230" s="186"/>
      <c r="E230" s="103" t="n">
        <f aca="false">E167</f>
        <v>662.363085163482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186</v>
      </c>
      <c r="B232" s="93" t="s">
        <v>208</v>
      </c>
      <c r="C232" s="93"/>
      <c r="D232" s="93"/>
      <c r="E232" s="93" t="s">
        <v>209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672.363085163482</v>
      </c>
      <c r="C233" s="93"/>
      <c r="D233" s="93"/>
      <c r="E233" s="103" t="n">
        <f aca="false">A188</f>
        <v>5.02272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130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149.883333333333</v>
      </c>
      <c r="C240" s="93"/>
      <c r="D240" s="93"/>
      <c r="E240" s="103" t="n">
        <f aca="false">E188</f>
        <v>16.91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266.785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692.231222159619</v>
      </c>
      <c r="C254" s="197"/>
      <c r="D254" s="198" t="s">
        <v>216</v>
      </c>
      <c r="E254" s="198"/>
      <c r="F254" s="200" t="n">
        <f aca="false">F261+F267+F269+B270+B271</f>
        <v>179.86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269.091666666667</v>
      </c>
      <c r="C255" s="197"/>
      <c r="D255" s="198" t="s">
        <v>218</v>
      </c>
      <c r="E255" s="198"/>
      <c r="F255" s="200" t="n">
        <f aca="false">(B254-F254)+B255</f>
        <v>781.462888826285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692.231222159619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0.00958333333333333</v>
      </c>
      <c r="C261" s="32"/>
      <c r="D261" s="166" t="s">
        <v>221</v>
      </c>
      <c r="E261" s="166"/>
      <c r="F261" s="151" t="n">
        <f aca="false">B68*1.2</f>
        <v>179.86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169.1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781.462888826285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19575</v>
      </c>
      <c r="C3" s="441" t="n">
        <v>0</v>
      </c>
      <c r="D3" s="441" t="n">
        <v>0</v>
      </c>
      <c r="E3" s="441"/>
      <c r="F3" s="441" t="n">
        <v>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</v>
      </c>
      <c r="C4" s="124" t="n">
        <v>0</v>
      </c>
      <c r="D4" s="124" t="n">
        <v>0</v>
      </c>
      <c r="E4" s="124"/>
      <c r="F4" s="124" t="n">
        <v>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</v>
      </c>
      <c r="C5" s="441" t="n">
        <v>0</v>
      </c>
      <c r="D5" s="441" t="n">
        <v>0</v>
      </c>
      <c r="E5" s="441"/>
      <c r="F5" s="441" t="n">
        <v>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19575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19575</v>
      </c>
      <c r="F9" s="152"/>
      <c r="G9" s="136"/>
      <c r="H9" s="443" t="n">
        <f aca="false">B7+D7+F7+H3</f>
        <v>19575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550</v>
      </c>
      <c r="F10" s="154"/>
      <c r="G10" s="155"/>
      <c r="H10" s="442" t="n">
        <v>695</v>
      </c>
      <c r="I10" s="2"/>
      <c r="J10" s="2"/>
      <c r="L10" s="16" t="s">
        <v>1</v>
      </c>
      <c r="M10" s="14" t="n">
        <f aca="false">H15-H11-M8</f>
        <v>20270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4054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555</v>
      </c>
      <c r="F13" s="154"/>
      <c r="G13" s="155"/>
      <c r="H13" s="442" t="n">
        <v>275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24664</v>
      </c>
      <c r="I15" s="2"/>
      <c r="J15" s="17" t="n">
        <f aca="false">H15</f>
        <v>24664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0</v>
      </c>
      <c r="F16" s="154"/>
      <c r="G16" s="155"/>
      <c r="H16" s="442" t="n">
        <v>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24324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24664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126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</v>
      </c>
      <c r="P29" s="212"/>
    </row>
    <row r="30" customFormat="false" ht="17.35" hidden="false" customHeight="false" outlineLevel="0" collapsed="false">
      <c r="A30" s="31" t="s">
        <v>181</v>
      </c>
      <c r="B30" s="104" t="s">
        <v>349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2136</v>
      </c>
      <c r="P31" s="212"/>
    </row>
    <row r="32" customFormat="false" ht="33.25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2388.75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670.20102138479</v>
      </c>
      <c r="F33" s="232"/>
      <c r="G33" s="232"/>
      <c r="H33" s="47"/>
      <c r="I33" s="2"/>
      <c r="J33" s="34" t="s">
        <v>356</v>
      </c>
      <c r="K33" s="48" t="n">
        <f aca="false">H21-H11+(H16*20%)</f>
        <v>20610</v>
      </c>
      <c r="L33" s="1" t="n">
        <f aca="false">H21-H11+(H16*20%)</f>
        <v>20610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601.95102138479</v>
      </c>
      <c r="B36" s="232" t="n">
        <f aca="false">IF(B26="YES", K42, "0.00")</f>
        <v>68.25</v>
      </c>
      <c r="C36" s="232"/>
      <c r="D36" s="232"/>
      <c r="E36" s="232" t="n">
        <f aca="false">K31</f>
        <v>2136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20610</v>
      </c>
      <c r="L39" s="2" t="n">
        <f aca="false">(L47*K46)+K44</f>
        <v>24738.1554136323</v>
      </c>
      <c r="N39" s="1" t="n">
        <f aca="false">K39-L39</f>
        <v>-4128.15541363232</v>
      </c>
      <c r="P39" s="212"/>
    </row>
    <row r="40" customFormat="false" ht="17.35" hidden="false" customHeight="false" outlineLevel="0" collapsed="false">
      <c r="A40" s="313" t="n">
        <f aca="false">E36*A45/100</f>
        <v>2136</v>
      </c>
      <c r="B40" s="107" t="n">
        <f aca="false">IF(B26="YES", K42, "0.00")</f>
        <v>68.25</v>
      </c>
      <c r="C40" s="107"/>
      <c r="D40" s="107"/>
      <c r="E40" s="182" t="n">
        <f aca="false">K32</f>
        <v>2388.75</v>
      </c>
      <c r="F40" s="186"/>
      <c r="G40" s="186"/>
      <c r="H40" s="47"/>
      <c r="J40" s="2" t="s">
        <v>106</v>
      </c>
      <c r="K40" s="2" t="n">
        <f aca="false">(A40)/1.2</f>
        <v>1780</v>
      </c>
      <c r="L40" s="2" t="n">
        <f aca="false">K39-L39</f>
        <v>-4128.15541363232</v>
      </c>
      <c r="N40" s="1" t="n">
        <f aca="false">N38-N39</f>
        <v>7039.83541363232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68.25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1465.41662821741</v>
      </c>
      <c r="L44" s="2"/>
      <c r="P44" s="212"/>
    </row>
    <row r="45" customFormat="false" ht="17.35" hidden="false" customHeight="false" outlineLevel="0" collapsed="false">
      <c r="A45" s="507" t="n">
        <v>100</v>
      </c>
      <c r="B45" s="93"/>
      <c r="C45" s="506" t="n">
        <v>100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19144.5833717826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601.95102138479</v>
      </c>
      <c r="L47" s="2" t="n">
        <f aca="false">L49-K42</f>
        <v>731.75</v>
      </c>
      <c r="M47" s="1" t="n">
        <f aca="false">K47-L47</f>
        <v>-129.79897861521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670.20102138479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670.20102138479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24324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24324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24324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24324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5054.88035687225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28600.3027246909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7951.69827886258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961.07499459698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201.251388888889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1798.9625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238.1725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193.693854166667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601.95102138479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601.95102138479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670.20102138479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670.20102138479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24664</v>
      </c>
      <c r="C81" s="93"/>
      <c r="D81" s="93"/>
      <c r="E81" s="113"/>
      <c r="F81" s="25" t="s">
        <v>105</v>
      </c>
      <c r="G81" s="27" t="n">
        <f aca="false">G158</f>
        <v>24664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25595.275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19781.5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A40</f>
        <v>2136</v>
      </c>
      <c r="C82" s="93"/>
      <c r="D82" s="93"/>
      <c r="E82" s="113"/>
      <c r="F82" s="31" t="s">
        <v>106</v>
      </c>
      <c r="G82" s="33" t="n">
        <f aca="false">IF(A111 = "Yes", A40, 0)</f>
        <v>2136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2136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2136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1649.23158929774</v>
      </c>
      <c r="C86" s="93"/>
      <c r="D86" s="93"/>
      <c r="E86" s="113"/>
      <c r="F86" s="31" t="s">
        <v>110</v>
      </c>
      <c r="G86" s="33" t="n">
        <f aca="false">(G82/((1+G84)^(G85+1)))</f>
        <v>1768.02516194431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1460.70919980379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1460.70919980379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23014.7684107023</v>
      </c>
      <c r="C88" s="93"/>
      <c r="D88" s="93"/>
      <c r="E88" s="113"/>
      <c r="F88" s="31" t="s">
        <v>112</v>
      </c>
      <c r="G88" s="33" t="n">
        <f aca="false">G81-G86</f>
        <v>22895.9748380557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24134.5658001962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18320.7908001962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768.328414862938</v>
      </c>
      <c r="C89" s="93"/>
      <c r="D89" s="93"/>
      <c r="E89" s="113"/>
      <c r="F89" s="31" t="s">
        <v>113</v>
      </c>
      <c r="G89" s="33" t="n">
        <f aca="false">(G88/G87)</f>
        <v>739.140293573232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853.5289419803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647.922374796018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26123.1661053399</v>
      </c>
      <c r="C90" s="93"/>
      <c r="D90" s="93"/>
      <c r="E90" s="113"/>
      <c r="F90" s="31" t="s">
        <v>114</v>
      </c>
      <c r="G90" s="33" t="n">
        <f aca="false">((G89*(G85))+G77)</f>
        <v>25130.7699814899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29019.9840273302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22029.3607430646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26123.1661053399</v>
      </c>
      <c r="C92" s="93"/>
      <c r="D92" s="93"/>
      <c r="E92" s="113"/>
      <c r="F92" s="56" t="s">
        <v>116</v>
      </c>
      <c r="G92" s="65" t="n">
        <f aca="false">(G90+G91)</f>
        <v>25130.7699814899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29019.9840273302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22029.3607430646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IF(B26="YES",((E40/B85)*(1+A108)*1.2*(C45/100)),"0")</f>
        <v>101.170588235294</v>
      </c>
      <c r="C94" s="93"/>
      <c r="D94" s="93"/>
      <c r="E94" s="113"/>
      <c r="F94" s="88" t="s">
        <v>117</v>
      </c>
      <c r="G94" s="94" t="n">
        <f aca="false">IF(B26="YES",((E40/B85)*(1+A108)*(C45/100)),"0")</f>
        <v>84.3088235294118</v>
      </c>
      <c r="H94" s="33"/>
      <c r="J94" s="88" t="s">
        <v>117</v>
      </c>
      <c r="K94" s="89" t="n">
        <f aca="false">((E40/K85)*(1+J108))*1.2</f>
        <v>106.47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84.3088235294118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101.170588235294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768.328414862938</v>
      </c>
      <c r="C95" s="93"/>
      <c r="D95" s="93"/>
      <c r="E95" s="113"/>
      <c r="F95" s="95" t="s">
        <v>118</v>
      </c>
      <c r="G95" s="96" t="n">
        <f aca="false">G92/(G85)</f>
        <v>739.140293573232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853.5289419803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647.922374796018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869.499003098232</v>
      </c>
      <c r="C96" s="93"/>
      <c r="D96" s="93"/>
      <c r="E96" s="113"/>
      <c r="F96" s="97" t="s">
        <v>119</v>
      </c>
      <c r="G96" s="98" t="n">
        <f aca="false">G94+G95</f>
        <v>823.449117102644</v>
      </c>
      <c r="H96" s="33"/>
      <c r="J96" s="97" t="s">
        <v>119</v>
      </c>
      <c r="K96" s="98" t="n">
        <f aca="false">(K94+K95)</f>
        <v>1567.31083744584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937.837765509712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749.092963031312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18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273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141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142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19575</v>
      </c>
      <c r="C121" s="121" t="n">
        <f aca="false">B121</f>
        <v>19575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19575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19575</v>
      </c>
      <c r="U121" s="121" t="n">
        <f aca="false">T121</f>
        <v>19575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19575</v>
      </c>
      <c r="AD121" s="121" t="n">
        <f aca="false">AC121</f>
        <v>19575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</v>
      </c>
      <c r="D122" s="123" t="n">
        <f aca="false">D4</f>
        <v>0</v>
      </c>
      <c r="E122" s="124" t="n">
        <v>0</v>
      </c>
      <c r="F122" s="123" t="n">
        <f aca="false">F4</f>
        <v>0</v>
      </c>
      <c r="G122" s="452" t="n">
        <v>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0</v>
      </c>
      <c r="D123" s="130" t="n">
        <f aca="false">D5</f>
        <v>0</v>
      </c>
      <c r="E123" s="121" t="n">
        <v>0</v>
      </c>
      <c r="F123" s="130" t="n">
        <f aca="false">F5</f>
        <v>0</v>
      </c>
      <c r="G123" s="121" t="n">
        <v>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48.9375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4893.75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19575</v>
      </c>
      <c r="C125" s="133" t="n">
        <f aca="false">C121-C124</f>
        <v>19575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19575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19575</v>
      </c>
      <c r="U125" s="133" t="n">
        <f aca="false">U121-U124</f>
        <v>19526.0625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19575</v>
      </c>
      <c r="AD125" s="133" t="n">
        <f aca="false">AD121-AD124</f>
        <v>14681.25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19575</v>
      </c>
      <c r="H135" s="153" t="n">
        <f aca="false">C125+E125+G125+H128</f>
        <v>19575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19575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19575</v>
      </c>
      <c r="Z135" s="153" t="n">
        <f aca="false">U125+W125+Y125+Z128</f>
        <v>19526.0625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19575</v>
      </c>
      <c r="AI135" s="153" t="n">
        <f aca="false">AD125+AF125+AH125+AI128</f>
        <v>14681.25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4054</v>
      </c>
      <c r="H137" s="33" t="n">
        <f aca="false">(H135+H136)*20%</f>
        <v>4054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4054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4054</v>
      </c>
      <c r="Z137" s="33" t="n">
        <f aca="false">(Z135+Z136)*20%</f>
        <v>4044.2125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4054</v>
      </c>
      <c r="AI137" s="33" t="n">
        <f aca="false">(AI135+AI136)*20%</f>
        <v>3075.25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24664</v>
      </c>
      <c r="H141" s="157" t="n">
        <f aca="false">(H135+H136+H139+H140+H137)-H138</f>
        <v>24664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24664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24664</v>
      </c>
      <c r="Z141" s="157" t="n">
        <f aca="false">(Z135+Z136+Z139+Z140+Z137)-Z138</f>
        <v>24595.275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24664</v>
      </c>
      <c r="AI141" s="157" t="n">
        <f aca="false">(AI135+AI136+AI139+AI140+AI137)-AI138</f>
        <v>18781.5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24664</v>
      </c>
      <c r="H147" s="164" t="n">
        <f aca="false">H141-((H144*1.2)+(H145*1.2)+(H146*1.2)+(H142*1.2))</f>
        <v>24664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24664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24664</v>
      </c>
      <c r="Z147" s="164" t="n">
        <f aca="false">Z141-((Z144*1.2)+(Z145*1.2)+(Z146*1.2)+(Z142*1.2))</f>
        <v>24595.275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24664</v>
      </c>
      <c r="AI147" s="164" t="n">
        <f aca="false">AI141-((AI144*1.2)+(AI145*1.2)+(AI146*1.2)+(AI142*1.2))</f>
        <v>18781.5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-20553.3333333333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10855.004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-68.7249999999986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-5882.5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24664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25595.275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19781.5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768.328414862938</v>
      </c>
      <c r="B167" s="177" t="n">
        <f aca="false">B94</f>
        <v>101.170588235294</v>
      </c>
      <c r="C167" s="174"/>
      <c r="D167" s="174"/>
      <c r="E167" s="177" t="n">
        <f aca="false">B96</f>
        <v>869.499003098232</v>
      </c>
      <c r="F167" s="23"/>
      <c r="G167" s="23" t="n">
        <f aca="false">ROUND(G95, 2)</f>
        <v>739.14</v>
      </c>
      <c r="H167" s="33"/>
      <c r="J167" s="176" t="n">
        <f aca="false">K95</f>
        <v>1460.84083744584</v>
      </c>
      <c r="K167" s="177" t="n">
        <f aca="false">K94</f>
        <v>106.47</v>
      </c>
      <c r="L167" s="174"/>
      <c r="M167" s="174"/>
      <c r="N167" s="177" t="n">
        <f aca="false">K96</f>
        <v>1567.31083744584</v>
      </c>
      <c r="O167" s="23"/>
      <c r="P167" s="23"/>
      <c r="Q167" s="33"/>
      <c r="S167" s="176" t="n">
        <f aca="false">T95</f>
        <v>853.5289419803</v>
      </c>
      <c r="T167" s="177" t="n">
        <f aca="false">T94</f>
        <v>84.3088235294118</v>
      </c>
      <c r="U167" s="174"/>
      <c r="V167" s="174"/>
      <c r="W167" s="177" t="n">
        <f aca="false">T96</f>
        <v>937.837765509712</v>
      </c>
      <c r="X167" s="23"/>
      <c r="Y167" s="23"/>
      <c r="Z167" s="33"/>
      <c r="AB167" s="176" t="n">
        <f aca="false">AC95</f>
        <v>647.922374796018</v>
      </c>
      <c r="AC167" s="177" t="n">
        <f aca="false">AC94</f>
        <v>101.170588235294</v>
      </c>
      <c r="AD167" s="174"/>
      <c r="AE167" s="174"/>
      <c r="AF167" s="177" t="n">
        <f aca="false">AC96</f>
        <v>749.092963031312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2136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2136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2136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2136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20270</v>
      </c>
      <c r="B173" s="103" t="n">
        <f aca="false">H137</f>
        <v>4054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20221.0625</v>
      </c>
      <c r="T173" s="103" t="n">
        <f aca="false">Z137</f>
        <v>4044.2125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15376.25</v>
      </c>
      <c r="AC173" s="103" t="n">
        <f aca="false">AI137</f>
        <v>3075.25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24664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24595.275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18781.5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24664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25595.275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19781.5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3595.16610533989</v>
      </c>
      <c r="B182" s="103" t="str">
        <f aca="false">B114</f>
        <v>239.99</v>
      </c>
      <c r="C182" s="103"/>
      <c r="D182" s="23"/>
      <c r="E182" s="103" t="n">
        <f aca="false">E179+A182+B182+A185</f>
        <v>28509.1561053399</v>
      </c>
      <c r="F182" s="23"/>
      <c r="G182" s="23"/>
      <c r="H182" s="105"/>
      <c r="J182" s="111" t="n">
        <f aca="false">(J167*K59)+N185-N179-J185</f>
        <v>15285.5844731586</v>
      </c>
      <c r="K182" s="103" t="n">
        <f aca="false">K114</f>
        <v>239.99</v>
      </c>
      <c r="L182" s="103"/>
      <c r="M182" s="23"/>
      <c r="N182" s="103" t="n">
        <f aca="false">N179+J182+K182+J185</f>
        <v>52064.5784731586</v>
      </c>
      <c r="O182" s="23"/>
      <c r="P182" s="23"/>
      <c r="Q182" s="105"/>
      <c r="S182" s="111" t="n">
        <f aca="false">(S167*T59)+W185-W179-S185</f>
        <v>5560.70902733021</v>
      </c>
      <c r="T182" s="103" t="n">
        <f aca="false">T114</f>
        <v>199.99</v>
      </c>
      <c r="U182" s="103"/>
      <c r="V182" s="23"/>
      <c r="W182" s="103" t="n">
        <f aca="false">W179+S182+T182+S185</f>
        <v>31365.9740273302</v>
      </c>
      <c r="X182" s="23"/>
      <c r="Y182" s="23"/>
      <c r="Z182" s="105"/>
      <c r="AB182" s="111" t="n">
        <f aca="false">(AB167*AC59)+AF185-AF179-AB185</f>
        <v>4383.86074306462</v>
      </c>
      <c r="AC182" s="103" t="n">
        <f aca="false">AC114</f>
        <v>239.99</v>
      </c>
      <c r="AD182" s="103"/>
      <c r="AE182" s="23"/>
      <c r="AF182" s="103" t="n">
        <f aca="false">AF179+AB182+AC182+AB185</f>
        <v>24415.3507430646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IF(A40=0,(E167),(E170+A185))</f>
        <v>2146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2156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2146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2146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0.048648</v>
      </c>
      <c r="B188" s="103" t="n">
        <f aca="false">(G158*B67)/1.2</f>
        <v>201.251388888889</v>
      </c>
      <c r="C188" s="93"/>
      <c r="D188" s="93"/>
      <c r="E188" s="103" t="n">
        <f aca="false">(E40*A108)*0.1*C45/100</f>
        <v>47.775</v>
      </c>
      <c r="F188" s="23"/>
      <c r="G188" s="23"/>
      <c r="H188" s="33"/>
      <c r="J188" s="111" t="n">
        <f aca="false">IF(N105="YES", H15*0.000002, 0)</f>
        <v>0.049328</v>
      </c>
      <c r="K188" s="103" t="n">
        <f aca="false">(P158*K67)/1.2</f>
        <v>2250.73722569444</v>
      </c>
      <c r="L188" s="93"/>
      <c r="M188" s="93"/>
      <c r="N188" s="103" t="n">
        <f aca="false">(E40*J108)*0.1</f>
        <v>71.6625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208.850334201389</v>
      </c>
      <c r="U188" s="93"/>
      <c r="V188" s="93"/>
      <c r="W188" s="103" t="n">
        <f aca="false">(E40*S108)*0.1</f>
        <v>47.775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161.411545138889</v>
      </c>
      <c r="AD188" s="93"/>
      <c r="AE188" s="93"/>
      <c r="AF188" s="103" t="n">
        <f aca="false">(E40*AB108)*0.1</f>
        <v>47.775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349.018055555556</v>
      </c>
      <c r="C191" s="93"/>
      <c r="D191" s="93"/>
      <c r="E191" s="103" t="n">
        <f aca="false">H148</f>
        <v>0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3462.38972569444</v>
      </c>
      <c r="L191" s="93"/>
      <c r="M191" s="93"/>
      <c r="N191" s="103" t="n">
        <f aca="false">Q148</f>
        <v>10855.004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1356.61533420139</v>
      </c>
      <c r="U191" s="93"/>
      <c r="V191" s="93"/>
      <c r="W191" s="103" t="n">
        <f aca="false">Z148</f>
        <v>-68.7249999999986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1349.17654513889</v>
      </c>
      <c r="AD191" s="93"/>
      <c r="AE191" s="93"/>
      <c r="AF191" s="103" t="n">
        <f aca="false">AI148</f>
        <v>-5882.5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869.499003098232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1567.31083744584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937.837765509712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749.092963031312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2602.76</v>
      </c>
      <c r="B201" s="186" t="n">
        <f aca="false">E179+A201+B182+A185</f>
        <v>27516.75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768.328414862938</v>
      </c>
      <c r="B212" s="177" t="n">
        <f aca="false">B167</f>
        <v>101.170588235294</v>
      </c>
      <c r="C212" s="174"/>
      <c r="D212" s="174"/>
      <c r="E212" s="177" t="n">
        <f aca="false">E167</f>
        <v>869.499003098232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20270</v>
      </c>
      <c r="B215" s="103" t="n">
        <f aca="false">B173</f>
        <v>4054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24664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24664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3595.16610533989</v>
      </c>
      <c r="B224" s="103" t="str">
        <f aca="false">B182</f>
        <v>239.99</v>
      </c>
      <c r="C224" s="103"/>
      <c r="D224" s="113"/>
      <c r="E224" s="103" t="n">
        <f aca="false">E182</f>
        <v>28509.1561053399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768.328414862938</v>
      </c>
      <c r="B230" s="103" t="n">
        <f aca="false">B167</f>
        <v>101.170588235294</v>
      </c>
      <c r="C230" s="186"/>
      <c r="D230" s="186"/>
      <c r="E230" s="103" t="n">
        <f aca="false">E167</f>
        <v>869.499003098232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2136</v>
      </c>
      <c r="B233" s="103" t="n">
        <f aca="false">E185</f>
        <v>2146</v>
      </c>
      <c r="C233" s="93"/>
      <c r="D233" s="93"/>
      <c r="E233" s="103" t="n">
        <f aca="false">J18*0.000006*100*1.2</f>
        <v>17.51328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5.83776</v>
      </c>
      <c r="B236" s="103" t="n">
        <f aca="false">E233+A236</f>
        <v>23.35104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B68</f>
        <v>201.251388888889</v>
      </c>
      <c r="C240" s="93"/>
      <c r="D240" s="93"/>
      <c r="E240" s="103" t="n">
        <f aca="false">E188</f>
        <v>47.775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349.018055555556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199" t="n">
        <f aca="false">(E182-B182)-(B201-B182-A185)</f>
        <v>1002.40610533989</v>
      </c>
      <c r="C254" s="197"/>
      <c r="D254" s="198" t="s">
        <v>216</v>
      </c>
      <c r="E254" s="198"/>
      <c r="F254" s="200" t="n">
        <f aca="false">F261+F267+F269+B270+B271</f>
        <v>241.501666666667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577.741666666667</v>
      </c>
      <c r="C255" s="197"/>
      <c r="D255" s="198" t="s">
        <v>218</v>
      </c>
      <c r="E255" s="198"/>
      <c r="F255" s="200" t="n">
        <f aca="false">(B254-F254)+B255</f>
        <v>1338.64610533989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1002.40610533989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241.501666666667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477.75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99.9916666666667</v>
      </c>
      <c r="C263" s="32"/>
      <c r="D263" s="39" t="s">
        <v>218</v>
      </c>
      <c r="E263" s="39"/>
      <c r="F263" s="146" t="n">
        <f aca="false">(B254-F254)+B255</f>
        <v>1338.64610533989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381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143</v>
      </c>
      <c r="C2" s="439"/>
      <c r="D2" s="439" t="s">
        <v>144</v>
      </c>
      <c r="E2" s="439"/>
      <c r="F2" s="439" t="s">
        <v>145</v>
      </c>
      <c r="G2" s="439"/>
      <c r="H2" s="440" t="s">
        <v>146</v>
      </c>
      <c r="I2" s="2"/>
      <c r="J2" s="2"/>
    </row>
    <row r="3" customFormat="false" ht="17.35" hidden="false" customHeight="false" outlineLevel="0" collapsed="false">
      <c r="A3" s="31" t="s">
        <v>149</v>
      </c>
      <c r="B3" s="441" t="n">
        <v>16745.0</v>
      </c>
      <c r="C3" s="441" t="n">
        <v>0</v>
      </c>
      <c r="D3" s="441" t="n">
        <v>0.0</v>
      </c>
      <c r="E3" s="441"/>
      <c r="F3" s="441" t="n">
        <v>0.0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150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151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152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153</v>
      </c>
      <c r="B7" s="155" t="n">
        <f aca="false">B3-B6</f>
        <v>16745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340</v>
      </c>
    </row>
    <row r="9" customFormat="false" ht="19.7" hidden="false" customHeight="false" outlineLevel="0" collapsed="false">
      <c r="A9" s="152" t="s">
        <v>161</v>
      </c>
      <c r="B9" s="152"/>
      <c r="C9" s="152"/>
      <c r="D9" s="152"/>
      <c r="E9" s="152" t="n">
        <f aca="false">(B7+C7+D7+E3)</f>
        <v>16745</v>
      </c>
      <c r="F9" s="152"/>
      <c r="G9" s="136"/>
      <c r="H9" s="443" t="n">
        <f aca="false">B7+D7+F7+H3</f>
        <v>16745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162</v>
      </c>
      <c r="B10" s="154"/>
      <c r="C10" s="154"/>
      <c r="D10" s="154"/>
      <c r="E10" s="154" t="n">
        <v>50</v>
      </c>
      <c r="F10" s="154"/>
      <c r="G10" s="155"/>
      <c r="H10" s="442" t="n">
        <v>695.0</v>
      </c>
      <c r="I10" s="2"/>
      <c r="J10" s="2"/>
      <c r="L10" s="16" t="s">
        <v>1</v>
      </c>
      <c r="M10" s="14" t="n">
        <f aca="false">H15-H11-M8</f>
        <v>17440</v>
      </c>
    </row>
    <row r="11" customFormat="false" ht="17.35" hidden="false" customHeight="false" outlineLevel="0" collapsed="false">
      <c r="A11" s="154" t="s">
        <v>163</v>
      </c>
      <c r="B11" s="154"/>
      <c r="C11" s="154"/>
      <c r="D11" s="154"/>
      <c r="E11" s="154"/>
      <c r="F11" s="154"/>
      <c r="G11" s="155"/>
      <c r="H11" s="33" t="n">
        <f aca="false">(H9+H10)*20%</f>
        <v>3488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164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165</v>
      </c>
      <c r="B13" s="154"/>
      <c r="C13" s="154"/>
      <c r="D13" s="154"/>
      <c r="E13" s="154" t="n">
        <v>585</v>
      </c>
      <c r="F13" s="154"/>
      <c r="G13" s="155"/>
      <c r="H13" s="442" t="n">
        <v>275.0</v>
      </c>
      <c r="I13" s="2"/>
      <c r="J13" s="2"/>
    </row>
    <row r="14" customFormat="false" ht="17.35" hidden="false" customHeight="false" outlineLevel="0" collapsed="false">
      <c r="A14" s="154" t="s">
        <v>166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167</v>
      </c>
      <c r="B15" s="154"/>
      <c r="C15" s="154"/>
      <c r="D15" s="154"/>
      <c r="E15" s="154"/>
      <c r="F15" s="154"/>
      <c r="G15" s="155"/>
      <c r="H15" s="444" t="n">
        <f aca="false">(H9+H10+H13+H14+H11)-H12</f>
        <v>21268</v>
      </c>
      <c r="I15" s="2"/>
      <c r="J15" s="17" t="n">
        <f aca="false">H15</f>
        <v>21268</v>
      </c>
    </row>
    <row r="16" customFormat="false" ht="17.35" hidden="false" customHeight="false" outlineLevel="0" collapsed="false">
      <c r="A16" s="154" t="s">
        <v>168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169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170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20928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170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170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171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21268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354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126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124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181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7470.0</v>
      </c>
      <c r="P31" s="212"/>
    </row>
    <row r="32" customFormat="false" ht="34.8" hidden="false" customHeight="false" outlineLevel="0" collapsed="false">
      <c r="A32" s="31" t="s">
        <v>82</v>
      </c>
      <c r="B32" s="93" t="s">
        <v>83</v>
      </c>
      <c r="C32" s="93"/>
      <c r="D32" s="93"/>
      <c r="E32" s="93" t="s">
        <v>355</v>
      </c>
      <c r="F32" s="93"/>
      <c r="G32" s="93"/>
      <c r="H32" s="33"/>
      <c r="I32" s="2" t="n">
        <v>0</v>
      </c>
      <c r="J32" s="29" t="s">
        <v>36</v>
      </c>
      <c r="K32" s="449" t="n">
        <v>1754.5500000000002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495.926281892082</v>
      </c>
      <c r="F33" s="232"/>
      <c r="G33" s="232"/>
      <c r="H33" s="47"/>
      <c r="I33" s="2"/>
      <c r="J33" s="34" t="s">
        <v>356</v>
      </c>
      <c r="K33" s="48" t="n">
        <f aca="false">H21-H11+(H16*20%)</f>
        <v>17780</v>
      </c>
      <c r="L33" s="1" t="n">
        <f aca="false">H21-H11+(H16*20%)</f>
        <v>17780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357</v>
      </c>
      <c r="B35" s="93" t="s">
        <v>358</v>
      </c>
      <c r="C35" s="93"/>
      <c r="D35" s="212"/>
      <c r="E35" s="93" t="s">
        <v>359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445.796281892082</v>
      </c>
      <c r="B36" s="232" t="n">
        <f aca="false">IF(B26="YES", K42, "0.00")</f>
        <v>50.13</v>
      </c>
      <c r="C36" s="232"/>
      <c r="D36" s="232"/>
      <c r="E36" s="232" t="n">
        <f aca="false">K31</f>
        <v>5250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360</v>
      </c>
      <c r="B39" s="93" t="s">
        <v>361</v>
      </c>
      <c r="C39" s="93"/>
      <c r="D39" s="212"/>
      <c r="E39" s="93" t="s">
        <v>362</v>
      </c>
      <c r="F39" s="186"/>
      <c r="G39" s="186"/>
      <c r="H39" s="47"/>
      <c r="J39" s="2" t="s">
        <v>84</v>
      </c>
      <c r="K39" s="2" t="n">
        <f aca="false">K33</f>
        <v>17780</v>
      </c>
      <c r="L39" s="2" t="n">
        <f aca="false">(L47*K46)+K44</f>
        <v>27450.8277595291</v>
      </c>
      <c r="N39" s="1" t="n">
        <f aca="false">K39-L39</f>
        <v>-9670.82775952915</v>
      </c>
      <c r="P39" s="212"/>
    </row>
    <row r="40" customFormat="false" ht="17.35" hidden="false" customHeight="false" outlineLevel="0" collapsed="false">
      <c r="A40" s="313" t="n">
        <f aca="false">E36*A45/100</f>
        <v>5250</v>
      </c>
      <c r="B40" s="107" t="n">
        <f aca="false">IF(B26="YES", K42, "0.00")</f>
        <v>50.13</v>
      </c>
      <c r="C40" s="107"/>
      <c r="D40" s="107"/>
      <c r="E40" s="182" t="n">
        <f aca="false">K32</f>
        <v>1754.55</v>
      </c>
      <c r="F40" s="186"/>
      <c r="G40" s="186"/>
      <c r="H40" s="47"/>
      <c r="J40" s="2" t="s">
        <v>106</v>
      </c>
      <c r="K40" s="2" t="n">
        <f aca="false">(A40)/1.2</f>
        <v>4375</v>
      </c>
      <c r="L40" s="2" t="n">
        <f aca="false">K39-L39</f>
        <v>-9670.82775952915</v>
      </c>
      <c r="N40" s="1" t="n">
        <f aca="false">N38-N39</f>
        <v>12582.5077595291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363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364</v>
      </c>
      <c r="K42" s="2" t="n">
        <f aca="false">(K32/K36/100)*C45</f>
        <v>50.13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365</v>
      </c>
      <c r="K43" s="2"/>
      <c r="L43" s="2"/>
      <c r="P43" s="212"/>
    </row>
    <row r="44" customFormat="false" ht="17.35" hidden="false" customHeight="false" outlineLevel="0" collapsed="false">
      <c r="A44" s="60" t="s">
        <v>76</v>
      </c>
      <c r="B44" s="93"/>
      <c r="C44" s="291" t="s">
        <v>77</v>
      </c>
      <c r="D44" s="291"/>
      <c r="E44" s="93"/>
      <c r="F44" s="93"/>
      <c r="G44" s="93"/>
      <c r="H44" s="33"/>
      <c r="J44" s="2" t="s">
        <v>366</v>
      </c>
      <c r="K44" s="2" t="n">
        <f aca="false">(K40/(1+K41)^(K36+1))</f>
        <v>3601.79648789393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367</v>
      </c>
      <c r="K45" s="2" t="n">
        <f aca="false">(K39-K44)</f>
        <v>14178.2035121061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368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369</v>
      </c>
      <c r="K47" s="2" t="n">
        <f aca="false">K45/K46</f>
        <v>445.796281892082</v>
      </c>
      <c r="L47" s="2" t="n">
        <f aca="false">L49-K42</f>
        <v>749.87</v>
      </c>
      <c r="M47" s="1" t="n">
        <f aca="false">K47-L47</f>
        <v>-304.073718107918</v>
      </c>
      <c r="P47" s="212"/>
    </row>
    <row r="48" customFormat="false" ht="31.8" hidden="false" customHeight="false" outlineLevel="0" collapsed="false">
      <c r="A48" s="66" t="s">
        <v>81</v>
      </c>
      <c r="B48" s="93"/>
      <c r="C48" s="93"/>
      <c r="D48" s="67"/>
      <c r="E48" s="67"/>
      <c r="F48" s="67"/>
      <c r="G48" s="67"/>
      <c r="H48" s="68"/>
      <c r="J48" s="55" t="s">
        <v>370</v>
      </c>
      <c r="K48" s="2" t="n">
        <f aca="false">IF(B26="YES", K47+K42, K47)</f>
        <v>495.926281892082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371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82</v>
      </c>
      <c r="B50" s="71" t="s">
        <v>83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495.926281892082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84</v>
      </c>
      <c r="B58" s="93" t="n">
        <v>1</v>
      </c>
      <c r="C58" s="93"/>
      <c r="D58" s="93"/>
      <c r="E58" s="113"/>
      <c r="F58" s="113"/>
      <c r="G58" s="113"/>
      <c r="H58" s="33"/>
      <c r="J58" s="31" t="s">
        <v>84</v>
      </c>
      <c r="K58" s="93" t="n">
        <v>1</v>
      </c>
      <c r="L58" s="93"/>
      <c r="M58" s="93"/>
      <c r="N58" s="113"/>
      <c r="O58" s="113"/>
      <c r="P58" s="113"/>
      <c r="Q58" s="33"/>
      <c r="S58" s="31" t="s">
        <v>84</v>
      </c>
      <c r="T58" s="93" t="n">
        <v>1</v>
      </c>
      <c r="U58" s="93"/>
      <c r="V58" s="93"/>
      <c r="W58" s="113"/>
      <c r="X58" s="113"/>
      <c r="Y58" s="113"/>
      <c r="Z58" s="33"/>
      <c r="AB58" s="31" t="s">
        <v>84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85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85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85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85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86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86</v>
      </c>
      <c r="K60" s="77" t="n">
        <v>20</v>
      </c>
      <c r="L60" s="93"/>
      <c r="M60" s="93"/>
      <c r="N60" s="113"/>
      <c r="O60" s="113"/>
      <c r="P60" s="113"/>
      <c r="Q60" s="33"/>
      <c r="S60" s="76" t="s">
        <v>86</v>
      </c>
      <c r="T60" s="77" t="n">
        <v>10</v>
      </c>
      <c r="U60" s="93"/>
      <c r="V60" s="93"/>
      <c r="W60" s="113"/>
      <c r="X60" s="113"/>
      <c r="Y60" s="113"/>
      <c r="Z60" s="33"/>
      <c r="AB60" s="76" t="s">
        <v>86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20928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20928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20928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20928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87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87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87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87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88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88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88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88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89</v>
      </c>
      <c r="B64" s="258" t="n">
        <v>0.024</v>
      </c>
      <c r="C64" s="93"/>
      <c r="D64" s="93"/>
      <c r="E64" s="113"/>
      <c r="F64" s="113"/>
      <c r="G64" s="113"/>
      <c r="H64" s="33"/>
      <c r="J64" s="82" t="s">
        <v>89</v>
      </c>
      <c r="K64" s="258" t="n">
        <v>0.1</v>
      </c>
      <c r="L64" s="93"/>
      <c r="M64" s="93"/>
      <c r="N64" s="113"/>
      <c r="O64" s="113"/>
      <c r="P64" s="113"/>
      <c r="Q64" s="33"/>
      <c r="S64" s="82" t="s">
        <v>89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89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90</v>
      </c>
      <c r="B65" s="65" t="n">
        <f aca="false">(B89*B59)-(K47*K29)</f>
        <v>8764.63690035455</v>
      </c>
      <c r="C65" s="93"/>
      <c r="D65" s="93"/>
      <c r="E65" s="113"/>
      <c r="F65" s="113"/>
      <c r="G65" s="113"/>
      <c r="H65" s="33"/>
      <c r="J65" s="56" t="s">
        <v>90</v>
      </c>
      <c r="K65" s="65" t="n">
        <f aca="false">(K89*K59)-(K47*K29)</f>
        <v>34065.7186069357</v>
      </c>
      <c r="L65" s="93"/>
      <c r="M65" s="93"/>
      <c r="N65" s="113"/>
      <c r="O65" s="113"/>
      <c r="P65" s="113"/>
      <c r="Q65" s="33"/>
      <c r="S65" s="56" t="s">
        <v>90</v>
      </c>
      <c r="T65" s="65" t="n">
        <f aca="false">(T89*T59)-(K47*K29)</f>
        <v>6783.30775273473</v>
      </c>
      <c r="U65" s="93"/>
      <c r="V65" s="93"/>
      <c r="W65" s="113"/>
      <c r="X65" s="113"/>
      <c r="Y65" s="113"/>
      <c r="Z65" s="33"/>
      <c r="AB65" s="56" t="s">
        <v>90</v>
      </c>
      <c r="AC65" s="65" t="n">
        <f aca="false">(AC89*AC59)-(K47*K29)</f>
        <v>803.333964993866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91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91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91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91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92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92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92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92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93</v>
      </c>
      <c r="B68" s="65" t="n">
        <f aca="false">(G158*B67)/1.2</f>
        <v>208.249199305556</v>
      </c>
      <c r="C68" s="93"/>
      <c r="D68" s="93"/>
      <c r="E68" s="113"/>
      <c r="F68" s="113"/>
      <c r="G68" s="113"/>
      <c r="H68" s="33"/>
      <c r="J68" s="56" t="s">
        <v>93</v>
      </c>
      <c r="K68" s="65" t="n">
        <f aca="false">K61*K67</f>
        <v>1547.8</v>
      </c>
      <c r="L68" s="93"/>
      <c r="M68" s="93"/>
      <c r="N68" s="113"/>
      <c r="O68" s="113"/>
      <c r="P68" s="113"/>
      <c r="Q68" s="33"/>
      <c r="S68" s="56" t="s">
        <v>93</v>
      </c>
      <c r="T68" s="65" t="n">
        <f aca="false">T61*T67</f>
        <v>204.92</v>
      </c>
      <c r="U68" s="93"/>
      <c r="V68" s="93"/>
      <c r="W68" s="113"/>
      <c r="X68" s="113"/>
      <c r="Y68" s="113"/>
      <c r="Z68" s="33"/>
      <c r="AB68" s="56" t="s">
        <v>93</v>
      </c>
      <c r="AC68" s="65" t="n">
        <f aca="false">AH158*AC67</f>
        <v>168.754479166667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94</v>
      </c>
      <c r="B69" s="256" t="n">
        <v>0</v>
      </c>
      <c r="C69" s="93"/>
      <c r="D69" s="93"/>
      <c r="E69" s="113"/>
      <c r="F69" s="113"/>
      <c r="G69" s="113"/>
      <c r="H69" s="33"/>
      <c r="J69" s="78" t="s">
        <v>94</v>
      </c>
      <c r="K69" s="256" t="n">
        <v>0</v>
      </c>
      <c r="L69" s="93"/>
      <c r="M69" s="93"/>
      <c r="N69" s="113"/>
      <c r="O69" s="113"/>
      <c r="P69" s="113"/>
      <c r="Q69" s="33"/>
      <c r="S69" s="78" t="s">
        <v>94</v>
      </c>
      <c r="T69" s="256" t="n">
        <v>0</v>
      </c>
      <c r="U69" s="93"/>
      <c r="V69" s="93"/>
      <c r="W69" s="113"/>
      <c r="X69" s="113"/>
      <c r="Y69" s="113"/>
      <c r="Z69" s="33"/>
      <c r="AB69" s="78" t="s">
        <v>94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95</v>
      </c>
      <c r="B70" s="257" t="n">
        <v>0</v>
      </c>
      <c r="C70" s="93"/>
      <c r="D70" s="93"/>
      <c r="E70" s="113"/>
      <c r="F70" s="113"/>
      <c r="G70" s="113"/>
      <c r="H70" s="33"/>
      <c r="J70" s="80" t="s">
        <v>95</v>
      </c>
      <c r="K70" s="257" t="n">
        <v>0</v>
      </c>
      <c r="L70" s="93"/>
      <c r="M70" s="93"/>
      <c r="N70" s="113"/>
      <c r="O70" s="113"/>
      <c r="P70" s="113"/>
      <c r="Q70" s="33"/>
      <c r="S70" s="80" t="s">
        <v>95</v>
      </c>
      <c r="T70" s="257" t="n">
        <v>0</v>
      </c>
      <c r="U70" s="93"/>
      <c r="V70" s="93"/>
      <c r="W70" s="113"/>
      <c r="X70" s="113"/>
      <c r="Y70" s="113"/>
      <c r="Z70" s="33"/>
      <c r="AB70" s="80" t="s">
        <v>95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96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96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96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96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97</v>
      </c>
      <c r="B72" s="86" t="n">
        <v>0</v>
      </c>
      <c r="C72" s="93"/>
      <c r="D72" s="93"/>
      <c r="E72" s="113"/>
      <c r="F72" s="113"/>
      <c r="G72" s="113"/>
      <c r="H72" s="33"/>
      <c r="J72" s="78" t="s">
        <v>97</v>
      </c>
      <c r="K72" s="86" t="n">
        <v>0</v>
      </c>
      <c r="L72" s="93"/>
      <c r="M72" s="93"/>
      <c r="N72" s="113"/>
      <c r="O72" s="113"/>
      <c r="P72" s="113"/>
      <c r="Q72" s="33"/>
      <c r="S72" s="78" t="s">
        <v>97</v>
      </c>
      <c r="T72" s="86" t="n">
        <v>0</v>
      </c>
      <c r="U72" s="93"/>
      <c r="V72" s="93"/>
      <c r="W72" s="113"/>
      <c r="X72" s="113"/>
      <c r="Y72" s="113"/>
      <c r="Z72" s="33"/>
      <c r="AB72" s="78" t="s">
        <v>97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98</v>
      </c>
      <c r="B73" s="77" t="n">
        <v>0</v>
      </c>
      <c r="C73" s="93"/>
      <c r="D73" s="93"/>
      <c r="E73" s="113"/>
      <c r="F73" s="113"/>
      <c r="G73" s="113"/>
      <c r="H73" s="33"/>
      <c r="J73" s="80" t="s">
        <v>98</v>
      </c>
      <c r="K73" s="77" t="n">
        <v>0</v>
      </c>
      <c r="L73" s="93"/>
      <c r="M73" s="93"/>
      <c r="N73" s="113"/>
      <c r="O73" s="113"/>
      <c r="P73" s="113"/>
      <c r="Q73" s="33"/>
      <c r="S73" s="80" t="s">
        <v>98</v>
      </c>
      <c r="T73" s="77" t="n">
        <v>0</v>
      </c>
      <c r="U73" s="93"/>
      <c r="V73" s="93"/>
      <c r="W73" s="113"/>
      <c r="X73" s="113"/>
      <c r="Y73" s="113"/>
      <c r="Z73" s="33"/>
      <c r="AB73" s="80" t="s">
        <v>98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99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99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99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99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100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100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100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100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101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101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101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101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102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102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102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102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103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103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103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103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104</v>
      </c>
      <c r="B79" s="59" t="n">
        <f aca="false">K47</f>
        <v>445.796281892082</v>
      </c>
      <c r="C79" s="93"/>
      <c r="D79" s="93"/>
      <c r="E79" s="113"/>
      <c r="F79" s="113"/>
      <c r="G79" s="113"/>
      <c r="H79" s="33"/>
      <c r="J79" s="90" t="s">
        <v>104</v>
      </c>
      <c r="K79" s="59" t="n">
        <f aca="false">K47</f>
        <v>445.796281892082</v>
      </c>
      <c r="L79" s="93"/>
      <c r="M79" s="93"/>
      <c r="N79" s="113"/>
      <c r="O79" s="113"/>
      <c r="P79" s="113"/>
      <c r="Q79" s="33"/>
      <c r="S79" s="90" t="s">
        <v>104</v>
      </c>
      <c r="T79" s="59" t="n">
        <f aca="false">B52</f>
        <v>495.926281892082</v>
      </c>
      <c r="U79" s="93"/>
      <c r="V79" s="93"/>
      <c r="W79" s="113"/>
      <c r="X79" s="113"/>
      <c r="Y79" s="113"/>
      <c r="Z79" s="33"/>
      <c r="AB79" s="90" t="s">
        <v>104</v>
      </c>
      <c r="AC79" s="59" t="n">
        <f aca="false">B52</f>
        <v>495.926281892082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105</v>
      </c>
      <c r="B81" s="27" t="n">
        <f aca="false">G158</f>
        <v>25521.604</v>
      </c>
      <c r="C81" s="93"/>
      <c r="D81" s="93"/>
      <c r="E81" s="113"/>
      <c r="F81" s="25" t="s">
        <v>105</v>
      </c>
      <c r="G81" s="27" t="n">
        <f aca="false">G158</f>
        <v>25521.604</v>
      </c>
      <c r="H81" s="33"/>
      <c r="J81" s="25" t="s">
        <v>105</v>
      </c>
      <c r="K81" s="27" t="n">
        <f aca="false">P158</f>
        <v>36519.004</v>
      </c>
      <c r="L81" s="93"/>
      <c r="M81" s="93"/>
      <c r="N81" s="113"/>
      <c r="O81" s="113"/>
      <c r="P81" s="113"/>
      <c r="Q81" s="33"/>
      <c r="S81" s="25" t="s">
        <v>105</v>
      </c>
      <c r="T81" s="27" t="n">
        <f aca="false">Y158</f>
        <v>22207.765</v>
      </c>
      <c r="U81" s="93"/>
      <c r="V81" s="93"/>
      <c r="W81" s="113"/>
      <c r="X81" s="113"/>
      <c r="Y81" s="113"/>
      <c r="Z81" s="33"/>
      <c r="AB81" s="25" t="s">
        <v>105</v>
      </c>
      <c r="AC81" s="27" t="n">
        <f aca="false">AH158</f>
        <v>17234.5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106</v>
      </c>
      <c r="B82" s="33" t="n">
        <f aca="false">IF(A111="YES",A40,0)</f>
        <v>5250</v>
      </c>
      <c r="C82" s="93"/>
      <c r="D82" s="93"/>
      <c r="E82" s="113"/>
      <c r="F82" s="31" t="s">
        <v>106</v>
      </c>
      <c r="G82" s="33" t="n">
        <f aca="false">IF(A111="YES",A40,0)</f>
        <v>5250</v>
      </c>
      <c r="H82" s="33"/>
      <c r="J82" s="31" t="s">
        <v>106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106</v>
      </c>
      <c r="T82" s="33" t="n">
        <f aca="false">A40</f>
        <v>5250</v>
      </c>
      <c r="U82" s="93"/>
      <c r="V82" s="93"/>
      <c r="W82" s="113"/>
      <c r="X82" s="113"/>
      <c r="Y82" s="113"/>
      <c r="Z82" s="33"/>
      <c r="AB82" s="31" t="s">
        <v>106</v>
      </c>
      <c r="AC82" s="33" t="n">
        <f aca="false">A40</f>
        <v>5250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107</v>
      </c>
      <c r="B83" s="92" t="n">
        <f aca="false">B62+B63+B64</f>
        <v>0.089</v>
      </c>
      <c r="C83" s="93"/>
      <c r="D83" s="93"/>
      <c r="E83" s="113"/>
      <c r="F83" s="31" t="s">
        <v>107</v>
      </c>
      <c r="G83" s="91" t="n">
        <f aca="false">B63</f>
        <v>0.065</v>
      </c>
      <c r="H83" s="33"/>
      <c r="J83" s="31" t="s">
        <v>107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107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107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108</v>
      </c>
      <c r="B84" s="92" t="n">
        <f aca="false">B83/12</f>
        <v>0.00741666666666667</v>
      </c>
      <c r="C84" s="93"/>
      <c r="D84" s="93"/>
      <c r="E84" s="113"/>
      <c r="F84" s="31" t="s">
        <v>108</v>
      </c>
      <c r="G84" s="92" t="n">
        <f aca="false">G83/12</f>
        <v>0.00541666666666667</v>
      </c>
      <c r="H84" s="33"/>
      <c r="J84" s="31" t="s">
        <v>108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108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108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109</v>
      </c>
      <c r="B85" s="33" t="n">
        <f aca="false">IF(B82=0, (B59+B58), (B59))</f>
        <v>34</v>
      </c>
      <c r="C85" s="93"/>
      <c r="D85" s="93"/>
      <c r="E85" s="113"/>
      <c r="F85" s="31" t="s">
        <v>109</v>
      </c>
      <c r="G85" s="33" t="n">
        <f aca="false">IF(G82=0, (B59+B58), (B59))</f>
        <v>34</v>
      </c>
      <c r="H85" s="33"/>
      <c r="J85" s="31" t="s">
        <v>109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109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109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110</v>
      </c>
      <c r="B86" s="33" t="n">
        <f aca="false">(B82/((1+B84)^(B85+1)))</f>
        <v>4053.58887818967</v>
      </c>
      <c r="C86" s="93"/>
      <c r="D86" s="93"/>
      <c r="E86" s="113"/>
      <c r="F86" s="31" t="s">
        <v>110</v>
      </c>
      <c r="G86" s="33" t="n">
        <f aca="false">(G82/((1+G84)^(G85+1)))</f>
        <v>4345.56746264402</v>
      </c>
      <c r="H86" s="33"/>
      <c r="J86" s="31" t="s">
        <v>110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110</v>
      </c>
      <c r="T86" s="33" t="n">
        <f aca="false">(T82/((1+T84)^(T85+1)))</f>
        <v>3590.2262635627</v>
      </c>
      <c r="U86" s="93"/>
      <c r="V86" s="93"/>
      <c r="W86" s="113"/>
      <c r="X86" s="113"/>
      <c r="Y86" s="113"/>
      <c r="Z86" s="33"/>
      <c r="AB86" s="31" t="s">
        <v>110</v>
      </c>
      <c r="AC86" s="33" t="n">
        <f aca="false">(AC82/((1+AC84)^(AC85+1)))</f>
        <v>3590.2262635627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111</v>
      </c>
      <c r="B87" s="33" t="n">
        <f aca="false">((1-(1/((1+B84)^B85)))/B84)</f>
        <v>29.9543371890103</v>
      </c>
      <c r="C87" s="93"/>
      <c r="D87" s="93"/>
      <c r="E87" s="113"/>
      <c r="F87" s="31" t="s">
        <v>111</v>
      </c>
      <c r="G87" s="33" t="n">
        <f aca="false">((1-(1/((1+G84)^G85)))/G84)</f>
        <v>30.9764939580949</v>
      </c>
      <c r="H87" s="33"/>
      <c r="J87" s="31" t="s">
        <v>111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111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111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112</v>
      </c>
      <c r="B88" s="33" t="n">
        <f aca="false">B81-B86</f>
        <v>21468.0151218103</v>
      </c>
      <c r="C88" s="93"/>
      <c r="D88" s="93"/>
      <c r="E88" s="113"/>
      <c r="F88" s="31" t="s">
        <v>112</v>
      </c>
      <c r="G88" s="33" t="n">
        <f aca="false">G81-G86</f>
        <v>21176.036537356</v>
      </c>
      <c r="H88" s="33"/>
      <c r="J88" s="31" t="s">
        <v>112</v>
      </c>
      <c r="K88" s="33" t="n">
        <f aca="false">K81-K86</f>
        <v>36519.004</v>
      </c>
      <c r="L88" s="93"/>
      <c r="M88" s="93"/>
      <c r="N88" s="113"/>
      <c r="O88" s="113"/>
      <c r="P88" s="113"/>
      <c r="Q88" s="33"/>
      <c r="S88" s="31" t="s">
        <v>112</v>
      </c>
      <c r="T88" s="33" t="n">
        <f aca="false">T81-T86</f>
        <v>18617.5387364373</v>
      </c>
      <c r="U88" s="93"/>
      <c r="V88" s="93"/>
      <c r="W88" s="113"/>
      <c r="X88" s="113"/>
      <c r="Y88" s="113"/>
      <c r="Z88" s="33"/>
      <c r="AB88" s="31" t="s">
        <v>112</v>
      </c>
      <c r="AC88" s="33" t="n">
        <f aca="false">AC81-AC86</f>
        <v>13644.2737364373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113</v>
      </c>
      <c r="B89" s="33" t="n">
        <f aca="false">(B88/B87)</f>
        <v>716.691375487571</v>
      </c>
      <c r="C89" s="93"/>
      <c r="D89" s="93"/>
      <c r="E89" s="113"/>
      <c r="F89" s="31" t="s">
        <v>113</v>
      </c>
      <c r="G89" s="33" t="n">
        <f aca="false">(G88/G87)</f>
        <v>683.616311323128</v>
      </c>
      <c r="H89" s="33"/>
      <c r="J89" s="31" t="s">
        <v>113</v>
      </c>
      <c r="K89" s="33" t="n">
        <f aca="false">(K88/K87)</f>
        <v>1460.84083744584</v>
      </c>
      <c r="L89" s="93"/>
      <c r="M89" s="93"/>
      <c r="N89" s="113"/>
      <c r="O89" s="113"/>
      <c r="P89" s="113"/>
      <c r="Q89" s="33"/>
      <c r="S89" s="31" t="s">
        <v>113</v>
      </c>
      <c r="T89" s="33" t="n">
        <f aca="false">(T88/T87)</f>
        <v>658.416988792871</v>
      </c>
      <c r="U89" s="93"/>
      <c r="V89" s="93"/>
      <c r="W89" s="113"/>
      <c r="X89" s="113"/>
      <c r="Y89" s="113"/>
      <c r="Z89" s="33"/>
      <c r="AB89" s="31" t="s">
        <v>113</v>
      </c>
      <c r="AC89" s="33" t="n">
        <f aca="false">(AC88/AC87)</f>
        <v>482.535406800493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114</v>
      </c>
      <c r="B90" s="33" t="n">
        <f aca="false">((B89*(B85))+B77)</f>
        <v>24367.5067665774</v>
      </c>
      <c r="C90" s="93"/>
      <c r="D90" s="93"/>
      <c r="E90" s="113"/>
      <c r="F90" s="31" t="s">
        <v>114</v>
      </c>
      <c r="G90" s="33" t="n">
        <f aca="false">((G89*(G85))+G77)</f>
        <v>23242.9545849864</v>
      </c>
      <c r="H90" s="33"/>
      <c r="J90" s="31" t="s">
        <v>114</v>
      </c>
      <c r="K90" s="33" t="n">
        <f aca="false">((K89*(K85))+K77)</f>
        <v>51129.4293106044</v>
      </c>
      <c r="L90" s="93"/>
      <c r="M90" s="93"/>
      <c r="N90" s="113"/>
      <c r="O90" s="113"/>
      <c r="P90" s="113"/>
      <c r="Q90" s="33"/>
      <c r="S90" s="31" t="s">
        <v>114</v>
      </c>
      <c r="T90" s="33" t="n">
        <f aca="false">(T89*(T85))+T77</f>
        <v>22386.1776189576</v>
      </c>
      <c r="U90" s="93"/>
      <c r="V90" s="93"/>
      <c r="W90" s="113"/>
      <c r="X90" s="113"/>
      <c r="Y90" s="113"/>
      <c r="Z90" s="33"/>
      <c r="AB90" s="31" t="s">
        <v>114</v>
      </c>
      <c r="AC90" s="33" t="n">
        <f aca="false">(AC89*(AC59))+AC77</f>
        <v>16406.2038312167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115</v>
      </c>
      <c r="B91" s="33" t="n">
        <f aca="false">(B90/(1-B71))*B71</f>
        <v>0</v>
      </c>
      <c r="C91" s="93"/>
      <c r="D91" s="93"/>
      <c r="E91" s="113"/>
      <c r="F91" s="31" t="s">
        <v>115</v>
      </c>
      <c r="G91" s="33" t="n">
        <f aca="false">(((G89*(G85))+G77)/(1-G71))*G71</f>
        <v>0</v>
      </c>
      <c r="H91" s="33"/>
      <c r="J91" s="31" t="s">
        <v>115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115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115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116</v>
      </c>
      <c r="B92" s="65" t="n">
        <f aca="false">(B90+B91)</f>
        <v>24367.5067665774</v>
      </c>
      <c r="C92" s="93"/>
      <c r="D92" s="93"/>
      <c r="E92" s="113"/>
      <c r="F92" s="56" t="s">
        <v>116</v>
      </c>
      <c r="G92" s="65" t="n">
        <f aca="false">(G90+G91)</f>
        <v>23242.9545849864</v>
      </c>
      <c r="H92" s="33"/>
      <c r="J92" s="56" t="s">
        <v>116</v>
      </c>
      <c r="K92" s="65" t="n">
        <f aca="false">(K90+K91)</f>
        <v>51129.4293106044</v>
      </c>
      <c r="L92" s="93"/>
      <c r="M92" s="93"/>
      <c r="N92" s="113"/>
      <c r="O92" s="113"/>
      <c r="P92" s="113"/>
      <c r="Q92" s="33"/>
      <c r="S92" s="56" t="s">
        <v>116</v>
      </c>
      <c r="T92" s="65" t="n">
        <f aca="false">(T90+T91)</f>
        <v>22386.1776189576</v>
      </c>
      <c r="U92" s="93"/>
      <c r="V92" s="93"/>
      <c r="W92" s="113"/>
      <c r="X92" s="113"/>
      <c r="Y92" s="113"/>
      <c r="Z92" s="33"/>
      <c r="AB92" s="56" t="s">
        <v>116</v>
      </c>
      <c r="AC92" s="65" t="n">
        <f aca="false">(AC90+AC91)</f>
        <v>16406.2038312167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117</v>
      </c>
      <c r="B94" s="89" t="n">
        <f aca="false">IF(B26="YES",((E40/B85)*(1+A108)*(C45/100)),"0")</f>
        <v>61.9252941176471</v>
      </c>
      <c r="C94" s="93"/>
      <c r="D94" s="93"/>
      <c r="E94" s="113"/>
      <c r="F94" s="88" t="s">
        <v>117</v>
      </c>
      <c r="G94" s="94" t="n">
        <f aca="false">IF(B26="YES",((E40/B85)*(1+A108)*(C45/100)),"0")</f>
        <v>61.9252941176471</v>
      </c>
      <c r="H94" s="33"/>
      <c r="J94" s="88" t="s">
        <v>117</v>
      </c>
      <c r="K94" s="89" t="n">
        <f aca="false">((E40/K85)*(1+J108))*1.2</f>
        <v>78.2028</v>
      </c>
      <c r="L94" s="93"/>
      <c r="M94" s="93"/>
      <c r="N94" s="113"/>
      <c r="O94" s="113"/>
      <c r="P94" s="113"/>
      <c r="Q94" s="33"/>
      <c r="S94" s="88" t="s">
        <v>117</v>
      </c>
      <c r="T94" s="89" t="n">
        <f aca="false">((E40/T85)*(1+S108))</f>
        <v>61.9252941176471</v>
      </c>
      <c r="U94" s="93"/>
      <c r="V94" s="93"/>
      <c r="W94" s="113"/>
      <c r="X94" s="113"/>
      <c r="Y94" s="113"/>
      <c r="Z94" s="33"/>
      <c r="AB94" s="88" t="s">
        <v>117</v>
      </c>
      <c r="AC94" s="89" t="n">
        <f aca="false">((E40/AC85)*(1+AB108))*1.2</f>
        <v>74.3103529411765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118</v>
      </c>
      <c r="B95" s="96" t="n">
        <f aca="false">B92/(B85)</f>
        <v>716.691375487571</v>
      </c>
      <c r="C95" s="93"/>
      <c r="D95" s="93"/>
      <c r="E95" s="113"/>
      <c r="F95" s="95" t="s">
        <v>118</v>
      </c>
      <c r="G95" s="96" t="n">
        <f aca="false">G92/(G85)</f>
        <v>683.616311323128</v>
      </c>
      <c r="H95" s="33"/>
      <c r="J95" s="95" t="s">
        <v>118</v>
      </c>
      <c r="K95" s="96" t="n">
        <f aca="false">K92/(K85)</f>
        <v>1460.84083744584</v>
      </c>
      <c r="L95" s="93"/>
      <c r="M95" s="93"/>
      <c r="N95" s="113"/>
      <c r="O95" s="113"/>
      <c r="P95" s="113"/>
      <c r="Q95" s="33"/>
      <c r="S95" s="95" t="s">
        <v>118</v>
      </c>
      <c r="T95" s="96" t="n">
        <f aca="false">T92/(T85)</f>
        <v>658.416988792871</v>
      </c>
      <c r="U95" s="93"/>
      <c r="V95" s="93"/>
      <c r="W95" s="113"/>
      <c r="X95" s="113"/>
      <c r="Y95" s="113"/>
      <c r="Z95" s="33"/>
      <c r="AB95" s="95" t="s">
        <v>118</v>
      </c>
      <c r="AC95" s="96" t="n">
        <f aca="false">AC92/(AC59)</f>
        <v>482.535406800493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119</v>
      </c>
      <c r="B96" s="98" t="n">
        <f aca="false">(B94+B95)</f>
        <v>778.616669605218</v>
      </c>
      <c r="C96" s="93"/>
      <c r="D96" s="93"/>
      <c r="E96" s="113"/>
      <c r="F96" s="97" t="s">
        <v>119</v>
      </c>
      <c r="G96" s="98" t="n">
        <f aca="false">G94+G95</f>
        <v>745.541605440775</v>
      </c>
      <c r="H96" s="33"/>
      <c r="J96" s="97" t="s">
        <v>119</v>
      </c>
      <c r="K96" s="98" t="n">
        <f aca="false">(K94+K95)</f>
        <v>1539.04363744584</v>
      </c>
      <c r="L96" s="93"/>
      <c r="M96" s="93"/>
      <c r="N96" s="113"/>
      <c r="O96" s="113"/>
      <c r="P96" s="113"/>
      <c r="Q96" s="33"/>
      <c r="S96" s="97" t="s">
        <v>119</v>
      </c>
      <c r="T96" s="98" t="n">
        <f aca="false">T94+T95</f>
        <v>720.342282910518</v>
      </c>
      <c r="U96" s="93"/>
      <c r="V96" s="93"/>
      <c r="W96" s="113"/>
      <c r="X96" s="113"/>
      <c r="Y96" s="113"/>
      <c r="Z96" s="33"/>
      <c r="AB96" s="97" t="s">
        <v>119</v>
      </c>
      <c r="AC96" s="98" t="n">
        <f aca="false">AC94+AC95</f>
        <v>556.845759741669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121</v>
      </c>
      <c r="K100" s="100"/>
      <c r="L100" s="100"/>
      <c r="M100" s="100"/>
      <c r="N100" s="100"/>
      <c r="O100" s="100"/>
      <c r="P100" s="100"/>
      <c r="Q100" s="100"/>
      <c r="S100" s="100" t="s">
        <v>122</v>
      </c>
      <c r="T100" s="100"/>
      <c r="U100" s="100"/>
      <c r="V100" s="100"/>
      <c r="W100" s="100"/>
      <c r="X100" s="100"/>
      <c r="Y100" s="100"/>
      <c r="Z100" s="100"/>
      <c r="AB100" s="100" t="s">
        <v>123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124</v>
      </c>
      <c r="B102" s="28"/>
      <c r="C102" s="28"/>
      <c r="D102" s="28"/>
      <c r="E102" s="28"/>
      <c r="F102" s="28"/>
      <c r="G102" s="28"/>
      <c r="H102" s="28"/>
      <c r="J102" s="28" t="s">
        <v>124</v>
      </c>
      <c r="K102" s="28"/>
      <c r="L102" s="28"/>
      <c r="M102" s="28"/>
      <c r="N102" s="28"/>
      <c r="O102" s="28"/>
      <c r="P102" s="28"/>
      <c r="Q102" s="28"/>
      <c r="S102" s="28" t="s">
        <v>124</v>
      </c>
      <c r="T102" s="28"/>
      <c r="U102" s="28"/>
      <c r="V102" s="28"/>
      <c r="W102" s="28"/>
      <c r="X102" s="28"/>
      <c r="Y102" s="28"/>
      <c r="Z102" s="28"/>
      <c r="AB102" s="28" t="s">
        <v>124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125</v>
      </c>
      <c r="B104" s="93" t="s">
        <v>23</v>
      </c>
      <c r="C104" s="93"/>
      <c r="D104" s="93"/>
      <c r="E104" s="93" t="s">
        <v>126</v>
      </c>
      <c r="F104" s="93"/>
      <c r="G104" s="93"/>
      <c r="H104" s="33"/>
      <c r="J104" s="31" t="s">
        <v>125</v>
      </c>
      <c r="K104" s="93" t="s">
        <v>23</v>
      </c>
      <c r="L104" s="93"/>
      <c r="M104" s="93"/>
      <c r="N104" s="93" t="s">
        <v>126</v>
      </c>
      <c r="O104" s="93"/>
      <c r="P104" s="93"/>
      <c r="Q104" s="33"/>
      <c r="S104" s="31" t="s">
        <v>125</v>
      </c>
      <c r="T104" s="93" t="s">
        <v>23</v>
      </c>
      <c r="U104" s="93"/>
      <c r="V104" s="93"/>
      <c r="W104" s="93" t="s">
        <v>126</v>
      </c>
      <c r="X104" s="93"/>
      <c r="Y104" s="93"/>
      <c r="Z104" s="33"/>
      <c r="AB104" s="31" t="s">
        <v>125</v>
      </c>
      <c r="AC104" s="93" t="s">
        <v>23</v>
      </c>
      <c r="AD104" s="93"/>
      <c r="AE104" s="93"/>
      <c r="AF104" s="93" t="s">
        <v>126</v>
      </c>
      <c r="AG104" s="93"/>
      <c r="AH104" s="93"/>
      <c r="AI104" s="33"/>
    </row>
    <row r="105" customFormat="false" ht="17.35" hidden="false" customHeight="false" outlineLevel="0" collapsed="false">
      <c r="A105" s="36" t="s">
        <v>127</v>
      </c>
      <c r="B105" s="103" t="s">
        <v>128</v>
      </c>
      <c r="C105" s="103"/>
      <c r="D105" s="103"/>
      <c r="E105" s="104" t="s">
        <v>390</v>
      </c>
      <c r="F105" s="104"/>
      <c r="G105" s="104"/>
      <c r="H105" s="102"/>
      <c r="J105" s="36" t="s">
        <v>127</v>
      </c>
      <c r="K105" s="103" t="s">
        <v>128</v>
      </c>
      <c r="L105" s="103"/>
      <c r="M105" s="103"/>
      <c r="N105" s="104" t="s">
        <v>18</v>
      </c>
      <c r="O105" s="104"/>
      <c r="P105" s="104"/>
      <c r="Q105" s="102"/>
      <c r="S105" s="36" t="s">
        <v>127</v>
      </c>
      <c r="T105" s="103" t="s">
        <v>128</v>
      </c>
      <c r="U105" s="103"/>
      <c r="V105" s="103"/>
      <c r="W105" s="104" t="s">
        <v>18</v>
      </c>
      <c r="X105" s="104"/>
      <c r="Y105" s="104"/>
      <c r="Z105" s="102"/>
      <c r="AB105" s="36" t="s">
        <v>127</v>
      </c>
      <c r="AC105" s="103" t="s">
        <v>128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129</v>
      </c>
      <c r="B107" s="93" t="s">
        <v>130</v>
      </c>
      <c r="C107" s="93"/>
      <c r="D107" s="113"/>
      <c r="E107" s="93" t="s">
        <v>131</v>
      </c>
      <c r="F107" s="93"/>
      <c r="G107" s="113"/>
      <c r="H107" s="102"/>
      <c r="J107" s="31" t="s">
        <v>129</v>
      </c>
      <c r="K107" s="93" t="s">
        <v>130</v>
      </c>
      <c r="L107" s="93"/>
      <c r="M107" s="113"/>
      <c r="N107" s="93" t="s">
        <v>131</v>
      </c>
      <c r="O107" s="93"/>
      <c r="P107" s="113"/>
      <c r="Q107" s="102"/>
      <c r="S107" s="31" t="s">
        <v>129</v>
      </c>
      <c r="T107" s="93" t="s">
        <v>130</v>
      </c>
      <c r="U107" s="93"/>
      <c r="V107" s="113"/>
      <c r="W107" s="93" t="s">
        <v>131</v>
      </c>
      <c r="X107" s="93"/>
      <c r="Y107" s="113"/>
      <c r="Z107" s="102"/>
      <c r="AB107" s="31" t="s">
        <v>129</v>
      </c>
      <c r="AC107" s="93" t="s">
        <v>130</v>
      </c>
      <c r="AD107" s="93"/>
      <c r="AE107" s="113"/>
      <c r="AF107" s="93" t="s">
        <v>131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394</v>
      </c>
      <c r="C108" s="107"/>
      <c r="D108" s="107"/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132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133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133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134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132</v>
      </c>
    </row>
    <row r="110" customFormat="false" ht="17.35" hidden="false" customHeight="false" outlineLevel="0" collapsed="false">
      <c r="A110" s="31" t="s">
        <v>135</v>
      </c>
      <c r="B110" s="93" t="s">
        <v>136</v>
      </c>
      <c r="C110" s="93"/>
      <c r="D110" s="93"/>
      <c r="E110" s="93" t="s">
        <v>137</v>
      </c>
      <c r="F110" s="93"/>
      <c r="G110" s="93"/>
      <c r="H110" s="33"/>
      <c r="J110" s="31" t="s">
        <v>135</v>
      </c>
      <c r="K110" s="93" t="s">
        <v>136</v>
      </c>
      <c r="L110" s="93"/>
      <c r="M110" s="93"/>
      <c r="N110" s="93" t="s">
        <v>137</v>
      </c>
      <c r="O110" s="93"/>
      <c r="P110" s="93"/>
      <c r="Q110" s="33"/>
      <c r="S110" s="31" t="s">
        <v>135</v>
      </c>
      <c r="T110" s="93" t="s">
        <v>136</v>
      </c>
      <c r="U110" s="93"/>
      <c r="V110" s="93"/>
      <c r="W110" s="93" t="s">
        <v>137</v>
      </c>
      <c r="X110" s="93"/>
      <c r="Y110" s="93"/>
      <c r="Z110" s="33"/>
      <c r="AB110" s="31" t="s">
        <v>135</v>
      </c>
      <c r="AC110" s="93" t="s">
        <v>136</v>
      </c>
      <c r="AD110" s="93"/>
      <c r="AE110" s="93"/>
      <c r="AF110" s="93" t="s">
        <v>137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138</v>
      </c>
      <c r="B113" s="93" t="s">
        <v>139</v>
      </c>
      <c r="C113" s="93"/>
      <c r="D113" s="93"/>
      <c r="E113" s="93" t="s">
        <v>140</v>
      </c>
      <c r="F113" s="93"/>
      <c r="G113" s="113"/>
      <c r="H113" s="102"/>
      <c r="J113" s="110" t="s">
        <v>138</v>
      </c>
      <c r="K113" s="93" t="s">
        <v>139</v>
      </c>
      <c r="L113" s="93"/>
      <c r="M113" s="93"/>
      <c r="N113" s="93" t="s">
        <v>140</v>
      </c>
      <c r="O113" s="93"/>
      <c r="P113" s="113"/>
      <c r="Q113" s="102"/>
      <c r="S113" s="110" t="s">
        <v>138</v>
      </c>
      <c r="T113" s="93" t="s">
        <v>139</v>
      </c>
      <c r="U113" s="93"/>
      <c r="V113" s="93"/>
      <c r="W113" s="93" t="s">
        <v>140</v>
      </c>
      <c r="X113" s="93"/>
      <c r="Y113" s="113"/>
      <c r="Z113" s="102"/>
      <c r="AB113" s="110" t="s">
        <v>138</v>
      </c>
      <c r="AC113" s="93" t="s">
        <v>139</v>
      </c>
      <c r="AD113" s="93"/>
      <c r="AE113" s="93"/>
      <c r="AF113" s="93" t="s">
        <v>140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142</v>
      </c>
      <c r="K117" s="28"/>
      <c r="L117" s="28"/>
      <c r="M117" s="28"/>
      <c r="N117" s="28"/>
      <c r="O117" s="28"/>
      <c r="P117" s="28"/>
      <c r="Q117" s="28"/>
      <c r="S117" s="28" t="s">
        <v>142</v>
      </c>
      <c r="T117" s="28"/>
      <c r="U117" s="28"/>
      <c r="V117" s="28"/>
      <c r="W117" s="28"/>
      <c r="X117" s="28"/>
      <c r="Y117" s="28"/>
      <c r="Z117" s="28"/>
      <c r="AB117" s="28" t="s">
        <v>142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143</v>
      </c>
      <c r="C119" s="114"/>
      <c r="D119" s="114" t="s">
        <v>144</v>
      </c>
      <c r="E119" s="114"/>
      <c r="F119" s="114" t="s">
        <v>145</v>
      </c>
      <c r="G119" s="114"/>
      <c r="H119" s="115" t="s">
        <v>146</v>
      </c>
      <c r="J119" s="78"/>
      <c r="K119" s="114" t="s">
        <v>143</v>
      </c>
      <c r="L119" s="114"/>
      <c r="M119" s="114" t="s">
        <v>144</v>
      </c>
      <c r="N119" s="114"/>
      <c r="O119" s="114" t="s">
        <v>145</v>
      </c>
      <c r="P119" s="114"/>
      <c r="Q119" s="115" t="s">
        <v>146</v>
      </c>
      <c r="S119" s="78"/>
      <c r="T119" s="114" t="s">
        <v>143</v>
      </c>
      <c r="U119" s="114"/>
      <c r="V119" s="114" t="s">
        <v>144</v>
      </c>
      <c r="W119" s="114"/>
      <c r="X119" s="114" t="s">
        <v>145</v>
      </c>
      <c r="Y119" s="114"/>
      <c r="Z119" s="115" t="s">
        <v>146</v>
      </c>
      <c r="AB119" s="78"/>
      <c r="AC119" s="114" t="s">
        <v>143</v>
      </c>
      <c r="AD119" s="114"/>
      <c r="AE119" s="114" t="s">
        <v>144</v>
      </c>
      <c r="AF119" s="114"/>
      <c r="AG119" s="114" t="s">
        <v>145</v>
      </c>
      <c r="AH119" s="114"/>
      <c r="AI119" s="115" t="s">
        <v>146</v>
      </c>
    </row>
    <row r="120" customFormat="false" ht="19.7" hidden="false" customHeight="false" outlineLevel="0" collapsed="false">
      <c r="A120" s="80"/>
      <c r="B120" s="116" t="s">
        <v>147</v>
      </c>
      <c r="C120" s="117" t="s">
        <v>148</v>
      </c>
      <c r="D120" s="116" t="s">
        <v>147</v>
      </c>
      <c r="E120" s="118" t="s">
        <v>148</v>
      </c>
      <c r="F120" s="116" t="s">
        <v>147</v>
      </c>
      <c r="G120" s="118" t="s">
        <v>148</v>
      </c>
      <c r="H120" s="119"/>
      <c r="J120" s="80"/>
      <c r="K120" s="116" t="s">
        <v>147</v>
      </c>
      <c r="L120" s="117" t="s">
        <v>148</v>
      </c>
      <c r="M120" s="116" t="s">
        <v>147</v>
      </c>
      <c r="N120" s="118" t="s">
        <v>148</v>
      </c>
      <c r="O120" s="116" t="s">
        <v>147</v>
      </c>
      <c r="P120" s="118" t="s">
        <v>148</v>
      </c>
      <c r="Q120" s="119"/>
      <c r="S120" s="80"/>
      <c r="T120" s="116" t="s">
        <v>147</v>
      </c>
      <c r="U120" s="117" t="s">
        <v>148</v>
      </c>
      <c r="V120" s="116" t="s">
        <v>147</v>
      </c>
      <c r="W120" s="118" t="s">
        <v>148</v>
      </c>
      <c r="X120" s="116" t="s">
        <v>147</v>
      </c>
      <c r="Y120" s="118" t="s">
        <v>148</v>
      </c>
      <c r="Z120" s="119"/>
      <c r="AB120" s="80"/>
      <c r="AC120" s="116" t="s">
        <v>147</v>
      </c>
      <c r="AD120" s="117" t="s">
        <v>148</v>
      </c>
      <c r="AE120" s="116" t="s">
        <v>147</v>
      </c>
      <c r="AF120" s="118" t="s">
        <v>148</v>
      </c>
      <c r="AG120" s="116" t="s">
        <v>147</v>
      </c>
      <c r="AH120" s="118" t="s">
        <v>148</v>
      </c>
      <c r="AI120" s="119"/>
    </row>
    <row r="121" customFormat="false" ht="17.35" hidden="false" customHeight="false" outlineLevel="0" collapsed="false">
      <c r="A121" s="25" t="s">
        <v>149</v>
      </c>
      <c r="B121" s="120" t="n">
        <f aca="false">B3</f>
        <v>16745</v>
      </c>
      <c r="C121" s="121" t="n">
        <f aca="false">B121</f>
        <v>16745</v>
      </c>
      <c r="D121" s="120" t="n">
        <f aca="false">D3</f>
        <v>0</v>
      </c>
      <c r="E121" s="121" t="n">
        <f aca="false">D121</f>
        <v>0</v>
      </c>
      <c r="F121" s="120" t="n">
        <f aca="false">F3</f>
        <v>0</v>
      </c>
      <c r="G121" s="121" t="n">
        <f aca="false">F121</f>
        <v>0</v>
      </c>
      <c r="H121" s="122" t="n">
        <f aca="false">H3</f>
        <v>0</v>
      </c>
      <c r="J121" s="25" t="s">
        <v>149</v>
      </c>
      <c r="K121" s="120" t="n">
        <f aca="false">B3</f>
        <v>16745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0</v>
      </c>
      <c r="P121" s="121" t="n">
        <f aca="false">O121</f>
        <v>0</v>
      </c>
      <c r="Q121" s="122" t="n">
        <f aca="false">H3</f>
        <v>0</v>
      </c>
      <c r="S121" s="25" t="s">
        <v>149</v>
      </c>
      <c r="T121" s="120" t="n">
        <f aca="false">B3</f>
        <v>16745</v>
      </c>
      <c r="U121" s="121" t="n">
        <f aca="false">T121</f>
        <v>16745</v>
      </c>
      <c r="V121" s="120" t="n">
        <f aca="false">D3</f>
        <v>0</v>
      </c>
      <c r="W121" s="121" t="n">
        <f aca="false">V121</f>
        <v>0</v>
      </c>
      <c r="X121" s="120" t="n">
        <f aca="false">F3</f>
        <v>0</v>
      </c>
      <c r="Y121" s="121" t="n">
        <f aca="false">X121</f>
        <v>0</v>
      </c>
      <c r="Z121" s="122" t="n">
        <f aca="false">H3</f>
        <v>0</v>
      </c>
      <c r="AB121" s="25" t="s">
        <v>149</v>
      </c>
      <c r="AC121" s="120" t="n">
        <f aca="false">B3</f>
        <v>16745</v>
      </c>
      <c r="AD121" s="121" t="n">
        <f aca="false">AC121</f>
        <v>16745</v>
      </c>
      <c r="AE121" s="120" t="n">
        <f aca="false">D3</f>
        <v>0</v>
      </c>
      <c r="AF121" s="121" t="n">
        <f aca="false">AE121</f>
        <v>0</v>
      </c>
      <c r="AG121" s="120" t="n">
        <f aca="false">F3</f>
        <v>0</v>
      </c>
      <c r="AH121" s="121" t="n">
        <f aca="false">AG121</f>
        <v>0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150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150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150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150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151</v>
      </c>
      <c r="B123" s="130" t="n">
        <f aca="false">B5</f>
        <v>0</v>
      </c>
      <c r="C123" s="121" t="n">
        <v>-3544.67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151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151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151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152</v>
      </c>
      <c r="B124" s="130" t="n">
        <f aca="false">(B121*B122)+B123</f>
        <v>0</v>
      </c>
      <c r="C124" s="131" t="n">
        <f aca="false">(C121*C122/100)+C123</f>
        <v>-3544.67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152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152</v>
      </c>
      <c r="T124" s="130" t="n">
        <f aca="false">(T121*T122)+T123</f>
        <v>0</v>
      </c>
      <c r="U124" s="131" t="n">
        <f aca="false">(U121*U122/100)+U123</f>
        <v>41.8625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152</v>
      </c>
      <c r="AC124" s="130" t="n">
        <f aca="false">(AC121*AC122)+AC123</f>
        <v>0</v>
      </c>
      <c r="AD124" s="131" t="n">
        <f aca="false">(AD121*AD122)+AD123</f>
        <v>4186.25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153</v>
      </c>
      <c r="B125" s="132" t="n">
        <f aca="false">B121-B124</f>
        <v>16745</v>
      </c>
      <c r="C125" s="133" t="n">
        <f aca="false">C121-C124</f>
        <v>20289.67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153</v>
      </c>
      <c r="K125" s="132" t="n">
        <f aca="false">K121-K124</f>
        <v>16745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0</v>
      </c>
      <c r="P125" s="133" t="n">
        <f aca="false">P121-P124</f>
        <v>0</v>
      </c>
      <c r="Q125" s="65"/>
      <c r="S125" s="56" t="s">
        <v>153</v>
      </c>
      <c r="T125" s="132" t="n">
        <f aca="false">T121-T124</f>
        <v>16745</v>
      </c>
      <c r="U125" s="133" t="n">
        <f aca="false">U121-U124</f>
        <v>16703.1375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0</v>
      </c>
      <c r="Y125" s="133" t="n">
        <f aca="false">Y121-Y124</f>
        <v>0</v>
      </c>
      <c r="Z125" s="65"/>
      <c r="AB125" s="56" t="s">
        <v>153</v>
      </c>
      <c r="AC125" s="132" t="n">
        <f aca="false">AC121-AC124</f>
        <v>16745</v>
      </c>
      <c r="AD125" s="133" t="n">
        <f aca="false">AD121-AD124</f>
        <v>12558.75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0</v>
      </c>
      <c r="AH125" s="133" t="n">
        <f aca="false">AH121-AH124</f>
        <v>0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147</v>
      </c>
      <c r="H127" s="137" t="s">
        <v>148</v>
      </c>
      <c r="J127" s="134"/>
      <c r="K127" s="135"/>
      <c r="L127" s="135"/>
      <c r="M127" s="135"/>
      <c r="N127" s="135"/>
      <c r="O127" s="135"/>
      <c r="P127" s="136" t="s">
        <v>147</v>
      </c>
      <c r="Q127" s="137" t="s">
        <v>148</v>
      </c>
      <c r="S127" s="134"/>
      <c r="T127" s="135"/>
      <c r="U127" s="135"/>
      <c r="V127" s="135"/>
      <c r="W127" s="135"/>
      <c r="X127" s="135"/>
      <c r="Y127" s="136" t="s">
        <v>147</v>
      </c>
      <c r="Z127" s="137" t="s">
        <v>148</v>
      </c>
      <c r="AB127" s="134"/>
      <c r="AC127" s="135"/>
      <c r="AD127" s="135"/>
      <c r="AE127" s="135"/>
      <c r="AF127" s="135"/>
      <c r="AG127" s="135"/>
      <c r="AH127" s="136" t="s">
        <v>147</v>
      </c>
      <c r="AI127" s="137" t="s">
        <v>148</v>
      </c>
    </row>
    <row r="128" customFormat="false" ht="17.35" hidden="false" customHeight="false" outlineLevel="0" collapsed="false">
      <c r="A128" s="140" t="s">
        <v>154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154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154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154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155</v>
      </c>
      <c r="B130" s="144" t="s">
        <v>156</v>
      </c>
      <c r="C130" s="144"/>
      <c r="D130" s="144" t="s">
        <v>157</v>
      </c>
      <c r="E130" s="144"/>
      <c r="F130" s="144" t="s">
        <v>151</v>
      </c>
      <c r="G130" s="144"/>
      <c r="H130" s="145" t="s">
        <v>148</v>
      </c>
      <c r="J130" s="147" t="s">
        <v>155</v>
      </c>
      <c r="K130" s="144" t="s">
        <v>156</v>
      </c>
      <c r="L130" s="144"/>
      <c r="M130" s="144" t="s">
        <v>157</v>
      </c>
      <c r="N130" s="144"/>
      <c r="O130" s="144" t="s">
        <v>151</v>
      </c>
      <c r="P130" s="144"/>
      <c r="Q130" s="145" t="s">
        <v>148</v>
      </c>
      <c r="S130" s="147" t="s">
        <v>155</v>
      </c>
      <c r="T130" s="144" t="s">
        <v>156</v>
      </c>
      <c r="U130" s="144"/>
      <c r="V130" s="144" t="s">
        <v>157</v>
      </c>
      <c r="W130" s="144"/>
      <c r="X130" s="144" t="s">
        <v>151</v>
      </c>
      <c r="Y130" s="144"/>
      <c r="Z130" s="145" t="s">
        <v>148</v>
      </c>
      <c r="AB130" s="147" t="s">
        <v>155</v>
      </c>
      <c r="AC130" s="144" t="s">
        <v>156</v>
      </c>
      <c r="AD130" s="144"/>
      <c r="AE130" s="144" t="s">
        <v>157</v>
      </c>
      <c r="AF130" s="144"/>
      <c r="AG130" s="144" t="s">
        <v>151</v>
      </c>
      <c r="AH130" s="144"/>
      <c r="AI130" s="145" t="s">
        <v>148</v>
      </c>
    </row>
    <row r="131" customFormat="false" ht="17.35" hidden="false" customHeight="false" outlineLevel="0" collapsed="false">
      <c r="A131" s="31" t="s">
        <v>158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158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158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158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159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159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159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159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160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160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160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160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161</v>
      </c>
      <c r="B135" s="152"/>
      <c r="C135" s="152"/>
      <c r="D135" s="152"/>
      <c r="E135" s="152"/>
      <c r="F135" s="152"/>
      <c r="G135" s="136" t="n">
        <f aca="false">H9</f>
        <v>16745</v>
      </c>
      <c r="H135" s="153" t="n">
        <f aca="false">C125+E125+G125+H128</f>
        <v>20289.67</v>
      </c>
      <c r="J135" s="152" t="s">
        <v>161</v>
      </c>
      <c r="K135" s="152"/>
      <c r="L135" s="152"/>
      <c r="M135" s="152"/>
      <c r="N135" s="152"/>
      <c r="O135" s="152"/>
      <c r="P135" s="136" t="n">
        <f aca="false">H9</f>
        <v>16745</v>
      </c>
      <c r="Q135" s="153" t="n">
        <f aca="false">L125+N125+P125+Q128</f>
        <v>28629.17</v>
      </c>
      <c r="S135" s="152" t="s">
        <v>161</v>
      </c>
      <c r="T135" s="152"/>
      <c r="U135" s="152"/>
      <c r="V135" s="152"/>
      <c r="W135" s="152"/>
      <c r="X135" s="152"/>
      <c r="Y135" s="136" t="n">
        <f aca="false">H9</f>
        <v>16745</v>
      </c>
      <c r="Z135" s="153" t="n">
        <f aca="false">U125+W125+Y125+Z128</f>
        <v>16703.1375</v>
      </c>
      <c r="AB135" s="152" t="s">
        <v>161</v>
      </c>
      <c r="AC135" s="152"/>
      <c r="AD135" s="152"/>
      <c r="AE135" s="152"/>
      <c r="AF135" s="152"/>
      <c r="AG135" s="152"/>
      <c r="AH135" s="136" t="n">
        <f aca="false">H9</f>
        <v>16745</v>
      </c>
      <c r="AI135" s="153" t="n">
        <f aca="false">AD125+AF125+AH125+AI128</f>
        <v>12558.75</v>
      </c>
    </row>
    <row r="136" customFormat="false" ht="17.35" hidden="false" customHeight="false" outlineLevel="0" collapsed="false">
      <c r="A136" s="154" t="s">
        <v>162</v>
      </c>
      <c r="B136" s="154"/>
      <c r="C136" s="154"/>
      <c r="D136" s="154"/>
      <c r="E136" s="154"/>
      <c r="F136" s="154"/>
      <c r="G136" s="155" t="n">
        <f aca="false">H10</f>
        <v>695</v>
      </c>
      <c r="H136" s="33" t="n">
        <f aca="false">G136</f>
        <v>695</v>
      </c>
      <c r="J136" s="154" t="s">
        <v>162</v>
      </c>
      <c r="K136" s="154"/>
      <c r="L136" s="154"/>
      <c r="M136" s="154"/>
      <c r="N136" s="154"/>
      <c r="O136" s="154"/>
      <c r="P136" s="155" t="n">
        <f aca="false">H10</f>
        <v>695</v>
      </c>
      <c r="Q136" s="33" t="n">
        <f aca="false">P136</f>
        <v>695</v>
      </c>
      <c r="S136" s="154" t="s">
        <v>162</v>
      </c>
      <c r="T136" s="154"/>
      <c r="U136" s="154"/>
      <c r="V136" s="154"/>
      <c r="W136" s="154"/>
      <c r="X136" s="154"/>
      <c r="Y136" s="155" t="n">
        <f aca="false">H10</f>
        <v>695</v>
      </c>
      <c r="Z136" s="33" t="n">
        <f aca="false">Y136</f>
        <v>695</v>
      </c>
      <c r="AB136" s="154" t="s">
        <v>162</v>
      </c>
      <c r="AC136" s="154"/>
      <c r="AD136" s="154"/>
      <c r="AE136" s="154"/>
      <c r="AF136" s="154"/>
      <c r="AG136" s="154"/>
      <c r="AH136" s="155" t="n">
        <f aca="false">H10</f>
        <v>695</v>
      </c>
      <c r="AI136" s="33" t="n">
        <f aca="false">AH136</f>
        <v>695</v>
      </c>
    </row>
    <row r="137" customFormat="false" ht="17.35" hidden="false" customHeight="false" outlineLevel="0" collapsed="false">
      <c r="A137" s="154" t="s">
        <v>163</v>
      </c>
      <c r="B137" s="154"/>
      <c r="C137" s="154"/>
      <c r="D137" s="154"/>
      <c r="E137" s="154"/>
      <c r="F137" s="154"/>
      <c r="G137" s="155" t="n">
        <f aca="false">H11</f>
        <v>3488</v>
      </c>
      <c r="H137" s="33" t="n">
        <f aca="false">(H135+H136)*20%</f>
        <v>4196.934</v>
      </c>
      <c r="J137" s="154" t="s">
        <v>163</v>
      </c>
      <c r="K137" s="154"/>
      <c r="L137" s="154"/>
      <c r="M137" s="154"/>
      <c r="N137" s="154"/>
      <c r="O137" s="154"/>
      <c r="P137" s="155" t="n">
        <f aca="false">H11</f>
        <v>3488</v>
      </c>
      <c r="Q137" s="33" t="n">
        <f aca="false">(Q135+Q136)*20%</f>
        <v>5864.834</v>
      </c>
      <c r="S137" s="154" t="s">
        <v>163</v>
      </c>
      <c r="T137" s="154"/>
      <c r="U137" s="154"/>
      <c r="V137" s="154"/>
      <c r="W137" s="154"/>
      <c r="X137" s="154"/>
      <c r="Y137" s="155" t="n">
        <f aca="false">H11</f>
        <v>3488</v>
      </c>
      <c r="Z137" s="33" t="n">
        <f aca="false">(Z135+Z136)*20%</f>
        <v>3479.6275</v>
      </c>
      <c r="AB137" s="154" t="s">
        <v>163</v>
      </c>
      <c r="AC137" s="154"/>
      <c r="AD137" s="154"/>
      <c r="AE137" s="154"/>
      <c r="AF137" s="154"/>
      <c r="AG137" s="154"/>
      <c r="AH137" s="155" t="n">
        <f aca="false">H11</f>
        <v>3488</v>
      </c>
      <c r="AI137" s="33" t="n">
        <f aca="false">(AI135+AI136)*20%</f>
        <v>2650.75</v>
      </c>
    </row>
    <row r="138" customFormat="false" ht="17.35" hidden="false" customHeight="false" outlineLevel="0" collapsed="false">
      <c r="A138" s="154" t="s">
        <v>164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164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164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164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165</v>
      </c>
      <c r="B139" s="154"/>
      <c r="C139" s="154"/>
      <c r="D139" s="154"/>
      <c r="E139" s="154"/>
      <c r="F139" s="154"/>
      <c r="G139" s="155" t="n">
        <f aca="false">H13</f>
        <v>275</v>
      </c>
      <c r="H139" s="33" t="n">
        <f aca="false">G139</f>
        <v>275</v>
      </c>
      <c r="J139" s="154" t="s">
        <v>165</v>
      </c>
      <c r="K139" s="154"/>
      <c r="L139" s="154"/>
      <c r="M139" s="154"/>
      <c r="N139" s="154"/>
      <c r="O139" s="154"/>
      <c r="P139" s="155" t="n">
        <f aca="false">H13</f>
        <v>275</v>
      </c>
      <c r="Q139" s="33" t="n">
        <f aca="false">P139</f>
        <v>275</v>
      </c>
      <c r="S139" s="154" t="s">
        <v>165</v>
      </c>
      <c r="T139" s="154"/>
      <c r="U139" s="154"/>
      <c r="V139" s="154"/>
      <c r="W139" s="154"/>
      <c r="X139" s="154"/>
      <c r="Y139" s="155" t="n">
        <f aca="false">H13</f>
        <v>275</v>
      </c>
      <c r="Z139" s="33" t="n">
        <f aca="false">Y139</f>
        <v>275</v>
      </c>
      <c r="AB139" s="154" t="s">
        <v>165</v>
      </c>
      <c r="AC139" s="154"/>
      <c r="AD139" s="154"/>
      <c r="AE139" s="154"/>
      <c r="AF139" s="154"/>
      <c r="AG139" s="154"/>
      <c r="AH139" s="155" t="n">
        <f aca="false">H13</f>
        <v>275</v>
      </c>
      <c r="AI139" s="33" t="n">
        <f aca="false">AH139</f>
        <v>275</v>
      </c>
    </row>
    <row r="140" customFormat="false" ht="17.35" hidden="false" customHeight="false" outlineLevel="0" collapsed="false">
      <c r="A140" s="154" t="s">
        <v>166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166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166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166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167</v>
      </c>
      <c r="B141" s="154"/>
      <c r="C141" s="154"/>
      <c r="D141" s="154"/>
      <c r="E141" s="154"/>
      <c r="F141" s="154"/>
      <c r="G141" s="453" t="n">
        <f aca="false">H15</f>
        <v>21268</v>
      </c>
      <c r="H141" s="157" t="n">
        <f aca="false">(H135+H136+H139+H140+H137)-H138</f>
        <v>25521.604</v>
      </c>
      <c r="J141" s="154" t="s">
        <v>167</v>
      </c>
      <c r="K141" s="154"/>
      <c r="L141" s="154"/>
      <c r="M141" s="154"/>
      <c r="N141" s="154"/>
      <c r="O141" s="154"/>
      <c r="P141" s="453" t="n">
        <f aca="false">H15</f>
        <v>21268</v>
      </c>
      <c r="Q141" s="157" t="n">
        <f aca="false">(Q135+Q136+Q139+Q140+Q137)-Q138</f>
        <v>35519.004</v>
      </c>
      <c r="S141" s="154" t="s">
        <v>167</v>
      </c>
      <c r="T141" s="154"/>
      <c r="U141" s="154"/>
      <c r="V141" s="154"/>
      <c r="W141" s="154"/>
      <c r="X141" s="154"/>
      <c r="Y141" s="453" t="n">
        <f aca="false">H15</f>
        <v>21268</v>
      </c>
      <c r="Z141" s="157" t="n">
        <f aca="false">(Z135+Z136+Z139+Z140+Z137)-Z138</f>
        <v>21207.765</v>
      </c>
      <c r="AB141" s="154" t="s">
        <v>167</v>
      </c>
      <c r="AC141" s="154"/>
      <c r="AD141" s="154"/>
      <c r="AE141" s="154"/>
      <c r="AF141" s="154"/>
      <c r="AG141" s="154"/>
      <c r="AH141" s="453" t="n">
        <f aca="false">H15</f>
        <v>21268</v>
      </c>
      <c r="AI141" s="157" t="n">
        <f aca="false">(AI135+AI136+AI139+AI140+AI137)-AI138</f>
        <v>16234.5</v>
      </c>
    </row>
    <row r="142" customFormat="false" ht="17.35" hidden="false" customHeight="false" outlineLevel="0" collapsed="false">
      <c r="A142" s="154" t="s">
        <v>168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168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168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168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169</v>
      </c>
      <c r="B143" s="111"/>
      <c r="C143" s="111"/>
      <c r="D143" s="111"/>
      <c r="E143" s="111"/>
      <c r="F143" s="111"/>
      <c r="G143" s="103"/>
      <c r="H143" s="33"/>
      <c r="J143" s="111" t="s">
        <v>169</v>
      </c>
      <c r="K143" s="111"/>
      <c r="L143" s="111"/>
      <c r="M143" s="111"/>
      <c r="N143" s="111"/>
      <c r="O143" s="111"/>
      <c r="P143" s="103"/>
      <c r="Q143" s="33"/>
      <c r="S143" s="111" t="s">
        <v>169</v>
      </c>
      <c r="T143" s="111"/>
      <c r="U143" s="111"/>
      <c r="V143" s="111"/>
      <c r="W143" s="111"/>
      <c r="X143" s="111"/>
      <c r="Y143" s="103"/>
      <c r="Z143" s="33"/>
      <c r="AB143" s="111" t="s">
        <v>169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170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170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170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170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170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170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170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170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170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170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170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170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171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21268</v>
      </c>
      <c r="H147" s="164" t="n">
        <f aca="false">H141-((H144*1.2)+(H145*1.2)+(H146*1.2)+(H142*1.2))</f>
        <v>25521.604</v>
      </c>
      <c r="J147" s="154" t="s">
        <v>171</v>
      </c>
      <c r="K147" s="154"/>
      <c r="L147" s="154"/>
      <c r="M147" s="154"/>
      <c r="N147" s="154"/>
      <c r="O147" s="154"/>
      <c r="P147" s="453" t="n">
        <f aca="false">P141-((P144*1.2)+(P145*1.2)+(P146*1.2)+(P142*1.2))</f>
        <v>21268</v>
      </c>
      <c r="Q147" s="164" t="n">
        <f aca="false">Q141-((Q144*1.2)+(Q145*1.2)+(Q146*1.2)+(Q142*1.2))</f>
        <v>35519.004</v>
      </c>
      <c r="S147" s="154" t="s">
        <v>171</v>
      </c>
      <c r="T147" s="154"/>
      <c r="U147" s="154"/>
      <c r="V147" s="154"/>
      <c r="W147" s="154"/>
      <c r="X147" s="154"/>
      <c r="Y147" s="453" t="n">
        <f aca="false">Y141-((Y144*1.2)+(Y145*1.2)+(Y146*1.2)+(Y142*1.2))</f>
        <v>21268</v>
      </c>
      <c r="Z147" s="164" t="n">
        <f aca="false">Z141-((Z144*1.2)+(Z145*1.2)+(Z146*1.2)+(Z142*1.2))</f>
        <v>21207.765</v>
      </c>
      <c r="AB147" s="154" t="s">
        <v>171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21268</v>
      </c>
      <c r="AI147" s="164" t="n">
        <f aca="false">AI141-((AI144*1.2)+(AI145*1.2)+(AI146*1.2)+(AI142*1.2))</f>
        <v>16234.5</v>
      </c>
    </row>
    <row r="148" customFormat="false" ht="17.35" hidden="false" customHeight="false" outlineLevel="0" collapsed="false">
      <c r="A148" s="154" t="s">
        <v>172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3544.67</v>
      </c>
      <c r="I148" s="1" t="n">
        <f aca="false">(H148-G81)/1.2</f>
        <v>-18314.1116666667</v>
      </c>
      <c r="J148" s="154" t="s">
        <v>172</v>
      </c>
      <c r="K148" s="154"/>
      <c r="L148" s="154"/>
      <c r="M148" s="154"/>
      <c r="N148" s="154"/>
      <c r="O148" s="154"/>
      <c r="P148" s="155"/>
      <c r="Q148" s="40" t="n">
        <f aca="false">Q147-P147</f>
        <v>14251.004</v>
      </c>
      <c r="S148" s="154" t="s">
        <v>172</v>
      </c>
      <c r="T148" s="154"/>
      <c r="U148" s="154"/>
      <c r="V148" s="154"/>
      <c r="W148" s="154"/>
      <c r="X148" s="154"/>
      <c r="Y148" s="155"/>
      <c r="Z148" s="40" t="n">
        <f aca="false">Z147-Y147</f>
        <v>-60.2350000000006</v>
      </c>
      <c r="AB148" s="154" t="s">
        <v>172</v>
      </c>
      <c r="AC148" s="154"/>
      <c r="AD148" s="154"/>
      <c r="AE148" s="154"/>
      <c r="AF148" s="154"/>
      <c r="AG148" s="154"/>
      <c r="AH148" s="155"/>
      <c r="AI148" s="40" t="n">
        <f aca="false">AI147-AH147</f>
        <v>-5033.5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173</v>
      </c>
      <c r="B150" s="28"/>
      <c r="C150" s="28"/>
      <c r="D150" s="28"/>
      <c r="E150" s="28"/>
      <c r="F150" s="28"/>
      <c r="G150" s="28"/>
      <c r="H150" s="28"/>
      <c r="J150" s="28" t="s">
        <v>173</v>
      </c>
      <c r="K150" s="28"/>
      <c r="L150" s="28"/>
      <c r="M150" s="28"/>
      <c r="N150" s="28"/>
      <c r="O150" s="28"/>
      <c r="P150" s="28"/>
      <c r="Q150" s="28"/>
      <c r="S150" s="28" t="s">
        <v>173</v>
      </c>
      <c r="T150" s="28"/>
      <c r="U150" s="28"/>
      <c r="V150" s="28"/>
      <c r="W150" s="28"/>
      <c r="X150" s="28"/>
      <c r="Y150" s="28"/>
      <c r="Z150" s="28"/>
      <c r="AB150" s="28" t="s">
        <v>173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174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174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174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174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175</v>
      </c>
      <c r="B153" s="93"/>
      <c r="C153" s="93"/>
      <c r="D153" s="23"/>
      <c r="E153" s="166" t="n">
        <f aca="false">G153</f>
        <v>0</v>
      </c>
      <c r="F153" s="166"/>
      <c r="G153" s="107" t="n">
        <v>500.0</v>
      </c>
      <c r="H153" s="107"/>
      <c r="J153" s="31" t="s">
        <v>175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175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175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176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31" t="s">
        <v>176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176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176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177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31" t="s">
        <v>177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177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177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178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25" t="s">
        <v>178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178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178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179</v>
      </c>
      <c r="B158" s="93"/>
      <c r="C158" s="93"/>
      <c r="D158" s="113"/>
      <c r="E158" s="93"/>
      <c r="F158" s="113"/>
      <c r="G158" s="170" t="n">
        <f aca="false">H147-G154-G157</f>
        <v>25521.604</v>
      </c>
      <c r="H158" s="170"/>
      <c r="J158" s="169" t="s">
        <v>179</v>
      </c>
      <c r="K158" s="93"/>
      <c r="L158" s="93"/>
      <c r="M158" s="113"/>
      <c r="N158" s="93"/>
      <c r="O158" s="113"/>
      <c r="P158" s="170" t="n">
        <f aca="false">Q147-P154-P157</f>
        <v>36519.004</v>
      </c>
      <c r="Q158" s="170"/>
      <c r="S158" s="169" t="s">
        <v>179</v>
      </c>
      <c r="T158" s="93"/>
      <c r="U158" s="93"/>
      <c r="V158" s="113"/>
      <c r="W158" s="93"/>
      <c r="X158" s="113"/>
      <c r="Y158" s="170" t="n">
        <f aca="false">Z147-Y154-Y157</f>
        <v>22207.765</v>
      </c>
      <c r="Z158" s="170"/>
      <c r="AB158" s="169" t="s">
        <v>179</v>
      </c>
      <c r="AC158" s="93"/>
      <c r="AD158" s="93"/>
      <c r="AE158" s="113"/>
      <c r="AF158" s="93"/>
      <c r="AG158" s="113"/>
      <c r="AH158" s="170" t="n">
        <f aca="false">AI147-AH154-AH157</f>
        <v>17234.5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180</v>
      </c>
      <c r="B162" s="28"/>
      <c r="C162" s="28"/>
      <c r="D162" s="28"/>
      <c r="E162" s="28"/>
      <c r="F162" s="28"/>
      <c r="G162" s="28"/>
      <c r="H162" s="28"/>
      <c r="J162" s="28" t="s">
        <v>180</v>
      </c>
      <c r="K162" s="28"/>
      <c r="L162" s="28"/>
      <c r="M162" s="28"/>
      <c r="N162" s="28"/>
      <c r="O162" s="28"/>
      <c r="P162" s="28"/>
      <c r="Q162" s="28"/>
      <c r="S162" s="28" t="s">
        <v>180</v>
      </c>
      <c r="T162" s="28"/>
      <c r="U162" s="28"/>
      <c r="V162" s="28"/>
      <c r="W162" s="28"/>
      <c r="X162" s="28"/>
      <c r="Y162" s="28"/>
      <c r="Z162" s="28"/>
      <c r="AB162" s="28" t="s">
        <v>180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181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181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181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181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182</v>
      </c>
      <c r="B166" s="174" t="s">
        <v>183</v>
      </c>
      <c r="C166" s="174"/>
      <c r="D166" s="174"/>
      <c r="E166" s="174" t="s">
        <v>184</v>
      </c>
      <c r="F166" s="23"/>
      <c r="G166" s="23" t="s">
        <v>185</v>
      </c>
      <c r="H166" s="33"/>
      <c r="J166" s="173" t="s">
        <v>182</v>
      </c>
      <c r="K166" s="174" t="s">
        <v>183</v>
      </c>
      <c r="L166" s="174"/>
      <c r="M166" s="174"/>
      <c r="N166" s="174" t="s">
        <v>184</v>
      </c>
      <c r="O166" s="23"/>
      <c r="P166" s="23"/>
      <c r="Q166" s="33"/>
      <c r="S166" s="173" t="s">
        <v>182</v>
      </c>
      <c r="T166" s="174" t="s">
        <v>183</v>
      </c>
      <c r="U166" s="174"/>
      <c r="V166" s="174"/>
      <c r="W166" s="174" t="s">
        <v>184</v>
      </c>
      <c r="X166" s="23"/>
      <c r="Y166" s="23"/>
      <c r="Z166" s="33"/>
      <c r="AB166" s="173" t="s">
        <v>182</v>
      </c>
      <c r="AC166" s="174" t="s">
        <v>183</v>
      </c>
      <c r="AD166" s="174"/>
      <c r="AE166" s="174"/>
      <c r="AF166" s="174" t="s">
        <v>184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716.691375487571</v>
      </c>
      <c r="B167" s="177" t="n">
        <f aca="false">B94</f>
        <v>61.9252941176471</v>
      </c>
      <c r="C167" s="174"/>
      <c r="D167" s="174"/>
      <c r="E167" s="177" t="n">
        <f aca="false">B96</f>
        <v>778.616669605218</v>
      </c>
      <c r="F167" s="23"/>
      <c r="G167" s="23" t="n">
        <f aca="false">ROUND(G95, 2)</f>
        <v>683.62</v>
      </c>
      <c r="H167" s="33"/>
      <c r="J167" s="176" t="n">
        <f aca="false">K95</f>
        <v>1460.84083744584</v>
      </c>
      <c r="K167" s="177" t="n">
        <f aca="false">K94</f>
        <v>78.2028</v>
      </c>
      <c r="L167" s="174"/>
      <c r="M167" s="174"/>
      <c r="N167" s="177" t="n">
        <f aca="false">K96</f>
        <v>1539.04363744584</v>
      </c>
      <c r="O167" s="23"/>
      <c r="P167" s="23"/>
      <c r="Q167" s="33"/>
      <c r="S167" s="176" t="n">
        <f aca="false">T95</f>
        <v>658.416988792871</v>
      </c>
      <c r="T167" s="177" t="n">
        <f aca="false">T94</f>
        <v>61.9252941176471</v>
      </c>
      <c r="U167" s="174"/>
      <c r="V167" s="174"/>
      <c r="W167" s="177" t="n">
        <f aca="false">T96</f>
        <v>720.342282910518</v>
      </c>
      <c r="X167" s="23"/>
      <c r="Y167" s="23"/>
      <c r="Z167" s="33"/>
      <c r="AB167" s="176" t="n">
        <f aca="false">AC95</f>
        <v>482.535406800493</v>
      </c>
      <c r="AC167" s="177" t="n">
        <f aca="false">AC94</f>
        <v>74.3103529411765</v>
      </c>
      <c r="AD167" s="174"/>
      <c r="AE167" s="174"/>
      <c r="AF167" s="177" t="n">
        <f aca="false">AC96</f>
        <v>556.845759741669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82</v>
      </c>
      <c r="B169" s="93" t="s">
        <v>83</v>
      </c>
      <c r="C169" s="93"/>
      <c r="D169" s="23"/>
      <c r="E169" s="93" t="s">
        <v>186</v>
      </c>
      <c r="F169" s="23"/>
      <c r="G169" s="23"/>
      <c r="H169" s="33"/>
      <c r="J169" s="31" t="s">
        <v>82</v>
      </c>
      <c r="K169" s="93" t="s">
        <v>83</v>
      </c>
      <c r="L169" s="93"/>
      <c r="M169" s="23"/>
      <c r="N169" s="93" t="s">
        <v>186</v>
      </c>
      <c r="O169" s="23"/>
      <c r="P169" s="23"/>
      <c r="Q169" s="33"/>
      <c r="S169" s="31" t="s">
        <v>82</v>
      </c>
      <c r="T169" s="93" t="s">
        <v>83</v>
      </c>
      <c r="U169" s="93"/>
      <c r="V169" s="23"/>
      <c r="W169" s="93" t="s">
        <v>186</v>
      </c>
      <c r="X169" s="23"/>
      <c r="Y169" s="23"/>
      <c r="Z169" s="33"/>
      <c r="AB169" s="31" t="s">
        <v>82</v>
      </c>
      <c r="AC169" s="93" t="s">
        <v>83</v>
      </c>
      <c r="AD169" s="93"/>
      <c r="AE169" s="23"/>
      <c r="AF169" s="93" t="s">
        <v>186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5250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5250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5250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5250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187</v>
      </c>
      <c r="B172" s="93" t="s">
        <v>188</v>
      </c>
      <c r="C172" s="93"/>
      <c r="D172" s="23"/>
      <c r="E172" s="93" t="s">
        <v>189</v>
      </c>
      <c r="F172" s="23"/>
      <c r="G172" s="23"/>
      <c r="H172" s="33"/>
      <c r="J172" s="31" t="s">
        <v>187</v>
      </c>
      <c r="K172" s="93" t="s">
        <v>188</v>
      </c>
      <c r="L172" s="93"/>
      <c r="M172" s="23"/>
      <c r="N172" s="93" t="s">
        <v>189</v>
      </c>
      <c r="O172" s="23"/>
      <c r="P172" s="23"/>
      <c r="Q172" s="33"/>
      <c r="S172" s="31" t="s">
        <v>187</v>
      </c>
      <c r="T172" s="93" t="s">
        <v>188</v>
      </c>
      <c r="U172" s="93"/>
      <c r="V172" s="23"/>
      <c r="W172" s="93" t="s">
        <v>189</v>
      </c>
      <c r="X172" s="23"/>
      <c r="Y172" s="23"/>
      <c r="Z172" s="33"/>
      <c r="AB172" s="31" t="s">
        <v>187</v>
      </c>
      <c r="AC172" s="93" t="s">
        <v>188</v>
      </c>
      <c r="AD172" s="93"/>
      <c r="AE172" s="23"/>
      <c r="AF172" s="93" t="s">
        <v>189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20984.67</v>
      </c>
      <c r="B173" s="103" t="n">
        <f aca="false">H137</f>
        <v>4196.934</v>
      </c>
      <c r="C173" s="186"/>
      <c r="D173" s="23"/>
      <c r="E173" s="182" t="n">
        <f aca="false">H139+H140</f>
        <v>340</v>
      </c>
      <c r="F173" s="23"/>
      <c r="G173" s="23"/>
      <c r="H173" s="33"/>
      <c r="J173" s="185" t="n">
        <f aca="false">Q141-Q137-Q139-Q140</f>
        <v>29324.17</v>
      </c>
      <c r="K173" s="103" t="n">
        <f aca="false">Q137</f>
        <v>5864.834</v>
      </c>
      <c r="L173" s="186"/>
      <c r="M173" s="23"/>
      <c r="N173" s="182" t="n">
        <f aca="false">Q139+Q140</f>
        <v>330</v>
      </c>
      <c r="O173" s="23"/>
      <c r="P173" s="23"/>
      <c r="Q173" s="33"/>
      <c r="S173" s="185" t="n">
        <f aca="false">Z141-Z137-Z139-Z140</f>
        <v>17398.1375</v>
      </c>
      <c r="T173" s="103" t="n">
        <f aca="false">Z137</f>
        <v>3479.6275</v>
      </c>
      <c r="U173" s="186"/>
      <c r="V173" s="23"/>
      <c r="W173" s="182" t="n">
        <f aca="false">Z139+Z140</f>
        <v>330</v>
      </c>
      <c r="X173" s="23"/>
      <c r="Y173" s="23"/>
      <c r="Z173" s="33"/>
      <c r="AB173" s="185" t="n">
        <f aca="false">AI141-AI137-AI139-AI140</f>
        <v>13253.75</v>
      </c>
      <c r="AC173" s="103" t="n">
        <f aca="false">AI137</f>
        <v>2650.75</v>
      </c>
      <c r="AD173" s="186"/>
      <c r="AE173" s="23"/>
      <c r="AF173" s="182" t="n">
        <f aca="false">AI139+AI140</f>
        <v>330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190</v>
      </c>
      <c r="B175" s="93" t="s">
        <v>136</v>
      </c>
      <c r="C175" s="93"/>
      <c r="D175" s="23"/>
      <c r="E175" s="93" t="s">
        <v>137</v>
      </c>
      <c r="F175" s="23"/>
      <c r="G175" s="23"/>
      <c r="H175" s="33"/>
      <c r="J175" s="31" t="s">
        <v>190</v>
      </c>
      <c r="K175" s="93" t="s">
        <v>136</v>
      </c>
      <c r="L175" s="93"/>
      <c r="M175" s="23"/>
      <c r="N175" s="93" t="s">
        <v>137</v>
      </c>
      <c r="O175" s="23"/>
      <c r="P175" s="23"/>
      <c r="Q175" s="33"/>
      <c r="S175" s="31" t="s">
        <v>190</v>
      </c>
      <c r="T175" s="93" t="s">
        <v>136</v>
      </c>
      <c r="U175" s="93"/>
      <c r="V175" s="23"/>
      <c r="W175" s="93" t="s">
        <v>137</v>
      </c>
      <c r="X175" s="23"/>
      <c r="Y175" s="23"/>
      <c r="Z175" s="33"/>
      <c r="AB175" s="31" t="s">
        <v>190</v>
      </c>
      <c r="AC175" s="93" t="s">
        <v>136</v>
      </c>
      <c r="AD175" s="93"/>
      <c r="AE175" s="23"/>
      <c r="AF175" s="93" t="s">
        <v>137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25521.604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185" t="n">
        <f aca="false">Q141</f>
        <v>35519.004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21207.765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16234.5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138</v>
      </c>
      <c r="B178" s="93" t="s">
        <v>174</v>
      </c>
      <c r="C178" s="93"/>
      <c r="D178" s="23"/>
      <c r="E178" s="93" t="s">
        <v>179</v>
      </c>
      <c r="F178" s="23"/>
      <c r="G178" s="23"/>
      <c r="H178" s="33"/>
      <c r="J178" s="31" t="s">
        <v>138</v>
      </c>
      <c r="K178" s="93" t="s">
        <v>174</v>
      </c>
      <c r="L178" s="93"/>
      <c r="M178" s="23"/>
      <c r="N178" s="93" t="s">
        <v>179</v>
      </c>
      <c r="O178" s="23"/>
      <c r="P178" s="23"/>
      <c r="Q178" s="33"/>
      <c r="S178" s="31" t="s">
        <v>138</v>
      </c>
      <c r="T178" s="93" t="s">
        <v>174</v>
      </c>
      <c r="U178" s="93"/>
      <c r="V178" s="23"/>
      <c r="W178" s="93" t="s">
        <v>179</v>
      </c>
      <c r="X178" s="23"/>
      <c r="Y178" s="23"/>
      <c r="Z178" s="33"/>
      <c r="AB178" s="31" t="s">
        <v>138</v>
      </c>
      <c r="AC178" s="93" t="s">
        <v>174</v>
      </c>
      <c r="AD178" s="93"/>
      <c r="AE178" s="23"/>
      <c r="AF178" s="93" t="s">
        <v>179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25521.604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36519.004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22207.765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17234.5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191</v>
      </c>
      <c r="B181" s="93" t="s">
        <v>53</v>
      </c>
      <c r="C181" s="93"/>
      <c r="D181" s="23"/>
      <c r="E181" s="93" t="s">
        <v>192</v>
      </c>
      <c r="F181" s="23"/>
      <c r="G181" s="23"/>
      <c r="H181" s="33"/>
      <c r="J181" s="31" t="s">
        <v>191</v>
      </c>
      <c r="K181" s="93" t="s">
        <v>53</v>
      </c>
      <c r="L181" s="93"/>
      <c r="M181" s="23"/>
      <c r="N181" s="93" t="s">
        <v>192</v>
      </c>
      <c r="O181" s="23"/>
      <c r="P181" s="23"/>
      <c r="Q181" s="33"/>
      <c r="S181" s="31" t="s">
        <v>191</v>
      </c>
      <c r="T181" s="93" t="s">
        <v>53</v>
      </c>
      <c r="U181" s="93"/>
      <c r="V181" s="23"/>
      <c r="W181" s="93" t="s">
        <v>192</v>
      </c>
      <c r="X181" s="23"/>
      <c r="Y181" s="23"/>
      <c r="Z181" s="33"/>
      <c r="AB181" s="31" t="s">
        <v>191</v>
      </c>
      <c r="AC181" s="93" t="s">
        <v>53</v>
      </c>
      <c r="AD181" s="93"/>
      <c r="AE181" s="23"/>
      <c r="AF181" s="93" t="s">
        <v>192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4095.90276657743</v>
      </c>
      <c r="B182" s="103" t="str">
        <f aca="false">B114</f>
        <v>199.99</v>
      </c>
      <c r="C182" s="103"/>
      <c r="D182" s="23"/>
      <c r="E182" s="103" t="n">
        <f aca="false">E179+A182+(B182*1.2)+A185</f>
        <v>29867.4947665774</v>
      </c>
      <c r="F182" s="23"/>
      <c r="G182" s="23"/>
      <c r="H182" s="105"/>
      <c r="J182" s="111" t="n">
        <f aca="false">(J167*K59)+N185-N179-J185</f>
        <v>18399.5844731586</v>
      </c>
      <c r="K182" s="103" t="n">
        <f aca="false">K114</f>
        <v>239.99</v>
      </c>
      <c r="L182" s="103"/>
      <c r="M182" s="23"/>
      <c r="N182" s="103" t="n">
        <f aca="false">N179+J182+K182+J185</f>
        <v>55178.5784731586</v>
      </c>
      <c r="O182" s="23"/>
      <c r="P182" s="23"/>
      <c r="Q182" s="105"/>
      <c r="S182" s="111" t="n">
        <f aca="false">(S167*T59)+W185-W179-S185</f>
        <v>5428.41261895761</v>
      </c>
      <c r="T182" s="103" t="n">
        <f aca="false">T114</f>
        <v>199.99</v>
      </c>
      <c r="U182" s="103"/>
      <c r="V182" s="23"/>
      <c r="W182" s="103" t="n">
        <f aca="false">W179+S182+T182+S185</f>
        <v>27846.1676189576</v>
      </c>
      <c r="X182" s="23"/>
      <c r="Y182" s="23"/>
      <c r="Z182" s="105"/>
      <c r="AB182" s="111" t="n">
        <f aca="false">(AB167*AC59)+AF185-AF179-AB185</f>
        <v>4421.70383121675</v>
      </c>
      <c r="AC182" s="103" t="n">
        <f aca="false">AC114</f>
        <v>239.99</v>
      </c>
      <c r="AD182" s="103"/>
      <c r="AE182" s="23"/>
      <c r="AF182" s="103" t="n">
        <f aca="false">AF179+AB182+AC182+AB185</f>
        <v>21906.1938312167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193</v>
      </c>
      <c r="B184" s="93" t="s">
        <v>194</v>
      </c>
      <c r="C184" s="93"/>
      <c r="D184" s="23"/>
      <c r="E184" s="93" t="s">
        <v>195</v>
      </c>
      <c r="F184" s="23"/>
      <c r="G184" s="23"/>
      <c r="H184" s="33"/>
      <c r="J184" s="31" t="s">
        <v>193</v>
      </c>
      <c r="K184" s="93" t="s">
        <v>194</v>
      </c>
      <c r="L184" s="93"/>
      <c r="M184" s="23"/>
      <c r="N184" s="93" t="s">
        <v>195</v>
      </c>
      <c r="O184" s="23"/>
      <c r="P184" s="23"/>
      <c r="Q184" s="33"/>
      <c r="S184" s="31" t="s">
        <v>193</v>
      </c>
      <c r="T184" s="93" t="s">
        <v>194</v>
      </c>
      <c r="U184" s="93"/>
      <c r="V184" s="23"/>
      <c r="W184" s="93" t="s">
        <v>195</v>
      </c>
      <c r="X184" s="23"/>
      <c r="Y184" s="23"/>
      <c r="Z184" s="33"/>
      <c r="AB184" s="31" t="s">
        <v>193</v>
      </c>
      <c r="AC184" s="93" t="s">
        <v>194</v>
      </c>
      <c r="AD184" s="93"/>
      <c r="AE184" s="23"/>
      <c r="AF184" s="93" t="s">
        <v>195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IF(A40=0,(E167),(E170+A185))</f>
        <v>5260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5270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5260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5260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196</v>
      </c>
      <c r="B187" s="93" t="s">
        <v>197</v>
      </c>
      <c r="C187" s="93"/>
      <c r="D187" s="93"/>
      <c r="E187" s="166" t="s">
        <v>198</v>
      </c>
      <c r="F187" s="23"/>
      <c r="G187" s="23"/>
      <c r="H187" s="33"/>
      <c r="J187" s="31" t="s">
        <v>196</v>
      </c>
      <c r="K187" s="93" t="s">
        <v>197</v>
      </c>
      <c r="L187" s="93"/>
      <c r="M187" s="93"/>
      <c r="N187" s="166" t="s">
        <v>198</v>
      </c>
      <c r="O187" s="23"/>
      <c r="P187" s="23"/>
      <c r="Q187" s="33"/>
      <c r="S187" s="31" t="s">
        <v>196</v>
      </c>
      <c r="T187" s="93" t="s">
        <v>197</v>
      </c>
      <c r="U187" s="93"/>
      <c r="V187" s="93"/>
      <c r="W187" s="166" t="s">
        <v>198</v>
      </c>
      <c r="X187" s="32"/>
      <c r="Y187" s="32"/>
      <c r="Z187" s="33"/>
      <c r="AB187" s="31" t="s">
        <v>196</v>
      </c>
      <c r="AC187" s="93" t="s">
        <v>197</v>
      </c>
      <c r="AD187" s="93"/>
      <c r="AE187" s="93"/>
      <c r="AF187" s="166" t="s">
        <v>198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4.1856</v>
      </c>
      <c r="B188" s="103" t="n">
        <f aca="false">(G158*B67)/1.2</f>
        <v>208.249199305556</v>
      </c>
      <c r="C188" s="93"/>
      <c r="D188" s="93"/>
      <c r="E188" s="103" t="n">
        <f aca="false">(E40*A108)*0.1*(C45/100)</f>
        <v>35.091</v>
      </c>
      <c r="F188" s="23"/>
      <c r="G188" s="23"/>
      <c r="H188" s="33"/>
      <c r="J188" s="111" t="n">
        <f aca="false">IF(N105="YES", H15*0.000002, 0)</f>
        <v>0.042536</v>
      </c>
      <c r="K188" s="103" t="n">
        <f aca="false">(P158*K67)/1.2</f>
        <v>2250.73722569444</v>
      </c>
      <c r="L188" s="93"/>
      <c r="M188" s="93"/>
      <c r="N188" s="103" t="n">
        <f aca="false">(E40*J108)*0.1</f>
        <v>52.6365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181.209193576389</v>
      </c>
      <c r="U188" s="93"/>
      <c r="V188" s="93"/>
      <c r="W188" s="103" t="n">
        <f aca="false">(E40*S108)*0.1</f>
        <v>35.091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140.628732638889</v>
      </c>
      <c r="AD188" s="93"/>
      <c r="AE188" s="93"/>
      <c r="AF188" s="103" t="n">
        <f aca="false">(E40*AB108)*0.1</f>
        <v>35.091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199</v>
      </c>
      <c r="B190" s="166" t="s">
        <v>200</v>
      </c>
      <c r="C190" s="93"/>
      <c r="D190" s="93"/>
      <c r="E190" s="166" t="s">
        <v>201</v>
      </c>
      <c r="F190" s="23"/>
      <c r="G190" s="23"/>
      <c r="H190" s="33"/>
      <c r="J190" s="60" t="s">
        <v>199</v>
      </c>
      <c r="K190" s="166" t="s">
        <v>200</v>
      </c>
      <c r="L190" s="93"/>
      <c r="M190" s="93"/>
      <c r="N190" s="166" t="s">
        <v>201</v>
      </c>
      <c r="O190" s="23"/>
      <c r="P190" s="23"/>
      <c r="Q190" s="33"/>
      <c r="S190" s="60" t="s">
        <v>199</v>
      </c>
      <c r="T190" s="166" t="s">
        <v>200</v>
      </c>
      <c r="U190" s="93"/>
      <c r="V190" s="93"/>
      <c r="W190" s="166" t="s">
        <v>201</v>
      </c>
      <c r="X190" s="32"/>
      <c r="Y190" s="32"/>
      <c r="Z190" s="33"/>
      <c r="AB190" s="60" t="s">
        <v>199</v>
      </c>
      <c r="AC190" s="166" t="s">
        <v>200</v>
      </c>
      <c r="AD190" s="93"/>
      <c r="AE190" s="93"/>
      <c r="AF190" s="166" t="s">
        <v>201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343.330199305556</v>
      </c>
      <c r="C191" s="93"/>
      <c r="D191" s="93"/>
      <c r="E191" s="103" t="n">
        <f aca="false">H148</f>
        <v>3544.67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3443.36372569444</v>
      </c>
      <c r="L191" s="93"/>
      <c r="M191" s="93"/>
      <c r="N191" s="103" t="n">
        <f aca="false">Q148</f>
        <v>14251.004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1316.29019357639</v>
      </c>
      <c r="U191" s="93"/>
      <c r="V191" s="93"/>
      <c r="W191" s="103" t="n">
        <f aca="false">Z148</f>
        <v>-60.2350000000006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1315.70973263889</v>
      </c>
      <c r="AD191" s="93"/>
      <c r="AE191" s="93"/>
      <c r="AF191" s="103" t="n">
        <f aca="false">AI148</f>
        <v>-5033.5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202</v>
      </c>
      <c r="B193" s="93"/>
      <c r="C193" s="93"/>
      <c r="D193" s="67"/>
      <c r="E193" s="67"/>
      <c r="F193" s="67"/>
      <c r="G193" s="67"/>
      <c r="H193" s="68"/>
      <c r="J193" s="66" t="s">
        <v>202</v>
      </c>
      <c r="K193" s="93"/>
      <c r="L193" s="93"/>
      <c r="M193" s="67"/>
      <c r="N193" s="67"/>
      <c r="O193" s="67"/>
      <c r="P193" s="67"/>
      <c r="Q193" s="68"/>
      <c r="S193" s="66" t="s">
        <v>202</v>
      </c>
      <c r="T193" s="93"/>
      <c r="U193" s="93"/>
      <c r="V193" s="67"/>
      <c r="W193" s="67"/>
      <c r="X193" s="67"/>
      <c r="Y193" s="67"/>
      <c r="Z193" s="68"/>
      <c r="AB193" s="66" t="s">
        <v>202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82</v>
      </c>
      <c r="B195" s="71" t="s">
        <v>83</v>
      </c>
      <c r="C195" s="71"/>
      <c r="D195" s="71"/>
      <c r="E195" s="23"/>
      <c r="F195" s="23"/>
      <c r="G195" s="23"/>
      <c r="H195" s="33"/>
      <c r="J195" s="187" t="s">
        <v>82</v>
      </c>
      <c r="K195" s="71" t="s">
        <v>83</v>
      </c>
      <c r="L195" s="71"/>
      <c r="M195" s="71"/>
      <c r="N195" s="23"/>
      <c r="O195" s="23"/>
      <c r="P195" s="23"/>
      <c r="Q195" s="33"/>
      <c r="S195" s="187" t="s">
        <v>82</v>
      </c>
      <c r="T195" s="71" t="s">
        <v>83</v>
      </c>
      <c r="U195" s="71"/>
      <c r="V195" s="71"/>
      <c r="W195" s="23"/>
      <c r="X195" s="23"/>
      <c r="Y195" s="23"/>
      <c r="Z195" s="33"/>
      <c r="AB195" s="187" t="s">
        <v>82</v>
      </c>
      <c r="AC195" s="71" t="s">
        <v>83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778.616669605218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1539.04363744584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720.342282910518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556.845759741669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203</v>
      </c>
      <c r="B200" s="93" t="s">
        <v>204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2971.476</v>
      </c>
      <c r="B201" s="186" t="n">
        <f aca="false">E179+A201+(B182*1.2)+A185</f>
        <v>28743.068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180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125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205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182</v>
      </c>
      <c r="B211" s="192" t="s">
        <v>183</v>
      </c>
      <c r="C211" s="192"/>
      <c r="D211" s="192"/>
      <c r="E211" s="192" t="s">
        <v>184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716.691375487571</v>
      </c>
      <c r="B212" s="177" t="n">
        <f aca="false">B167</f>
        <v>61.9252941176471</v>
      </c>
      <c r="C212" s="174"/>
      <c r="D212" s="174"/>
      <c r="E212" s="177" t="n">
        <f aca="false">E167</f>
        <v>778.616669605218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187</v>
      </c>
      <c r="B214" s="93" t="s">
        <v>188</v>
      </c>
      <c r="C214" s="93"/>
      <c r="D214" s="113"/>
      <c r="E214" s="93" t="s">
        <v>189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20984.67</v>
      </c>
      <c r="B215" s="103" t="n">
        <f aca="false">B173</f>
        <v>4196.934</v>
      </c>
      <c r="C215" s="186"/>
      <c r="D215" s="113"/>
      <c r="E215" s="182" t="n">
        <f aca="false">E173</f>
        <v>340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190</v>
      </c>
      <c r="B217" s="93" t="s">
        <v>136</v>
      </c>
      <c r="C217" s="93"/>
      <c r="D217" s="113"/>
      <c r="E217" s="93" t="s">
        <v>137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25521.604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138</v>
      </c>
      <c r="B220" s="93" t="s">
        <v>174</v>
      </c>
      <c r="C220" s="93"/>
      <c r="D220" s="113"/>
      <c r="E220" s="93" t="s">
        <v>179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25521.604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191</v>
      </c>
      <c r="B223" s="93" t="s">
        <v>53</v>
      </c>
      <c r="C223" s="93"/>
      <c r="D223" s="113"/>
      <c r="E223" s="93" t="s">
        <v>192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4095.90276657743</v>
      </c>
      <c r="B224" s="103" t="str">
        <f aca="false">B182</f>
        <v>199.99</v>
      </c>
      <c r="C224" s="103"/>
      <c r="D224" s="113"/>
      <c r="E224" s="103" t="n">
        <f aca="false">E182</f>
        <v>29867.4947665774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193</v>
      </c>
      <c r="B226" s="93" t="s">
        <v>194</v>
      </c>
      <c r="C226" s="93"/>
      <c r="D226" s="113"/>
      <c r="E226" s="93" t="s">
        <v>206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182</v>
      </c>
      <c r="B229" s="93" t="s">
        <v>183</v>
      </c>
      <c r="C229" s="93"/>
      <c r="D229" s="93"/>
      <c r="E229" s="93" t="s">
        <v>184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716.691375487571</v>
      </c>
      <c r="B230" s="103" t="n">
        <f aca="false">B167</f>
        <v>61.9252941176471</v>
      </c>
      <c r="C230" s="186"/>
      <c r="D230" s="186"/>
      <c r="E230" s="103" t="n">
        <f aca="false">E167</f>
        <v>778.616669605218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207</v>
      </c>
      <c r="B232" s="93" t="s">
        <v>208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5250</v>
      </c>
      <c r="B233" s="103" t="n">
        <f aca="false">E185</f>
        <v>5260</v>
      </c>
      <c r="C233" s="93"/>
      <c r="D233" s="93"/>
      <c r="E233" s="103" t="n">
        <f aca="false">J18*0.000006*100</f>
        <v>12.5568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209</v>
      </c>
      <c r="B235" s="166" t="s">
        <v>72</v>
      </c>
      <c r="C235" s="93"/>
      <c r="D235" s="93"/>
      <c r="E235" s="166" t="s">
        <v>130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4.1856</v>
      </c>
      <c r="B236" s="103" t="n">
        <f aca="false">E233+A236</f>
        <v>16.7424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210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211</v>
      </c>
      <c r="B239" s="93" t="s">
        <v>197</v>
      </c>
      <c r="C239" s="93"/>
      <c r="D239" s="93"/>
      <c r="E239" s="166" t="s">
        <v>198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3544.67</v>
      </c>
      <c r="B240" s="103" t="n">
        <f aca="false">B68</f>
        <v>208.249199305556</v>
      </c>
      <c r="C240" s="93"/>
      <c r="D240" s="93"/>
      <c r="E240" s="103" t="n">
        <f aca="false">E188</f>
        <v>35.091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199</v>
      </c>
      <c r="B242" s="166" t="s">
        <v>200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3888.00019930555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212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213</v>
      </c>
      <c r="B253" s="196" t="n">
        <f aca="false">K35</f>
        <v>0.065</v>
      </c>
      <c r="C253" s="197"/>
      <c r="D253" s="198" t="s">
        <v>214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215</v>
      </c>
      <c r="B254" s="200" t="n">
        <f aca="false">(E182-B182)-(B201-B182-A185)</f>
        <v>1134.42676657742</v>
      </c>
      <c r="C254" s="197"/>
      <c r="D254" s="198" t="s">
        <v>216</v>
      </c>
      <c r="E254" s="198"/>
      <c r="F254" s="200" t="n">
        <f aca="false">F261+F267+F269+B270+B271</f>
        <v>249.899039166667</v>
      </c>
      <c r="G254" s="23"/>
      <c r="H254" s="33"/>
    </row>
    <row r="255" customFormat="false" ht="17.35" hidden="false" customHeight="false" outlineLevel="0" collapsed="false">
      <c r="A255" s="191" t="s">
        <v>217</v>
      </c>
      <c r="B255" s="200" t="n">
        <f aca="false">F262+B263</f>
        <v>450.9</v>
      </c>
      <c r="C255" s="197"/>
      <c r="D255" s="198" t="s">
        <v>218</v>
      </c>
      <c r="E255" s="198"/>
      <c r="F255" s="200" t="n">
        <f aca="false">(B254-F254)+B255</f>
        <v>1335.42772741076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213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219</v>
      </c>
      <c r="B259" s="205" t="n">
        <f aca="false">B64</f>
        <v>0.024</v>
      </c>
      <c r="C259" s="32"/>
      <c r="D259" s="166" t="s">
        <v>220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214</v>
      </c>
      <c r="B260" s="209" t="n">
        <f aca="false">B83</f>
        <v>0.089</v>
      </c>
      <c r="C260" s="43"/>
      <c r="D260" s="166" t="s">
        <v>215</v>
      </c>
      <c r="E260" s="166"/>
      <c r="F260" s="146" t="n">
        <f aca="false">B254</f>
        <v>1134.42676657742</v>
      </c>
      <c r="G260" s="23"/>
      <c r="H260" s="33"/>
    </row>
    <row r="261" customFormat="false" ht="17.35" hidden="false" customHeight="false" outlineLevel="0" collapsed="false">
      <c r="A261" s="31" t="s">
        <v>221</v>
      </c>
      <c r="B261" s="209" t="n">
        <f aca="false">B67</f>
        <v>0.00979166666666667</v>
      </c>
      <c r="C261" s="32"/>
      <c r="D261" s="166" t="s">
        <v>221</v>
      </c>
      <c r="E261" s="166"/>
      <c r="F261" s="151" t="n">
        <f aca="false">B68*1.2</f>
        <v>249.899039166667</v>
      </c>
      <c r="G261" s="23"/>
      <c r="H261" s="33"/>
    </row>
    <row r="262" customFormat="false" ht="17.35" hidden="false" customHeight="false" outlineLevel="0" collapsed="false">
      <c r="A262" s="31" t="s">
        <v>222</v>
      </c>
      <c r="B262" s="205" t="n">
        <f aca="false">A108</f>
        <v>0.2</v>
      </c>
      <c r="C262" s="32"/>
      <c r="D262" s="166" t="s">
        <v>222</v>
      </c>
      <c r="E262" s="166"/>
      <c r="F262" s="146" t="n">
        <f aca="false">E240*10</f>
        <v>350.91</v>
      </c>
      <c r="G262" s="23"/>
      <c r="H262" s="33"/>
    </row>
    <row r="263" customFormat="false" ht="17.35" hidden="false" customHeight="false" outlineLevel="0" collapsed="false">
      <c r="A263" s="31" t="s">
        <v>223</v>
      </c>
      <c r="B263" s="146" t="n">
        <f aca="false">A243</f>
        <v>99.99</v>
      </c>
      <c r="C263" s="32"/>
      <c r="D263" s="39" t="s">
        <v>218</v>
      </c>
      <c r="E263" s="39"/>
      <c r="F263" s="146" t="n">
        <f aca="false">(B254-F254)+B255</f>
        <v>1335.42772741076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224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225</v>
      </c>
      <c r="B266" s="151" t="n">
        <v>0</v>
      </c>
      <c r="C266" s="32"/>
      <c r="D266" s="210" t="s">
        <v>226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227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228</v>
      </c>
      <c r="B268" s="211" t="s">
        <v>4</v>
      </c>
      <c r="C268" s="32"/>
      <c r="D268" s="166" t="s">
        <v>229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230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231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232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238" t="n">
        <f aca="false">IF(C107="YES",H31,0)</f>
        <v>8730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I31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A40/1.2</f>
        <v>7275</v>
      </c>
      <c r="I40" s="238" t="n">
        <f aca="false">H39-I39</f>
        <v>-16643.8379370533</v>
      </c>
      <c r="J40" s="63" t="n">
        <v>24583.34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216"/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471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280</v>
      </c>
      <c r="B74" s="432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281</v>
      </c>
      <c r="B75" s="434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282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0</v>
      </c>
      <c r="C77" s="215"/>
      <c r="D77" s="291" t="n">
        <f aca="false">B77</f>
        <v>0</v>
      </c>
      <c r="E77" s="216"/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215"/>
      <c r="D78" s="291" t="n">
        <f aca="false">B78</f>
        <v>0</v>
      </c>
      <c r="E78" s="21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2480.16</v>
      </c>
      <c r="C81" s="215"/>
      <c r="D81" s="215"/>
      <c r="E81" s="21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112.734545454545</v>
      </c>
      <c r="C82" s="215"/>
      <c r="D82" s="215"/>
      <c r="E82" s="21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216"/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14555.8518458475</v>
      </c>
      <c r="C85" s="215"/>
      <c r="D85" s="215"/>
      <c r="E85" s="216"/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123.304916806292</v>
      </c>
      <c r="C86" s="215"/>
      <c r="D86" s="215"/>
      <c r="E86" s="216"/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14679.1567626538</v>
      </c>
      <c r="C87" s="215"/>
      <c r="D87" s="215"/>
      <c r="E87" s="216"/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(D40+(D40*B105))/(B57+B58))*(C45/100)</f>
        <v>60.515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667.234398302444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727.749398302444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343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344</v>
      </c>
      <c r="C107" s="222" t="s">
        <v>18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667.234398302444</v>
      </c>
      <c r="B128" s="321" t="n">
        <f aca="false">IF(A105="YES", B89, 0)</f>
        <v>60.515</v>
      </c>
      <c r="C128" s="325"/>
      <c r="D128" s="321" t="n">
        <f aca="false">B91</f>
        <v>727.749398302444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667.234398302444</v>
      </c>
      <c r="C131" s="317"/>
      <c r="D131" s="38" t="n">
        <f aca="false">IF(A105="YES", B89*B57, 0)</f>
        <v>60.515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727.749398302444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667.234398302444</v>
      </c>
      <c r="B137" s="38" t="n">
        <f aca="false">IF(A105="YES", B89, 0)</f>
        <v>60.515</v>
      </c>
      <c r="C137" s="317"/>
      <c r="D137" s="38" t="n">
        <f aca="false">B91</f>
        <v>727.749398302444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427.193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727.749398302444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667.234398302444</v>
      </c>
      <c r="B177" s="355" t="n">
        <f aca="false">IF(A105="YES", B89, 0)</f>
        <v>60.515</v>
      </c>
      <c r="C177" s="357"/>
      <c r="D177" s="355" t="n">
        <f aca="false">B91</f>
        <v>727.749398302444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667.234398302444</v>
      </c>
      <c r="C180" s="353"/>
      <c r="D180" s="103" t="n">
        <f aca="false">IF(A105="YES", B89*B57, 0)</f>
        <v>60.515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727.749398302444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667.234398302444</v>
      </c>
      <c r="B186" s="103" t="n">
        <f aca="false">IF(A105="YES", B89, 0)</f>
        <v>60.515</v>
      </c>
      <c r="C186" s="353"/>
      <c r="D186" s="103" t="n">
        <f aca="false">B91</f>
        <v>727.749398302444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427.193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407.22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1880.9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1880.9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123.304916806292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16745</v>
      </c>
      <c r="C3" s="498" t="n">
        <v>0</v>
      </c>
      <c r="D3" s="263" t="n">
        <v>0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-809.375933114363</v>
      </c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8" t="n">
        <f aca="false">(B7+C7+D7+E3)</f>
        <v>16745</v>
      </c>
      <c r="F9" s="63"/>
      <c r="G9" s="454" t="n">
        <f aca="false">E9-G11</f>
        <v>-135530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454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 E9 + E10 ) * 0.2</f>
        <v>3488</v>
      </c>
      <c r="F11" s="63"/>
      <c r="G11" s="454" t="n">
        <f aca="false">G13/1.2</f>
        <v>152275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454" t="n">
        <f aca="false">G15-E14-E13-E12</f>
        <v>182730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21268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20928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22000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8730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1024.1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595.445083902158</v>
      </c>
      <c r="E33" s="216"/>
      <c r="F33" s="63"/>
      <c r="G33" s="219" t="s">
        <v>356</v>
      </c>
      <c r="H33" s="460" t="n">
        <f aca="false">E21-E11+((E16*20%)+(E19*20%)+(E20*20%))</f>
        <v>17780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548.895083902158</v>
      </c>
      <c r="B36" s="103" t="n">
        <f aca="false">IF(B26="YES", H42, "")</f>
        <v>46.55</v>
      </c>
      <c r="C36" s="221"/>
      <c r="D36" s="184" t="n">
        <f aca="false">H31</f>
        <v>8730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17780</v>
      </c>
      <c r="I39" s="238" t="n">
        <f aca="false">(I48*H46)+H44</f>
        <v>34423.8379370532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8730</v>
      </c>
      <c r="B40" s="107" t="n">
        <f aca="false">IF(B26="YES",H42,"0")</f>
        <v>46.55</v>
      </c>
      <c r="C40" s="107"/>
      <c r="D40" s="184" t="n">
        <f aca="false">I32</f>
        <v>1024.1</v>
      </c>
      <c r="E40" s="216"/>
      <c r="F40" s="63"/>
      <c r="G40" s="63" t="s">
        <v>106</v>
      </c>
      <c r="H40" s="238" t="n">
        <f aca="false">(A40)/1.2</f>
        <v>7275</v>
      </c>
      <c r="I40" s="238" t="n">
        <f aca="false">H39-I39</f>
        <v>-16643.8379370533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46.55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6425.00031244387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510" t="n">
        <v>100</v>
      </c>
      <c r="D45" s="510"/>
      <c r="E45" s="216"/>
      <c r="F45" s="63"/>
      <c r="G45" s="63" t="s">
        <v>374</v>
      </c>
      <c r="H45" s="238" t="n">
        <f aca="false">(H39-H44)</f>
        <v>11354.9996875561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548.895083902158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595.445083902158</v>
      </c>
      <c r="I48" s="238" t="n">
        <f aca="false">I49-H42</f>
        <v>1353.45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595.445083902158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214" t="s">
        <v>14</v>
      </c>
      <c r="N61" s="291" t="n">
        <f aca="false">G18</f>
        <v>20928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0.0845833333333333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1770.16</v>
      </c>
      <c r="C64" s="215" t="n">
        <v>10000</v>
      </c>
      <c r="D64" s="291" t="n">
        <f aca="false">B64-A143</f>
        <v>1770.16</v>
      </c>
      <c r="E64" s="466" t="n">
        <f aca="false">D64/(B58+B57)</f>
        <v>80.4618181818182</v>
      </c>
      <c r="F64" s="63"/>
      <c r="G64" s="285" t="s">
        <v>90</v>
      </c>
      <c r="H64" s="133" t="n">
        <f aca="false">H61*H63</f>
        <v>1770.16</v>
      </c>
      <c r="I64" s="215"/>
      <c r="J64" s="291" t="n">
        <f aca="false">H64-G145</f>
        <v>1770.16</v>
      </c>
      <c r="K64" s="216"/>
      <c r="L64" s="63"/>
      <c r="M64" s="285" t="s">
        <v>90</v>
      </c>
      <c r="N64" s="133" t="n">
        <f aca="false">N61*N63</f>
        <v>1770.16</v>
      </c>
      <c r="O64" s="215"/>
      <c r="P64" s="291" t="n">
        <f aca="false">N64-M145</f>
        <v>1770.16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0.0141666666666667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296.48</v>
      </c>
      <c r="C67" s="215"/>
      <c r="D67" s="291"/>
      <c r="E67" s="216"/>
      <c r="F67" s="63"/>
      <c r="G67" s="285" t="s">
        <v>93</v>
      </c>
      <c r="H67" s="133" t="n">
        <f aca="false">(H61*H66)/1.2</f>
        <v>247.066666666667</v>
      </c>
      <c r="I67" s="215"/>
      <c r="J67" s="291"/>
      <c r="K67" s="216"/>
      <c r="L67" s="63"/>
      <c r="M67" s="285" t="s">
        <v>93</v>
      </c>
      <c r="N67" s="133" t="n">
        <f aca="false">(N61*N66)/1.2</f>
        <v>247.066666666667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110</v>
      </c>
      <c r="C73" s="215"/>
      <c r="D73" s="291" t="n">
        <f aca="false">B73+B71</f>
        <v>310</v>
      </c>
      <c r="E73" s="216"/>
      <c r="F73" s="63"/>
      <c r="G73" s="285" t="s">
        <v>99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99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466" t="n">
        <f aca="false">(D73+D76+D79+D80)/(B58+B57)</f>
        <v>32.2727272727273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3146.82666666667</v>
      </c>
      <c r="C81" s="215"/>
      <c r="D81" s="215"/>
      <c r="E81" s="466"/>
      <c r="F81" s="63"/>
      <c r="G81" s="303" t="s">
        <v>102</v>
      </c>
      <c r="H81" s="304" t="n">
        <f aca="false">SUM(J64:J80)</f>
        <v>2580.41</v>
      </c>
      <c r="I81" s="215"/>
      <c r="J81" s="215"/>
      <c r="K81" s="216"/>
      <c r="L81" s="63"/>
      <c r="M81" s="303" t="s">
        <v>102</v>
      </c>
      <c r="N81" s="304" t="n">
        <f aca="false">SUM(P64:P80)</f>
        <v>2429.16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143.037575757576</v>
      </c>
      <c r="C82" s="215"/>
      <c r="D82" s="215"/>
      <c r="E82" s="466"/>
      <c r="F82" s="63"/>
      <c r="G82" s="214" t="s">
        <v>103</v>
      </c>
      <c r="H82" s="300" t="n">
        <f aca="false">H81/H29</f>
        <v>117.291363636364</v>
      </c>
      <c r="I82" s="215"/>
      <c r="J82" s="215"/>
      <c r="K82" s="216"/>
      <c r="L82" s="63"/>
      <c r="M82" s="214" t="s">
        <v>103</v>
      </c>
      <c r="N82" s="300" t="n">
        <f aca="false">N81/H29</f>
        <v>110.416363636364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548.895083902158</v>
      </c>
      <c r="C83" s="215"/>
      <c r="D83" s="215"/>
      <c r="E83" s="466" t="n">
        <f aca="false">B83+E80+E77+E64</f>
        <v>681.831649558723</v>
      </c>
      <c r="F83" s="63"/>
      <c r="G83" s="305" t="s">
        <v>104</v>
      </c>
      <c r="H83" s="306" t="n">
        <f aca="false">H47</f>
        <v>548.895083902158</v>
      </c>
      <c r="I83" s="215"/>
      <c r="J83" s="215"/>
      <c r="K83" s="216"/>
      <c r="L83" s="63"/>
      <c r="M83" s="305" t="s">
        <v>104</v>
      </c>
      <c r="N83" s="306" t="n">
        <f aca="false">H47</f>
        <v>548.895083902158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((B83*H29)+B81)*1.2</f>
        <v>18267.022215017</v>
      </c>
      <c r="C85" s="215"/>
      <c r="D85" s="215"/>
      <c r="E85" s="466" t="n">
        <f aca="false">B85/(B58+B57)</f>
        <v>830.31919159168</v>
      </c>
      <c r="F85" s="63"/>
      <c r="G85" s="288" t="s">
        <v>114</v>
      </c>
      <c r="H85" s="131" t="n">
        <f aca="false">((H83*H29)+H81)*1.2</f>
        <v>17587.322215017</v>
      </c>
      <c r="I85" s="215"/>
      <c r="J85" s="215"/>
      <c r="K85" s="216"/>
      <c r="L85" s="63"/>
      <c r="M85" s="288" t="s">
        <v>114</v>
      </c>
      <c r="N85" s="131" t="n">
        <f aca="false">((N83*H29)+N81)</f>
        <v>14504.8518458475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((((B83*H29)+B81))/(1-B70))*B70</f>
        <v>128.952355289551</v>
      </c>
      <c r="C86" s="215"/>
      <c r="D86" s="215"/>
      <c r="E86" s="466" t="n">
        <f aca="false">B86/(B58+B57)</f>
        <v>5.86147069497959</v>
      </c>
      <c r="F86" s="63"/>
      <c r="G86" s="214" t="s">
        <v>115</v>
      </c>
      <c r="H86" s="300" t="n">
        <f aca="false">((((H83*H29)+H81))/(1-H70))*H70</f>
        <v>124.154150368212</v>
      </c>
      <c r="I86" s="215"/>
      <c r="J86" s="215"/>
      <c r="K86" s="216"/>
      <c r="L86" s="63"/>
      <c r="M86" s="214" t="s">
        <v>115</v>
      </c>
      <c r="N86" s="300" t="n">
        <f aca="false">(N85/(1-N70))*N70</f>
        <v>122.872887762322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IF(B110="YES",((B85+B86)-E114),(B85+B86))</f>
        <v>18395.9745703065</v>
      </c>
      <c r="C87" s="215"/>
      <c r="D87" s="215"/>
      <c r="E87" s="466" t="n">
        <f aca="false">E86+E85</f>
        <v>836.18066228666</v>
      </c>
      <c r="F87" s="63"/>
      <c r="G87" s="285" t="s">
        <v>116</v>
      </c>
      <c r="H87" s="133" t="n">
        <f aca="false">IF(H110="YES",((H85+H86)-K114),(H85+H86))</f>
        <v>17711.4763653852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14627.7247336098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(D40+(D40*B105))/(B58), (D40+(D40*B105))/(B57+B58))*1.2*(C45/100)</f>
        <v>72.618</v>
      </c>
      <c r="C89" s="215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54.6186666666667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45.5155555555556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836.18066228666</v>
      </c>
      <c r="C90" s="215"/>
      <c r="D90" s="215"/>
      <c r="E90" s="216"/>
      <c r="F90" s="63"/>
      <c r="G90" s="308" t="s">
        <v>118</v>
      </c>
      <c r="H90" s="309" t="n">
        <f aca="false">IF(H99=Y98, (H87-J105)/(H58), H87/(H57+H58))</f>
        <v>655.980606125377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541.767582726288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908.798662286659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710.599272792043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587.283138281844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655.980606125377</v>
      </c>
      <c r="H127" s="177" t="n">
        <f aca="false">IF(G105="YES", H89*H57, 0)</f>
        <v>327.712</v>
      </c>
      <c r="I127" s="177"/>
      <c r="J127" s="334" t="n">
        <f aca="false">H91</f>
        <v>710.599272792043</v>
      </c>
      <c r="K127" s="216"/>
      <c r="L127" s="63"/>
      <c r="M127" s="333" t="n">
        <f aca="false">N90</f>
        <v>541.767582726288</v>
      </c>
      <c r="N127" s="177" t="n">
        <f aca="false">IF(M105="YES", N89*N57, 0)</f>
        <v>273.093333333333</v>
      </c>
      <c r="O127" s="177"/>
      <c r="P127" s="177" t="n">
        <f aca="false">N91</f>
        <v>587.283138281844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836.18066228666</v>
      </c>
      <c r="B128" s="321" t="n">
        <f aca="false">IF(A105="YES", B89, 0)</f>
        <v>72.618</v>
      </c>
      <c r="C128" s="325"/>
      <c r="D128" s="321" t="n">
        <f aca="false">B91</f>
        <v>908.798662286659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836.18066228666</v>
      </c>
      <c r="C131" s="317"/>
      <c r="D131" s="38" t="n">
        <f aca="false">IF(A105="YES", B89*B57, 0)</f>
        <v>72.618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3935.88363675226</v>
      </c>
      <c r="H133" s="103" t="n">
        <f aca="false">IF(G105="YES", H89*H57, 0)</f>
        <v>327.712</v>
      </c>
      <c r="I133" s="221"/>
      <c r="J133" s="184" t="n">
        <f aca="false">H91*H57</f>
        <v>4263.59563675226</v>
      </c>
      <c r="K133" s="216"/>
      <c r="L133" s="63"/>
      <c r="M133" s="185" t="n">
        <f aca="false">N90*N57</f>
        <v>3250.60549635773</v>
      </c>
      <c r="N133" s="103" t="n">
        <f aca="false">IF(M105="YES", N89*N57, 0)</f>
        <v>273.093333333333</v>
      </c>
      <c r="O133" s="221"/>
      <c r="P133" s="184" t="n">
        <f aca="false">N91*N57</f>
        <v>3523.69882969106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908.798662286659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111" t="n">
        <f aca="false">E15*0.000006</f>
        <v>0.127608</v>
      </c>
      <c r="N136" s="103" t="n">
        <f aca="false">IF(M105="YES", E15*0.000002, 0)</f>
        <v>0.042536</v>
      </c>
      <c r="O136" s="103"/>
      <c r="P136" s="103" t="n">
        <f aca="false">M136+N136</f>
        <v>0.170144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836.18066228666</v>
      </c>
      <c r="B137" s="38" t="n">
        <f aca="false">IF(A105="YES", B89, 0)</f>
        <v>72.618</v>
      </c>
      <c r="C137" s="317"/>
      <c r="D137" s="38" t="n">
        <f aca="false">B91</f>
        <v>908.798662286659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247.066666666667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247.066666666667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IF(A105="YES", G18*0.000002, 0)*1.2*100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20.482</v>
      </c>
      <c r="H142" s="103" t="n">
        <f aca="false">G102-100</f>
        <v>99.99</v>
      </c>
      <c r="I142" s="103"/>
      <c r="J142" s="103" t="n">
        <f aca="false">(H139+J139+G142+H142)-H145</f>
        <v>367.538666666667</v>
      </c>
      <c r="K142" s="105"/>
      <c r="L142" s="63"/>
      <c r="M142" s="111" t="n">
        <f aca="false">IF(M105="YES", ((B36*N105)*0.1)*(M130), 0)</f>
        <v>20.482</v>
      </c>
      <c r="N142" s="103" t="n">
        <f aca="false">M102-100</f>
        <v>99.99</v>
      </c>
      <c r="O142" s="103"/>
      <c r="P142" s="103" t="n">
        <f aca="false">(N139+P139+M142+N142)-N145</f>
        <v>367.538666666667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296.48</v>
      </c>
      <c r="B148" s="38" t="n">
        <f aca="false">B102</f>
        <v>400</v>
      </c>
      <c r="C148" s="38"/>
      <c r="D148" s="38" t="n">
        <f aca="false">IF(A105="YES", (B40*B105)*B125, 0)*0.1</f>
        <v>30.723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827.194666666667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710.599272792043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587.283138281844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908.798662286659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836.18066228666</v>
      </c>
      <c r="B177" s="355" t="n">
        <f aca="false">IF(A105="YES", B89, 0)</f>
        <v>72.618</v>
      </c>
      <c r="C177" s="357"/>
      <c r="D177" s="355" t="n">
        <f aca="false">B91</f>
        <v>908.798662286659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836.18066228666</v>
      </c>
      <c r="C180" s="353"/>
      <c r="D180" s="103" t="n">
        <f aca="false">IF(A105="YES", B89*B57, 0)</f>
        <v>72.618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908.798662286659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836.18066228666</v>
      </c>
      <c r="B186" s="103" t="n">
        <f aca="false">IF(A105="YES", B89, 0)</f>
        <v>72.618</v>
      </c>
      <c r="C186" s="353"/>
      <c r="D186" s="103" t="n">
        <f aca="false">B91</f>
        <v>908.798662286659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15.06816</v>
      </c>
      <c r="B189" s="365" t="n">
        <f aca="false">IF(A105="YES", G18*0.000002, 0)*1.2*100</f>
        <v>5.02272</v>
      </c>
      <c r="C189" s="353"/>
      <c r="D189" s="365" t="n">
        <f aca="false">A189+B189</f>
        <v>20.09088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296.48</v>
      </c>
      <c r="B197" s="103" t="n">
        <f aca="false">B102</f>
        <v>400</v>
      </c>
      <c r="C197" s="103"/>
      <c r="D197" s="103" t="n">
        <f aca="false">IF(A105="YES", (B40*B105)*B125, 0)*0.1</f>
        <v>30.723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827.194666666667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0.065</v>
      </c>
      <c r="C209" s="321" t="s">
        <v>215</v>
      </c>
      <c r="D209" s="370" t="n">
        <f aca="false">D64</f>
        <v>1770.16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296.48</v>
      </c>
      <c r="C211" s="320" t="s">
        <v>217</v>
      </c>
      <c r="D211" s="370" t="n">
        <f aca="false">B225+E221+B221+B223</f>
        <v>647.221666666667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2120.90166666667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1770.16</v>
      </c>
      <c r="C217" s="375" t="s">
        <v>221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296.48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B197*E219*100</f>
        <v>40</v>
      </c>
      <c r="C221" s="336" t="s">
        <v>223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200</v>
      </c>
      <c r="C223" s="336" t="s">
        <v>218</v>
      </c>
      <c r="D223" s="317"/>
      <c r="E223" s="33" t="n">
        <f aca="false">(B217-B211+D211)</f>
        <v>2120.90166666667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307.23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128.952355289551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263" t="n">
        <v>46854.17</v>
      </c>
      <c r="C3" s="498" t="n">
        <v>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0" t="n">
        <v>0</v>
      </c>
      <c r="C4" s="0" t="n">
        <v>0</v>
      </c>
      <c r="D4" s="0" t="n">
        <v>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 t="n">
        <v>0</v>
      </c>
      <c r="C13" s="488"/>
      <c r="D13" s="488"/>
      <c r="E13" s="499" t="n">
        <v>585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354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126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180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181</v>
      </c>
      <c r="B30" s="172" t="s">
        <v>349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5250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82</v>
      </c>
      <c r="B32" s="215" t="s">
        <v>83</v>
      </c>
      <c r="C32" s="215"/>
      <c r="D32" s="458" t="s">
        <v>355</v>
      </c>
      <c r="E32" s="216"/>
      <c r="F32" s="63"/>
      <c r="G32" s="218" t="s">
        <v>36</v>
      </c>
      <c r="I32" s="449" t="n">
        <v>3509.1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1486.02789488895</v>
      </c>
      <c r="E33" s="216"/>
      <c r="F33" s="63"/>
      <c r="G33" s="219" t="s">
        <v>356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372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357</v>
      </c>
      <c r="B35" s="215" t="s">
        <v>358</v>
      </c>
      <c r="C35" s="215"/>
      <c r="D35" s="215" t="s">
        <v>359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1435.89789488895</v>
      </c>
      <c r="B36" s="103" t="n">
        <f aca="false">IF(B26="YES", H42, "")</f>
        <v>50.13</v>
      </c>
      <c r="C36" s="221"/>
      <c r="D36" s="184" t="n">
        <f aca="false">H31</f>
        <v>5250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360</v>
      </c>
      <c r="B39" s="215" t="s">
        <v>361</v>
      </c>
      <c r="C39" s="215"/>
      <c r="D39" s="215" t="s">
        <v>362</v>
      </c>
      <c r="E39" s="216"/>
      <c r="F39" s="63"/>
      <c r="G39" s="63" t="s">
        <v>84</v>
      </c>
      <c r="H39" s="238" t="n">
        <f aca="false">H33</f>
        <v>48887.5</v>
      </c>
      <c r="I39" s="238" t="n">
        <f aca="false">(I48*H46)+H44</f>
        <v>46171.1360556211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5250</v>
      </c>
      <c r="B40" s="107" t="n">
        <f aca="false">IF(B26="YES",H42,"0")</f>
        <v>50.13</v>
      </c>
      <c r="C40" s="107"/>
      <c r="D40" s="184" t="n">
        <f aca="false">I32</f>
        <v>3509.1</v>
      </c>
      <c r="E40" s="216"/>
      <c r="F40" s="63"/>
      <c r="G40" s="63" t="s">
        <v>106</v>
      </c>
      <c r="H40" s="238" t="n">
        <f aca="false">A40/1.2</f>
        <v>4375</v>
      </c>
      <c r="I40" s="238" t="n">
        <f aca="false">H39-I39</f>
        <v>2716.36394437889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363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364</v>
      </c>
      <c r="H42" s="238" t="n">
        <f aca="false">(I32/H34)*(C45/100)</f>
        <v>50.13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365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76</v>
      </c>
      <c r="B44" s="215"/>
      <c r="C44" s="363" t="s">
        <v>77</v>
      </c>
      <c r="D44" s="363"/>
      <c r="E44" s="216"/>
      <c r="F44" s="63"/>
      <c r="G44" s="63" t="s">
        <v>373</v>
      </c>
      <c r="H44" s="238" t="n">
        <f aca="false">(H40/(1+H41)^(H34+1))</f>
        <v>3548.47043847394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50</v>
      </c>
      <c r="D45" s="463"/>
      <c r="E45" s="216"/>
      <c r="F45" s="63"/>
      <c r="G45" s="63" t="s">
        <v>374</v>
      </c>
      <c r="H45" s="238" t="n">
        <f aca="false">(H39-H44)</f>
        <v>45339.0295615261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375</v>
      </c>
      <c r="H46" s="238" t="n">
        <f aca="false">((1-(1/((1+H41)^H34)))/H41)</f>
        <v>31.5753854942677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369</v>
      </c>
      <c r="H47" s="238" t="n">
        <f aca="false">H45/H46</f>
        <v>1435.89789488895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464" t="s">
        <v>370</v>
      </c>
      <c r="H48" s="238" t="n">
        <f aca="false">IF(B26="YES", H47+H42, H47)</f>
        <v>1486.02789488895</v>
      </c>
      <c r="I48" s="238" t="n">
        <f aca="false">I49-H42</f>
        <v>1349.87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371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1486.02789488895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84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84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85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85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292" t="s">
        <v>278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279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90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90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91"/>
      <c r="E65" s="216"/>
      <c r="F65" s="63"/>
      <c r="G65" s="292" t="s">
        <v>91</v>
      </c>
      <c r="H65" s="293" t="n">
        <v>0.01</v>
      </c>
      <c r="I65" s="215"/>
      <c r="J65" s="215"/>
      <c r="K65" s="216"/>
      <c r="L65" s="63"/>
      <c r="M65" s="292" t="s">
        <v>91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0.0195833333333333</v>
      </c>
      <c r="C66" s="467" t="s">
        <v>221</v>
      </c>
      <c r="D66" s="215"/>
      <c r="E66" s="216"/>
      <c r="F66" s="63"/>
      <c r="G66" s="214" t="s">
        <v>92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92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1133.58125</v>
      </c>
      <c r="C67" s="468" t="s">
        <v>221</v>
      </c>
      <c r="D67" s="469"/>
      <c r="E67" s="216"/>
      <c r="F67" s="63"/>
      <c r="G67" s="285" t="s">
        <v>93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93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470"/>
      <c r="D68" s="291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292" t="s">
        <v>94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295" t="s">
        <v>95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285" t="s">
        <v>96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292" t="s">
        <v>97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295" t="s">
        <v>98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227</v>
      </c>
      <c r="F73" s="63"/>
      <c r="G73" s="285" t="s">
        <v>99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99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165</v>
      </c>
      <c r="I74" s="215"/>
      <c r="J74" s="215"/>
      <c r="K74" s="216"/>
      <c r="L74" s="63"/>
      <c r="M74" s="431" t="s">
        <v>280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/>
      <c r="D75" s="215"/>
      <c r="E75" s="216"/>
      <c r="F75" s="63"/>
      <c r="G75" s="295" t="s">
        <v>281</v>
      </c>
      <c r="H75" s="299" t="n">
        <v>0</v>
      </c>
      <c r="I75" s="215"/>
      <c r="J75" s="215"/>
      <c r="K75" s="216"/>
      <c r="L75" s="63"/>
      <c r="M75" s="433" t="s">
        <v>281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282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283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283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283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284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284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100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100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101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101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10775</v>
      </c>
      <c r="C81" s="473"/>
      <c r="D81" s="474"/>
      <c r="E81" s="466"/>
      <c r="F81" s="63"/>
      <c r="G81" s="303" t="s">
        <v>102</v>
      </c>
      <c r="H81" s="304" t="n">
        <f aca="false">SUM(J64:J80)</f>
        <v>7041.009375</v>
      </c>
      <c r="I81" s="215"/>
      <c r="J81" s="215"/>
      <c r="K81" s="216"/>
      <c r="L81" s="63"/>
      <c r="M81" s="303" t="s">
        <v>102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307.857142857143</v>
      </c>
      <c r="C82" s="473"/>
      <c r="D82" s="215"/>
      <c r="E82" s="466"/>
      <c r="F82" s="63"/>
      <c r="G82" s="214" t="s">
        <v>103</v>
      </c>
      <c r="H82" s="300" t="n">
        <f aca="false">H81/H29</f>
        <v>201.171696428571</v>
      </c>
      <c r="I82" s="215"/>
      <c r="J82" s="215"/>
      <c r="K82" s="216"/>
      <c r="L82" s="63"/>
      <c r="M82" s="214" t="s">
        <v>103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H47</f>
        <v>1435.89789488895</v>
      </c>
      <c r="C83" s="473"/>
      <c r="D83" s="215"/>
      <c r="E83" s="466" t="n">
        <f aca="false">B83+E80+E77+E64</f>
        <v>1743.75503774609</v>
      </c>
      <c r="F83" s="63"/>
      <c r="G83" s="305" t="s">
        <v>104</v>
      </c>
      <c r="H83" s="306" t="n">
        <f aca="false">H47</f>
        <v>1435.89789488895</v>
      </c>
      <c r="I83" s="215"/>
      <c r="J83" s="215"/>
      <c r="K83" s="216"/>
      <c r="L83" s="63"/>
      <c r="M83" s="305" t="s">
        <v>104</v>
      </c>
      <c r="N83" s="306" t="n">
        <f aca="false">H47</f>
        <v>1435.89789488895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((B83*H29)+B81)</f>
        <v>61031.4263211132</v>
      </c>
      <c r="C85" s="473"/>
      <c r="D85" s="473"/>
      <c r="E85" s="466" t="n">
        <f aca="false">B85/(B58+B57)</f>
        <v>1743.75503774609</v>
      </c>
      <c r="F85" s="63"/>
      <c r="G85" s="288" t="s">
        <v>114</v>
      </c>
      <c r="H85" s="131" t="n">
        <f aca="false">((H83*H29)+H81)*1.2</f>
        <v>68756.9228353358</v>
      </c>
      <c r="I85" s="215"/>
      <c r="J85" s="215"/>
      <c r="K85" s="216"/>
      <c r="L85" s="63"/>
      <c r="M85" s="288" t="s">
        <v>114</v>
      </c>
      <c r="N85" s="131" t="n">
        <f aca="false">((N83*H29)+N81)</f>
        <v>56967.4356961132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(((B83*H29)+B81)/(1-B70))*B70</f>
        <v>517.006838541096</v>
      </c>
      <c r="C86" s="473" t="s">
        <v>230</v>
      </c>
      <c r="D86" s="215"/>
      <c r="E86" s="466" t="n">
        <f aca="false">B86/(B58+B57)</f>
        <v>14.771623958317</v>
      </c>
      <c r="F86" s="63"/>
      <c r="G86" s="214" t="s">
        <v>115</v>
      </c>
      <c r="H86" s="300" t="n">
        <f aca="false">((((H83*H29)+H81))/(1-H70))*H70</f>
        <v>485.375615013464</v>
      </c>
      <c r="I86" s="215"/>
      <c r="J86" s="215"/>
      <c r="K86" s="216"/>
      <c r="L86" s="63"/>
      <c r="M86" s="214" t="s">
        <v>115</v>
      </c>
      <c r="N86" s="300" t="n">
        <f aca="false">(N85/(1-N70))*N70</f>
        <v>482.580132964251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61548.4331596543</v>
      </c>
      <c r="C87" s="473"/>
      <c r="D87" s="475"/>
      <c r="E87" s="466" t="n">
        <f aca="false">E86+E85</f>
        <v>1758.52666170441</v>
      </c>
      <c r="F87" s="63"/>
      <c r="G87" s="285" t="s">
        <v>116</v>
      </c>
      <c r="H87" s="133" t="n">
        <f aca="false">IF(H110="YES",((H85+H86)-K114),(H85+H86))</f>
        <v>69242.2984503493</v>
      </c>
      <c r="I87" s="215"/>
      <c r="J87" s="215"/>
      <c r="K87" s="216"/>
      <c r="L87" s="63"/>
      <c r="M87" s="285" t="s">
        <v>116</v>
      </c>
      <c r="N87" s="133" t="n">
        <f aca="false">IF(N110="YES",((N85+N86)-Q114),(N85+N86))</f>
        <v>57450.0158290774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4" t="n">
        <f aca="false">IF(B99=Y98, (I32+(I32*B105))/(B58), (I32+(I32*B105))/(B57+B58))*(C45/100)</f>
        <v>65.169</v>
      </c>
      <c r="C89" s="473"/>
      <c r="D89" s="215"/>
      <c r="E89" s="216"/>
      <c r="F89" s="63"/>
      <c r="G89" s="303" t="s">
        <v>117</v>
      </c>
      <c r="H89" s="304" t="n">
        <f aca="false">IF(H99=Y98, (D40+(D40*H105))/(H58), (D40+(D40*H105))/(H57+H58))*1.2</f>
        <v>126.3276</v>
      </c>
      <c r="I89" s="215"/>
      <c r="J89" s="215"/>
      <c r="K89" s="216"/>
      <c r="L89" s="63"/>
      <c r="M89" s="303" t="s">
        <v>117</v>
      </c>
      <c r="N89" s="304" t="n">
        <f aca="false">IF(N99=Y98, (D40+(D40*N105))/(N58), (D40+(D40*N105))/(N57+N58))</f>
        <v>105.273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IF(B99=Y98, (B87-D105)/(B58), B87/(B57+B58))</f>
        <v>1758.52666170441</v>
      </c>
      <c r="C90" s="473"/>
      <c r="D90" s="215"/>
      <c r="E90" s="476"/>
      <c r="F90" s="63"/>
      <c r="G90" s="308" t="s">
        <v>118</v>
      </c>
      <c r="H90" s="309" t="n">
        <f aca="false">IF(H99=Y98, (H87-J105)/(H58), H87/(H57+H58))</f>
        <v>1731.05746125873</v>
      </c>
      <c r="I90" s="215"/>
      <c r="J90" s="215"/>
      <c r="K90" s="216"/>
      <c r="L90" s="63"/>
      <c r="M90" s="308" t="s">
        <v>118</v>
      </c>
      <c r="N90" s="309" t="n">
        <f aca="false">IF(N99=Y98, (N87-P105)/(N58), N87/(N57+N58))</f>
        <v>1436.25039572694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1823.69566170441</v>
      </c>
      <c r="C91" s="473"/>
      <c r="D91" s="477"/>
      <c r="E91" s="430"/>
      <c r="F91" s="63"/>
      <c r="G91" s="310" t="s">
        <v>119</v>
      </c>
      <c r="H91" s="311" t="n">
        <f aca="false">IF(G105="YES", H90+H89, H90)</f>
        <v>1857.38506125873</v>
      </c>
      <c r="I91" s="215"/>
      <c r="J91" s="215"/>
      <c r="K91" s="216"/>
      <c r="L91" s="63"/>
      <c r="M91" s="310" t="s">
        <v>119</v>
      </c>
      <c r="N91" s="311" t="n">
        <f aca="false">IF(M105="YES", N90+N89, N90)</f>
        <v>1541.52339572694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213" t="s">
        <v>343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377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217" t="s">
        <v>124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128</v>
      </c>
      <c r="Z97" s="63"/>
      <c r="AC97" s="388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214" t="s">
        <v>125</v>
      </c>
      <c r="N98" s="215" t="s">
        <v>23</v>
      </c>
      <c r="O98" s="215"/>
      <c r="P98" s="215" t="s">
        <v>286</v>
      </c>
      <c r="Q98" s="216"/>
      <c r="R98" s="63"/>
      <c r="S98" s="63"/>
      <c r="T98" s="63"/>
      <c r="U98" s="63"/>
      <c r="V98" s="63"/>
      <c r="W98" s="63"/>
      <c r="X98" s="63"/>
      <c r="Y98" s="63" t="s">
        <v>264</v>
      </c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266</v>
      </c>
      <c r="I99" s="312"/>
      <c r="J99" s="107" t="n">
        <v>0</v>
      </c>
      <c r="K99" s="107"/>
      <c r="L99" s="63"/>
      <c r="M99" s="220" t="s">
        <v>287</v>
      </c>
      <c r="N99" s="312" t="s">
        <v>266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265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266</v>
      </c>
      <c r="Z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378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214" t="s">
        <v>289</v>
      </c>
      <c r="N101" s="215" t="s">
        <v>290</v>
      </c>
      <c r="O101" s="215"/>
      <c r="P101" s="215" t="s">
        <v>291</v>
      </c>
      <c r="Q101" s="216"/>
      <c r="R101" s="63"/>
      <c r="S101" s="63"/>
      <c r="T101" s="63"/>
      <c r="U101" s="63"/>
      <c r="V101" s="63"/>
      <c r="W101" s="63"/>
      <c r="X101" s="63"/>
      <c r="Y101" s="63" t="s">
        <v>267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268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269</v>
      </c>
      <c r="Z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220" t="s">
        <v>126</v>
      </c>
      <c r="N104" s="63" t="s">
        <v>129</v>
      </c>
      <c r="O104" s="215"/>
      <c r="P104" s="215" t="s">
        <v>140</v>
      </c>
      <c r="Q104" s="216"/>
      <c r="R104" s="63"/>
      <c r="S104" s="63"/>
      <c r="T104" s="63"/>
      <c r="U104" s="63"/>
      <c r="V104" s="63"/>
      <c r="W104" s="63"/>
      <c r="X104" s="63"/>
      <c r="Y104" s="63" t="s">
        <v>270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0.3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271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344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217" t="s">
        <v>293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214" t="s">
        <v>294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0</v>
      </c>
      <c r="K112" s="107" t="n">
        <v>0</v>
      </c>
      <c r="L112" s="63"/>
      <c r="M112" s="214" t="s">
        <v>174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175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176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0</v>
      </c>
      <c r="K115" s="216"/>
      <c r="L115" s="63"/>
      <c r="M115" s="214" t="s">
        <v>177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288" t="s">
        <v>136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295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295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217" t="s">
        <v>296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214" t="s">
        <v>181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299</v>
      </c>
      <c r="H126" s="328" t="s">
        <v>300</v>
      </c>
      <c r="I126" s="328"/>
      <c r="J126" s="328" t="s">
        <v>301</v>
      </c>
      <c r="K126" s="216"/>
      <c r="L126" s="63"/>
      <c r="M126" s="327" t="s">
        <v>345</v>
      </c>
      <c r="N126" s="328" t="s">
        <v>253</v>
      </c>
      <c r="O126" s="328"/>
      <c r="P126" s="328" t="s">
        <v>119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333" t="n">
        <f aca="false">H90</f>
        <v>1731.05746125873</v>
      </c>
      <c r="H127" s="177" t="n">
        <f aca="false">IF(G105="YES", H89*H57, 0)</f>
        <v>757.9656</v>
      </c>
      <c r="I127" s="177"/>
      <c r="J127" s="334" t="n">
        <f aca="false">H91</f>
        <v>1857.38506125873</v>
      </c>
      <c r="K127" s="216"/>
      <c r="L127" s="63"/>
      <c r="M127" s="333" t="n">
        <f aca="false">N90</f>
        <v>1436.25039572694</v>
      </c>
      <c r="N127" s="177" t="n">
        <f aca="false">IF(M105="YES", N89*N57, 0)</f>
        <v>631.638</v>
      </c>
      <c r="O127" s="177"/>
      <c r="P127" s="177" t="n">
        <f aca="false">N91</f>
        <v>1541.52339572694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1758.52666170441</v>
      </c>
      <c r="B128" s="321" t="n">
        <f aca="false">IF(A105="YES", B89, 0)</f>
        <v>65.169</v>
      </c>
      <c r="C128" s="325"/>
      <c r="D128" s="321" t="n">
        <f aca="false">B91</f>
        <v>1823.69566170441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82</v>
      </c>
      <c r="H129" s="215" t="s">
        <v>83</v>
      </c>
      <c r="I129" s="215"/>
      <c r="J129" s="215" t="s">
        <v>85</v>
      </c>
      <c r="K129" s="216"/>
      <c r="L129" s="63"/>
      <c r="M129" s="214" t="s">
        <v>82</v>
      </c>
      <c r="N129" s="215" t="s">
        <v>83</v>
      </c>
      <c r="O129" s="215"/>
      <c r="P129" s="215" t="s">
        <v>85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1758.52666170441</v>
      </c>
      <c r="C131" s="317"/>
      <c r="D131" s="38" t="n">
        <f aca="false">IF(A105="YES", B89*B57, 0)</f>
        <v>65.169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214" t="s">
        <v>346</v>
      </c>
      <c r="N132" s="215" t="s">
        <v>242</v>
      </c>
      <c r="O132" s="215"/>
      <c r="P132" s="215" t="s">
        <v>246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10386.3447675524</v>
      </c>
      <c r="H133" s="103" t="n">
        <f aca="false">IF(G105="YES", H89*H57, 0)</f>
        <v>757.9656</v>
      </c>
      <c r="I133" s="221"/>
      <c r="J133" s="184" t="n">
        <f aca="false">H91*H57</f>
        <v>11144.3103675524</v>
      </c>
      <c r="K133" s="216"/>
      <c r="L133" s="63"/>
      <c r="M133" s="185" t="n">
        <f aca="false">N90*N57</f>
        <v>8617.50237436162</v>
      </c>
      <c r="N133" s="103" t="n">
        <f aca="false">IF(M105="YES", N89*N57, 0)</f>
        <v>631.638</v>
      </c>
      <c r="O133" s="221"/>
      <c r="P133" s="184" t="n">
        <f aca="false">N91*N57</f>
        <v>9249.14037436162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1823.69566170441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214" t="s">
        <v>255</v>
      </c>
      <c r="N135" s="215" t="s">
        <v>256</v>
      </c>
      <c r="O135" s="215"/>
      <c r="P135" s="215" t="s">
        <v>260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1758.52666170441</v>
      </c>
      <c r="B137" s="38" t="n">
        <f aca="false">IF(A105="YES", B89, 0)</f>
        <v>65.169</v>
      </c>
      <c r="C137" s="317"/>
      <c r="D137" s="38" t="n">
        <f aca="false">B91</f>
        <v>1823.69566170441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214" t="s">
        <v>139</v>
      </c>
      <c r="N138" s="215" t="s">
        <v>313</v>
      </c>
      <c r="O138" s="215"/>
      <c r="P138" s="215" t="s">
        <v>314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214" t="s">
        <v>316</v>
      </c>
      <c r="N141" s="215" t="s">
        <v>317</v>
      </c>
      <c r="O141" s="215"/>
      <c r="P141" s="215" t="s">
        <v>318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((B36*H105)*0.1)*(G130), 0)</f>
        <v>35.091</v>
      </c>
      <c r="H142" s="103" t="n">
        <f aca="false">G102-100</f>
        <v>99.99</v>
      </c>
      <c r="I142" s="103"/>
      <c r="J142" s="103" t="n">
        <f aca="false">(H139+J139+G142+H142)-H145</f>
        <v>1079.73204166667</v>
      </c>
      <c r="K142" s="105"/>
      <c r="L142" s="63"/>
      <c r="M142" s="111" t="n">
        <f aca="false">IF(M105="YES", ((B36*N105)*0.1)*(M130), 0)</f>
        <v>35.091</v>
      </c>
      <c r="N142" s="103" t="n">
        <f aca="false">M102-100</f>
        <v>99.99</v>
      </c>
      <c r="O142" s="103"/>
      <c r="P142" s="103" t="n">
        <f aca="false">(N139+P139+M142+N142)-N145</f>
        <v>1079.73204166667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214" t="s">
        <v>320</v>
      </c>
      <c r="N144" s="215" t="s">
        <v>321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347</v>
      </c>
      <c r="N147" s="166" t="s">
        <v>348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103" t="n">
        <f aca="false">B102</f>
        <v>0</v>
      </c>
      <c r="C148" s="38"/>
      <c r="D148" s="38" t="n">
        <f aca="false">IF(A105="YES", (B40*B105)*B125, 0)*0.1</f>
        <v>52.6365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1286.20775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326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1857.38506125873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82</v>
      </c>
      <c r="N153" s="251" t="s">
        <v>83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1541.52339572694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1823.69566170441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296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125</v>
      </c>
      <c r="B173" s="354" t="s">
        <v>39</v>
      </c>
      <c r="C173" s="355"/>
      <c r="D173" s="354" t="s">
        <v>83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287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379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118</v>
      </c>
      <c r="B176" s="354" t="s">
        <v>297</v>
      </c>
      <c r="C176" s="355"/>
      <c r="D176" s="354" t="s">
        <v>298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1758.52666170441</v>
      </c>
      <c r="B177" s="355" t="n">
        <f aca="false">IF(A105="YES", B89, 0)</f>
        <v>65.169</v>
      </c>
      <c r="C177" s="357"/>
      <c r="D177" s="355" t="n">
        <f aca="false">B91</f>
        <v>1823.69566170441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302</v>
      </c>
      <c r="C179" s="230"/>
      <c r="D179" s="359" t="s">
        <v>303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1758.52666170441</v>
      </c>
      <c r="C180" s="353"/>
      <c r="D180" s="103" t="n">
        <f aca="false">IF(A105="YES", B89*B57, 0)</f>
        <v>65.169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307</v>
      </c>
      <c r="B182" s="166" t="s">
        <v>308</v>
      </c>
      <c r="C182" s="360"/>
      <c r="D182" s="241" t="s">
        <v>206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1823.69566170441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118</v>
      </c>
      <c r="B185" s="363" t="s">
        <v>297</v>
      </c>
      <c r="C185" s="353"/>
      <c r="D185" s="353" t="s">
        <v>298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1758.52666170441</v>
      </c>
      <c r="B186" s="103" t="n">
        <f aca="false">IF(A105="YES", B89, 0)</f>
        <v>65.169</v>
      </c>
      <c r="C186" s="353"/>
      <c r="D186" s="103" t="n">
        <f aca="false">B91</f>
        <v>1823.69566170441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315</v>
      </c>
      <c r="C188" s="103"/>
      <c r="D188" s="364" t="s">
        <v>72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319</v>
      </c>
      <c r="B191" s="364" t="s">
        <v>53</v>
      </c>
      <c r="C191" s="103"/>
      <c r="D191" s="364" t="s">
        <v>283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322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323</v>
      </c>
      <c r="B196" s="353" t="s">
        <v>324</v>
      </c>
      <c r="C196" s="353"/>
      <c r="D196" s="353" t="s">
        <v>325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52.6365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327</v>
      </c>
      <c r="B199" s="353" t="s">
        <v>321</v>
      </c>
      <c r="C199" s="353"/>
      <c r="D199" s="353" t="s">
        <v>318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1286.20775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328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212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213</v>
      </c>
      <c r="B209" s="369" t="n">
        <f aca="false">H35</f>
        <v>0.07</v>
      </c>
      <c r="C209" s="321" t="s">
        <v>215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216</v>
      </c>
      <c r="B211" s="321" t="n">
        <f aca="false">B219</f>
        <v>1133.58125</v>
      </c>
      <c r="C211" s="320" t="s">
        <v>217</v>
      </c>
      <c r="D211" s="370" t="n">
        <f aca="false">B225+E221+B221+B223</f>
        <v>626.355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218</v>
      </c>
      <c r="B213" s="321" t="n">
        <f aca="false">E223</f>
        <v>9492.77375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213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215</v>
      </c>
      <c r="B217" s="104" t="n">
        <f aca="false">D64</f>
        <v>10000</v>
      </c>
      <c r="C217" s="375" t="s">
        <v>221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221</v>
      </c>
      <c r="B219" s="104" t="n">
        <f aca="false">B67</f>
        <v>1133.58125</v>
      </c>
      <c r="C219" s="336" t="s">
        <v>329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329</v>
      </c>
      <c r="B221" s="241" t="n">
        <f aca="false">(B77-(B77*(E219*100)))*0.1</f>
        <v>0</v>
      </c>
      <c r="C221" s="336" t="s">
        <v>223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330</v>
      </c>
      <c r="B223" s="241" t="n">
        <f aca="false">B78-(B78*(E219*100))</f>
        <v>0</v>
      </c>
      <c r="C223" s="336" t="s">
        <v>218</v>
      </c>
      <c r="D223" s="317"/>
      <c r="E223" s="33" t="n">
        <f aca="false">(B217-B211+D211)</f>
        <v>9492.77375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331</v>
      </c>
      <c r="B225" s="341" t="n">
        <f aca="false">D197/0.1</f>
        <v>526.365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332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225</v>
      </c>
      <c r="B229" s="104" t="n">
        <f aca="false">B71</f>
        <v>200</v>
      </c>
      <c r="C229" s="336" t="s">
        <v>226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227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228</v>
      </c>
      <c r="B231" s="381" t="n">
        <f aca="false">B68</f>
        <v>0.0075</v>
      </c>
      <c r="C231" s="336" t="s">
        <v>229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230</v>
      </c>
      <c r="D232" s="343"/>
      <c r="E232" s="33" t="n">
        <f aca="false">B86</f>
        <v>517.006838541096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231</v>
      </c>
      <c r="B233" s="104" t="n">
        <f aca="false">B79</f>
        <v>200</v>
      </c>
      <c r="C233" s="382" t="s">
        <v>333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232</v>
      </c>
      <c r="B235" s="104" t="n">
        <f aca="false">B80</f>
        <v>200</v>
      </c>
      <c r="C235" s="386" t="s">
        <v>334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244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254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139</v>
      </c>
      <c r="B43" s="240" t="s">
        <v>255</v>
      </c>
      <c r="C43" s="230"/>
      <c r="D43" s="240" t="s">
        <v>256</v>
      </c>
      <c r="E43" s="243"/>
      <c r="F43" s="63"/>
      <c r="G43" s="63" t="s">
        <v>257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258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260</v>
      </c>
      <c r="B46" s="240" t="s">
        <v>261</v>
      </c>
      <c r="C46" s="230"/>
      <c r="D46" s="240" t="s">
        <v>262</v>
      </c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386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275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81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82</v>
      </c>
      <c r="B56" s="251" t="s">
        <v>83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84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84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84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85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85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85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278</v>
      </c>
      <c r="B68" s="293" t="n">
        <v>0.07</v>
      </c>
      <c r="C68" s="215"/>
      <c r="D68" s="215"/>
      <c r="E68" s="216"/>
      <c r="F68" s="63"/>
      <c r="G68" s="292" t="s">
        <v>278</v>
      </c>
      <c r="H68" s="293" t="n">
        <v>0.07</v>
      </c>
      <c r="I68" s="215"/>
      <c r="J68" s="215"/>
      <c r="K68" s="216"/>
      <c r="L68" s="63"/>
      <c r="M68" s="292" t="s">
        <v>278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279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279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279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90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90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90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91</v>
      </c>
      <c r="B71" s="293" t="n">
        <v>0.01</v>
      </c>
      <c r="C71" s="215"/>
      <c r="D71" s="215"/>
      <c r="E71" s="216"/>
      <c r="F71" s="63"/>
      <c r="G71" s="292" t="s">
        <v>91</v>
      </c>
      <c r="H71" s="293" t="n">
        <v>0.005</v>
      </c>
      <c r="I71" s="215"/>
      <c r="J71" s="215"/>
      <c r="K71" s="216"/>
      <c r="L71" s="63"/>
      <c r="M71" s="292" t="s">
        <v>91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92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92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92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93</v>
      </c>
      <c r="B73" s="133" t="n">
        <f aca="false">B67*B72</f>
        <v>578.85</v>
      </c>
      <c r="C73" s="215"/>
      <c r="D73" s="291"/>
      <c r="E73" s="216"/>
      <c r="F73" s="63"/>
      <c r="G73" s="285" t="s">
        <v>93</v>
      </c>
      <c r="H73" s="133" t="n">
        <f aca="false">H67*H72</f>
        <v>289.425</v>
      </c>
      <c r="I73" s="215"/>
      <c r="J73" s="291"/>
      <c r="K73" s="216"/>
      <c r="L73" s="63"/>
      <c r="M73" s="285" t="s">
        <v>93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94</v>
      </c>
      <c r="B74" s="293" t="n">
        <v>0.0075</v>
      </c>
      <c r="C74" s="215"/>
      <c r="D74" s="215"/>
      <c r="E74" s="216"/>
      <c r="F74" s="63"/>
      <c r="G74" s="292" t="s">
        <v>94</v>
      </c>
      <c r="H74" s="293" t="n">
        <v>0.0075</v>
      </c>
      <c r="I74" s="215"/>
      <c r="J74" s="215"/>
      <c r="K74" s="216"/>
      <c r="L74" s="63"/>
      <c r="M74" s="292" t="s">
        <v>94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95</v>
      </c>
      <c r="B75" s="296" t="n">
        <v>0.12</v>
      </c>
      <c r="C75" s="215"/>
      <c r="D75" s="215"/>
      <c r="E75" s="216"/>
      <c r="F75" s="63"/>
      <c r="G75" s="295" t="s">
        <v>95</v>
      </c>
      <c r="H75" s="296" t="n">
        <v>0.12</v>
      </c>
      <c r="I75" s="215"/>
      <c r="J75" s="215"/>
      <c r="K75" s="216"/>
      <c r="L75" s="63"/>
      <c r="M75" s="295" t="s">
        <v>95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96</v>
      </c>
      <c r="B76" s="297" t="n">
        <f aca="false">B74*(1+B75)</f>
        <v>0.0084</v>
      </c>
      <c r="C76" s="215"/>
      <c r="D76" s="215"/>
      <c r="E76" s="216"/>
      <c r="F76" s="63"/>
      <c r="G76" s="285" t="s">
        <v>96</v>
      </c>
      <c r="H76" s="297" t="n">
        <f aca="false">H74*(1+H75)</f>
        <v>0.0084</v>
      </c>
      <c r="I76" s="215"/>
      <c r="J76" s="215"/>
      <c r="K76" s="216"/>
      <c r="L76" s="63"/>
      <c r="M76" s="285" t="s">
        <v>96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97</v>
      </c>
      <c r="B77" s="298" t="n">
        <v>200</v>
      </c>
      <c r="C77" s="215"/>
      <c r="D77" s="215"/>
      <c r="E77" s="216"/>
      <c r="F77" s="63"/>
      <c r="G77" s="292" t="s">
        <v>97</v>
      </c>
      <c r="H77" s="298" t="n">
        <v>160</v>
      </c>
      <c r="I77" s="215"/>
      <c r="J77" s="215"/>
      <c r="K77" s="216"/>
      <c r="L77" s="63"/>
      <c r="M77" s="292" t="s">
        <v>97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98</v>
      </c>
      <c r="B78" s="299" t="n">
        <v>5</v>
      </c>
      <c r="C78" s="215"/>
      <c r="D78" s="215"/>
      <c r="E78" s="216"/>
      <c r="F78" s="63"/>
      <c r="G78" s="295" t="s">
        <v>98</v>
      </c>
      <c r="H78" s="299" t="n">
        <v>4.5</v>
      </c>
      <c r="I78" s="215"/>
      <c r="J78" s="215"/>
      <c r="K78" s="216"/>
      <c r="L78" s="63"/>
      <c r="M78" s="295" t="s">
        <v>98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99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99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99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280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280</v>
      </c>
      <c r="H80" s="298" t="n">
        <v>150</v>
      </c>
      <c r="I80" s="215"/>
      <c r="J80" s="215"/>
      <c r="K80" s="216"/>
      <c r="L80" s="63"/>
      <c r="M80" s="431" t="s">
        <v>280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281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281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281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282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282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282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283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283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283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342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284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284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100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100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100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101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101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101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102</v>
      </c>
      <c r="B87" s="304" t="n">
        <f aca="false">SUM(D70:D86)</f>
        <v>4711.95</v>
      </c>
      <c r="C87" s="215"/>
      <c r="D87" s="215"/>
      <c r="E87" s="216"/>
      <c r="F87" s="63"/>
      <c r="G87" s="303" t="s">
        <v>102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102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103</v>
      </c>
      <c r="B88" s="300" t="n">
        <f aca="false">B87/H29</f>
        <v>392.6625</v>
      </c>
      <c r="C88" s="215"/>
      <c r="D88" s="215"/>
      <c r="E88" s="216"/>
      <c r="F88" s="63"/>
      <c r="G88" s="214" t="s">
        <v>103</v>
      </c>
      <c r="H88" s="300" t="n">
        <f aca="false">H87/H29</f>
        <v>600.461111111111</v>
      </c>
      <c r="I88" s="215"/>
      <c r="J88" s="215"/>
      <c r="K88" s="216"/>
      <c r="L88" s="63"/>
      <c r="M88" s="214" t="s">
        <v>103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104</v>
      </c>
      <c r="B89" s="306" t="n">
        <f aca="false">H46</f>
        <v>501</v>
      </c>
      <c r="C89" s="215"/>
      <c r="D89" s="215"/>
      <c r="E89" s="216"/>
      <c r="F89" s="63"/>
      <c r="G89" s="305" t="s">
        <v>104</v>
      </c>
      <c r="H89" s="306" t="n">
        <f aca="false">H46</f>
        <v>501</v>
      </c>
      <c r="I89" s="215"/>
      <c r="J89" s="215"/>
      <c r="K89" s="216"/>
      <c r="L89" s="63"/>
      <c r="M89" s="305" t="s">
        <v>104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114</v>
      </c>
      <c r="B91" s="131" t="n">
        <f aca="false">((B89*H29)+B87)</f>
        <v>10723.95</v>
      </c>
      <c r="C91" s="215"/>
      <c r="D91" s="215"/>
      <c r="E91" s="216"/>
      <c r="F91" s="63"/>
      <c r="G91" s="288" t="s">
        <v>114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114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115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115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115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116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116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116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117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117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117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118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118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118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119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119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119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335</v>
      </c>
      <c r="B100" s="213"/>
      <c r="C100" s="213"/>
      <c r="D100" s="213"/>
      <c r="E100" s="213"/>
      <c r="F100" s="63"/>
      <c r="G100" s="213" t="s">
        <v>285</v>
      </c>
      <c r="H100" s="213"/>
      <c r="I100" s="213"/>
      <c r="J100" s="213"/>
      <c r="K100" s="213"/>
      <c r="L100" s="63"/>
      <c r="M100" s="213" t="s">
        <v>343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124</v>
      </c>
      <c r="B102" s="217"/>
      <c r="C102" s="217"/>
      <c r="D102" s="217"/>
      <c r="E102" s="217"/>
      <c r="F102" s="63"/>
      <c r="G102" s="217" t="s">
        <v>124</v>
      </c>
      <c r="H102" s="217"/>
      <c r="I102" s="217"/>
      <c r="J102" s="217"/>
      <c r="K102" s="217"/>
      <c r="L102" s="63"/>
      <c r="M102" s="217" t="s">
        <v>124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128</v>
      </c>
    </row>
    <row r="104" customFormat="false" ht="18.75" hidden="false" customHeight="true" outlineLevel="0" collapsed="false">
      <c r="A104" s="214" t="s">
        <v>125</v>
      </c>
      <c r="B104" s="215" t="s">
        <v>23</v>
      </c>
      <c r="C104" s="215"/>
      <c r="D104" s="215" t="s">
        <v>286</v>
      </c>
      <c r="E104" s="216"/>
      <c r="F104" s="63"/>
      <c r="G104" s="214" t="s">
        <v>125</v>
      </c>
      <c r="H104" s="215" t="s">
        <v>23</v>
      </c>
      <c r="I104" s="215"/>
      <c r="J104" s="215" t="s">
        <v>286</v>
      </c>
      <c r="K104" s="216"/>
      <c r="L104" s="63"/>
      <c r="M104" s="214" t="s">
        <v>125</v>
      </c>
      <c r="N104" s="215" t="s">
        <v>23</v>
      </c>
      <c r="O104" s="215"/>
      <c r="P104" s="215" t="s">
        <v>286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264</v>
      </c>
    </row>
    <row r="105" customFormat="false" ht="18.75" hidden="false" customHeight="true" outlineLevel="0" collapsed="false">
      <c r="A105" s="220" t="s">
        <v>287</v>
      </c>
      <c r="B105" s="312" t="s">
        <v>268</v>
      </c>
      <c r="C105" s="312"/>
      <c r="D105" s="421" t="n">
        <v>0</v>
      </c>
      <c r="E105" s="421"/>
      <c r="F105" s="63"/>
      <c r="G105" s="220" t="s">
        <v>287</v>
      </c>
      <c r="H105" s="312" t="s">
        <v>269</v>
      </c>
      <c r="I105" s="312"/>
      <c r="J105" s="421" t="n">
        <v>5000</v>
      </c>
      <c r="K105" s="421"/>
      <c r="L105" s="63"/>
      <c r="M105" s="220" t="s">
        <v>287</v>
      </c>
      <c r="N105" s="312" t="s">
        <v>268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265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266</v>
      </c>
    </row>
    <row r="107" customFormat="false" ht="18.75" hidden="false" customHeight="true" outlineLevel="0" collapsed="false">
      <c r="A107" s="214" t="s">
        <v>289</v>
      </c>
      <c r="B107" s="215" t="s">
        <v>290</v>
      </c>
      <c r="C107" s="215"/>
      <c r="D107" s="215" t="s">
        <v>291</v>
      </c>
      <c r="E107" s="216"/>
      <c r="F107" s="63"/>
      <c r="G107" s="214" t="s">
        <v>289</v>
      </c>
      <c r="H107" s="215" t="s">
        <v>290</v>
      </c>
      <c r="I107" s="215"/>
      <c r="J107" s="215" t="s">
        <v>291</v>
      </c>
      <c r="K107" s="216"/>
      <c r="L107" s="63"/>
      <c r="M107" s="214" t="s">
        <v>289</v>
      </c>
      <c r="N107" s="215" t="s">
        <v>290</v>
      </c>
      <c r="O107" s="215"/>
      <c r="P107" s="215" t="s">
        <v>291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267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268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269</v>
      </c>
    </row>
    <row r="110" customFormat="false" ht="18.75" hidden="false" customHeight="true" outlineLevel="0" collapsed="false">
      <c r="A110" s="220" t="s">
        <v>126</v>
      </c>
      <c r="B110" s="63" t="s">
        <v>129</v>
      </c>
      <c r="C110" s="215"/>
      <c r="D110" s="215" t="s">
        <v>140</v>
      </c>
      <c r="E110" s="216"/>
      <c r="F110" s="63"/>
      <c r="G110" s="220" t="s">
        <v>126</v>
      </c>
      <c r="H110" s="63" t="s">
        <v>129</v>
      </c>
      <c r="I110" s="215"/>
      <c r="J110" s="215" t="s">
        <v>140</v>
      </c>
      <c r="K110" s="216"/>
      <c r="L110" s="63"/>
      <c r="M110" s="220" t="s">
        <v>126</v>
      </c>
      <c r="N110" s="63" t="s">
        <v>129</v>
      </c>
      <c r="O110" s="215"/>
      <c r="P110" s="215" t="s">
        <v>140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270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271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344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293</v>
      </c>
      <c r="B114" s="217"/>
      <c r="C114" s="217"/>
      <c r="D114" s="217"/>
      <c r="E114" s="217"/>
      <c r="F114" s="63"/>
      <c r="G114" s="217" t="s">
        <v>293</v>
      </c>
      <c r="H114" s="217"/>
      <c r="I114" s="217"/>
      <c r="J114" s="217"/>
      <c r="K114" s="217"/>
      <c r="L114" s="63"/>
      <c r="M114" s="217" t="s">
        <v>293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294</v>
      </c>
      <c r="B116" s="222" t="s">
        <v>19</v>
      </c>
      <c r="C116" s="215"/>
      <c r="D116" s="215"/>
      <c r="E116" s="216"/>
      <c r="F116" s="63"/>
      <c r="G116" s="214" t="s">
        <v>294</v>
      </c>
      <c r="H116" s="222" t="s">
        <v>18</v>
      </c>
      <c r="I116" s="215"/>
      <c r="J116" s="215"/>
      <c r="K116" s="216"/>
      <c r="L116" s="63"/>
      <c r="M116" s="214" t="s">
        <v>294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174</v>
      </c>
      <c r="B118" s="215"/>
      <c r="C118" s="215"/>
      <c r="D118" s="313" t="n">
        <v>0</v>
      </c>
      <c r="E118" s="107" t="n">
        <v>0</v>
      </c>
      <c r="F118" s="63"/>
      <c r="G118" s="214" t="s">
        <v>174</v>
      </c>
      <c r="H118" s="215"/>
      <c r="I118" s="215"/>
      <c r="J118" s="313" t="n">
        <v>10000</v>
      </c>
      <c r="K118" s="107" t="n">
        <v>5000</v>
      </c>
      <c r="L118" s="63"/>
      <c r="M118" s="214" t="s">
        <v>174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175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175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175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176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176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176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177</v>
      </c>
      <c r="B121" s="215"/>
      <c r="C121" s="215"/>
      <c r="D121" s="166" t="n">
        <f aca="false">D120-E120</f>
        <v>0</v>
      </c>
      <c r="E121" s="216"/>
      <c r="F121" s="63"/>
      <c r="G121" s="214" t="s">
        <v>177</v>
      </c>
      <c r="H121" s="215"/>
      <c r="I121" s="215"/>
      <c r="J121" s="166" t="n">
        <f aca="false">J120-K120</f>
        <v>5000</v>
      </c>
      <c r="K121" s="216"/>
      <c r="L121" s="63"/>
      <c r="M121" s="214" t="s">
        <v>177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136</v>
      </c>
      <c r="B123" s="289"/>
      <c r="C123" s="289"/>
      <c r="D123" s="289"/>
      <c r="E123" s="131" t="n">
        <f aca="false">D105</f>
        <v>0</v>
      </c>
      <c r="F123" s="63"/>
      <c r="G123" s="288" t="s">
        <v>136</v>
      </c>
      <c r="H123" s="289"/>
      <c r="I123" s="289"/>
      <c r="J123" s="289"/>
      <c r="K123" s="131" t="n">
        <f aca="false">J105</f>
        <v>5000</v>
      </c>
      <c r="L123" s="63"/>
      <c r="M123" s="288" t="s">
        <v>136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295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295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295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296</v>
      </c>
      <c r="B128" s="217"/>
      <c r="C128" s="217"/>
      <c r="D128" s="217"/>
      <c r="E128" s="217"/>
      <c r="F128" s="63"/>
      <c r="G128" s="217" t="s">
        <v>296</v>
      </c>
      <c r="H128" s="217"/>
      <c r="I128" s="217"/>
      <c r="J128" s="217"/>
      <c r="K128" s="217"/>
      <c r="L128" s="63"/>
      <c r="M128" s="217" t="s">
        <v>296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181</v>
      </c>
      <c r="B130" s="172" t="n">
        <v>1200</v>
      </c>
      <c r="C130" s="172"/>
      <c r="D130" s="215"/>
      <c r="E130" s="216"/>
      <c r="F130" s="63"/>
      <c r="G130" s="214" t="s">
        <v>181</v>
      </c>
      <c r="H130" s="172" t="n">
        <v>0</v>
      </c>
      <c r="I130" s="172"/>
      <c r="J130" s="215"/>
      <c r="K130" s="216"/>
      <c r="L130" s="63"/>
      <c r="M130" s="214" t="s">
        <v>181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82</v>
      </c>
      <c r="B132" s="215" t="s">
        <v>83</v>
      </c>
      <c r="C132" s="215"/>
      <c r="D132" s="215" t="s">
        <v>85</v>
      </c>
      <c r="E132" s="216"/>
      <c r="F132" s="63"/>
      <c r="G132" s="214" t="s">
        <v>82</v>
      </c>
      <c r="H132" s="215" t="s">
        <v>83</v>
      </c>
      <c r="I132" s="215"/>
      <c r="J132" s="215" t="s">
        <v>85</v>
      </c>
      <c r="K132" s="216"/>
      <c r="L132" s="63"/>
      <c r="M132" s="214" t="s">
        <v>82</v>
      </c>
      <c r="N132" s="215" t="s">
        <v>83</v>
      </c>
      <c r="O132" s="215"/>
      <c r="P132" s="215" t="s">
        <v>85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345</v>
      </c>
      <c r="B135" s="328" t="s">
        <v>253</v>
      </c>
      <c r="C135" s="328"/>
      <c r="D135" s="328" t="s">
        <v>119</v>
      </c>
      <c r="E135" s="216"/>
      <c r="F135" s="63"/>
      <c r="G135" s="327" t="s">
        <v>299</v>
      </c>
      <c r="H135" s="328" t="s">
        <v>300</v>
      </c>
      <c r="I135" s="328"/>
      <c r="J135" s="328" t="s">
        <v>301</v>
      </c>
      <c r="K135" s="216"/>
      <c r="L135" s="63"/>
      <c r="M135" s="327" t="s">
        <v>345</v>
      </c>
      <c r="N135" s="328" t="s">
        <v>253</v>
      </c>
      <c r="O135" s="328"/>
      <c r="P135" s="328" t="s">
        <v>119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346</v>
      </c>
      <c r="B138" s="215" t="s">
        <v>242</v>
      </c>
      <c r="C138" s="215"/>
      <c r="D138" s="215" t="s">
        <v>246</v>
      </c>
      <c r="E138" s="216"/>
      <c r="F138" s="63"/>
      <c r="G138" s="214" t="s">
        <v>304</v>
      </c>
      <c r="H138" s="215" t="s">
        <v>305</v>
      </c>
      <c r="I138" s="215"/>
      <c r="J138" s="215" t="s">
        <v>306</v>
      </c>
      <c r="K138" s="216"/>
      <c r="L138" s="63"/>
      <c r="M138" s="214" t="s">
        <v>346</v>
      </c>
      <c r="N138" s="215" t="s">
        <v>242</v>
      </c>
      <c r="O138" s="215"/>
      <c r="P138" s="215" t="s">
        <v>246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255</v>
      </c>
      <c r="B141" s="215" t="s">
        <v>256</v>
      </c>
      <c r="C141" s="215"/>
      <c r="D141" s="215" t="s">
        <v>260</v>
      </c>
      <c r="E141" s="216"/>
      <c r="F141" s="63"/>
      <c r="G141" s="214" t="s">
        <v>309</v>
      </c>
      <c r="H141" s="215" t="s">
        <v>310</v>
      </c>
      <c r="I141" s="215"/>
      <c r="J141" s="215" t="s">
        <v>311</v>
      </c>
      <c r="K141" s="216"/>
      <c r="L141" s="63"/>
      <c r="M141" s="214" t="s">
        <v>255</v>
      </c>
      <c r="N141" s="215" t="s">
        <v>256</v>
      </c>
      <c r="O141" s="215"/>
      <c r="P141" s="215" t="s">
        <v>260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139</v>
      </c>
      <c r="B144" s="215" t="s">
        <v>313</v>
      </c>
      <c r="C144" s="215"/>
      <c r="D144" s="215" t="s">
        <v>314</v>
      </c>
      <c r="E144" s="216"/>
      <c r="F144" s="63"/>
      <c r="G144" s="214" t="s">
        <v>312</v>
      </c>
      <c r="H144" s="215" t="s">
        <v>313</v>
      </c>
      <c r="I144" s="215"/>
      <c r="J144" s="215" t="s">
        <v>314</v>
      </c>
      <c r="K144" s="216"/>
      <c r="L144" s="63"/>
      <c r="M144" s="214" t="s">
        <v>139</v>
      </c>
      <c r="N144" s="215" t="s">
        <v>313</v>
      </c>
      <c r="O144" s="215"/>
      <c r="P144" s="215" t="s">
        <v>314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316</v>
      </c>
      <c r="B147" s="215" t="s">
        <v>317</v>
      </c>
      <c r="C147" s="215"/>
      <c r="D147" s="215" t="s">
        <v>318</v>
      </c>
      <c r="E147" s="216"/>
      <c r="F147" s="63"/>
      <c r="G147" s="214" t="s">
        <v>316</v>
      </c>
      <c r="H147" s="215" t="s">
        <v>317</v>
      </c>
      <c r="I147" s="215"/>
      <c r="J147" s="215" t="s">
        <v>318</v>
      </c>
      <c r="K147" s="216"/>
      <c r="L147" s="63"/>
      <c r="M147" s="214" t="s">
        <v>316</v>
      </c>
      <c r="N147" s="215" t="s">
        <v>317</v>
      </c>
      <c r="O147" s="215"/>
      <c r="P147" s="215" t="s">
        <v>318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320</v>
      </c>
      <c r="B150" s="215" t="s">
        <v>321</v>
      </c>
      <c r="C150" s="215"/>
      <c r="D150" s="215"/>
      <c r="E150" s="216"/>
      <c r="F150" s="63"/>
      <c r="G150" s="214" t="s">
        <v>320</v>
      </c>
      <c r="H150" s="215" t="s">
        <v>321</v>
      </c>
      <c r="I150" s="215"/>
      <c r="J150" s="215"/>
      <c r="K150" s="216"/>
      <c r="L150" s="63"/>
      <c r="M150" s="214" t="s">
        <v>320</v>
      </c>
      <c r="N150" s="215" t="s">
        <v>321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347</v>
      </c>
      <c r="N153" s="166" t="s">
        <v>348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326</v>
      </c>
      <c r="B154" s="215"/>
      <c r="C154" s="215"/>
      <c r="D154" s="282"/>
      <c r="E154" s="283"/>
      <c r="F154" s="63"/>
      <c r="G154" s="281" t="s">
        <v>326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82</v>
      </c>
      <c r="B156" s="251" t="s">
        <v>83</v>
      </c>
      <c r="C156" s="251"/>
      <c r="D156" s="215"/>
      <c r="E156" s="216"/>
      <c r="F156" s="63"/>
      <c r="G156" s="250" t="s">
        <v>82</v>
      </c>
      <c r="H156" s="251" t="s">
        <v>83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326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82</v>
      </c>
      <c r="N159" s="251" t="s">
        <v>83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16745</v>
      </c>
      <c r="C3" s="498" t="n">
        <v>0</v>
      </c>
      <c r="D3" s="498" t="n">
        <v>0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</v>
      </c>
      <c r="C4" s="511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16745</v>
      </c>
      <c r="C7" s="291" t="n">
        <f aca="false">C3-C6</f>
        <v>0</v>
      </c>
      <c r="D7" s="291" t="n">
        <f aca="false">D3-D6</f>
        <v>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340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16745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695</v>
      </c>
      <c r="F10" s="63"/>
      <c r="G10" s="63"/>
      <c r="H10" s="63"/>
      <c r="I10" s="16" t="s">
        <v>1</v>
      </c>
      <c r="J10" s="14" t="n">
        <f aca="false">E15-E11-J8</f>
        <v>17440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3488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275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21268</v>
      </c>
      <c r="F15" s="63"/>
      <c r="G15" s="274" t="n">
        <f aca="false">E15</f>
        <v>21268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20928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21268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n">
        <f aca="false">IF(B38="YES", D38+A41, D38)</f>
        <v>500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20928</v>
      </c>
      <c r="C61" s="215"/>
      <c r="D61" s="215"/>
      <c r="E61" s="216"/>
      <c r="F61" s="63"/>
      <c r="G61" s="214" t="s">
        <v>14</v>
      </c>
      <c r="H61" s="291" t="n">
        <f aca="false">G18</f>
        <v>20928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1464.96</v>
      </c>
      <c r="C64" s="215" t="n">
        <v>10000</v>
      </c>
      <c r="D64" s="291" t="n">
        <f aca="false">B64</f>
        <v>1464.96</v>
      </c>
      <c r="E64" s="216"/>
      <c r="F64" s="63"/>
      <c r="G64" s="285" t="s">
        <v>90</v>
      </c>
      <c r="H64" s="133" t="n">
        <f aca="false">H61*H63</f>
        <v>1464.96</v>
      </c>
      <c r="I64" s="215"/>
      <c r="J64" s="291" t="n">
        <f aca="false">H64</f>
        <v>1464.96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209.28</v>
      </c>
      <c r="C67" s="215"/>
      <c r="D67" s="291"/>
      <c r="E67" s="216"/>
      <c r="F67" s="63"/>
      <c r="G67" s="285" t="s">
        <v>93</v>
      </c>
      <c r="H67" s="133" t="n">
        <f aca="false">H61*H66</f>
        <v>104.64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</v>
      </c>
      <c r="C75" s="215" t="n">
        <f aca="false">IF(G18&gt;40000, 325, 0)</f>
        <v>0</v>
      </c>
      <c r="D75" s="215"/>
      <c r="E75" s="216"/>
      <c r="F75" s="63"/>
      <c r="G75" s="295" t="s">
        <v>281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2791.62666666667</v>
      </c>
      <c r="C81" s="215"/>
      <c r="D81" s="215"/>
      <c r="E81" s="216"/>
      <c r="F81" s="63"/>
      <c r="G81" s="303" t="s">
        <v>102</v>
      </c>
      <c r="H81" s="304" t="n">
        <f aca="false">SUM(J64:J80)</f>
        <v>3091.46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232.635555555556</v>
      </c>
      <c r="C82" s="215"/>
      <c r="D82" s="215"/>
      <c r="E82" s="216"/>
      <c r="F82" s="63"/>
      <c r="G82" s="214" t="s">
        <v>103</v>
      </c>
      <c r="H82" s="300" t="n">
        <f aca="false">H81/H29</f>
        <v>257.621666666667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((B83*(H29)+B81))*1.2</f>
        <v>10564.352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10924.152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(((B83*(H29))+B81)/(1-B70))*B70</f>
        <v>74.5769100443727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77.1168455022186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10638.9289100444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10901.2788455022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886.577409170364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908.439903791851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886.577409170364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908.439903791851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128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19</v>
      </c>
      <c r="B105" s="312" t="n">
        <v>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19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0</v>
      </c>
      <c r="E112" s="107" t="n">
        <v>6000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886.577409170364</v>
      </c>
      <c r="B128" s="321" t="n">
        <f aca="false">IF(A105="YES", B89, 0)</f>
        <v>0</v>
      </c>
      <c r="C128" s="326"/>
      <c r="D128" s="321" t="n">
        <f aca="false">B91</f>
        <v>886.577409170364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908.439903791851</v>
      </c>
      <c r="H130" s="177" t="n">
        <f aca="false">IF(G105="YES", H89*H57, 0)</f>
        <v>0</v>
      </c>
      <c r="I130" s="177"/>
      <c r="J130" s="334" t="n">
        <f aca="false">H91</f>
        <v>908.439903791851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886.577409170364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908.439903791851</v>
      </c>
      <c r="H133" s="103" t="n">
        <f aca="false">IF(G105="YES", H89*H57, 0)</f>
        <v>0</v>
      </c>
      <c r="I133" s="221"/>
      <c r="J133" s="184" t="n">
        <f aca="false">H91*H57</f>
        <v>908.439903791851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886.577409170364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0.127608</v>
      </c>
      <c r="H136" s="103" t="n">
        <f aca="false">IF(G105="YES", E15*0.000002, 0)</f>
        <v>0.042536</v>
      </c>
      <c r="I136" s="103"/>
      <c r="J136" s="103" t="n">
        <f aca="false">G136+H136</f>
        <v>0.170144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886.577409170364</v>
      </c>
      <c r="B137" s="38" t="n">
        <f aca="false">IF(A105="YES", B89, 0)</f>
        <v>0</v>
      </c>
      <c r="C137" s="317"/>
      <c r="D137" s="38" t="n">
        <f aca="false">B91</f>
        <v>886.577409170364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104.64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15.06816</v>
      </c>
      <c r="B140" s="343" t="n">
        <f aca="false">G18*0.000002 *1.2*100</f>
        <v>5.02272</v>
      </c>
      <c r="C140" s="317"/>
      <c r="D140" s="343" t="n">
        <f aca="false">A140+B140</f>
        <v>20.09088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1324.628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209.28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709.27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908.439903791851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886.577409170364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886.577409170364</v>
      </c>
      <c r="B171" s="355" t="n">
        <f aca="false">IF(A105="YES", B89, 0)</f>
        <v>0</v>
      </c>
      <c r="C171" s="358"/>
      <c r="D171" s="355" t="n">
        <f aca="false">B91</f>
        <v>886.577409170364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886.577409170364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886.577409170364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886.577409170364</v>
      </c>
      <c r="B180" s="103" t="n">
        <f aca="false">IF(A105="YES", B89, 0)</f>
        <v>0</v>
      </c>
      <c r="C180" s="353"/>
      <c r="D180" s="103" t="n">
        <f aca="false">B91</f>
        <v>886.577409170364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15.06816</v>
      </c>
      <c r="B183" s="365" t="n">
        <f aca="false">G18*0.000002 *1.2*100</f>
        <v>5.02272</v>
      </c>
      <c r="C183" s="353"/>
      <c r="D183" s="365" t="n">
        <f aca="false">A183+B183</f>
        <v>20.09088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209.28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709.27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1464.96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209.28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1595.67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1464.96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209.28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1595.67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74.5769100443727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381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143</v>
      </c>
      <c r="C2" s="497" t="s">
        <v>144</v>
      </c>
      <c r="D2" s="497" t="s">
        <v>145</v>
      </c>
      <c r="E2" s="483" t="s">
        <v>146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149</v>
      </c>
      <c r="B3" s="498" t="n">
        <v>44854.17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150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151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152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153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161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162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163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164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165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166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167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168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169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170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170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170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171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237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238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84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239</v>
      </c>
      <c r="E28" s="216"/>
      <c r="F28" s="63"/>
      <c r="G28" s="219" t="s">
        <v>85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240</v>
      </c>
      <c r="B29" s="223" t="n">
        <v>12345</v>
      </c>
      <c r="C29" s="223"/>
      <c r="D29" s="224" t="n">
        <f aca="true">TODAY()+1</f>
        <v>45259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241</v>
      </c>
      <c r="C31" s="215"/>
      <c r="D31" s="221" t="s">
        <v>242</v>
      </c>
      <c r="E31" s="216"/>
      <c r="F31" s="63"/>
      <c r="G31" s="218" t="s">
        <v>243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128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244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246</v>
      </c>
      <c r="B34" s="231" t="s">
        <v>247</v>
      </c>
      <c r="C34" s="230"/>
      <c r="D34" s="232" t="s">
        <v>40</v>
      </c>
      <c r="E34" s="216"/>
      <c r="F34" s="63"/>
      <c r="G34" s="227" t="s">
        <v>248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251</v>
      </c>
      <c r="C37" s="215"/>
      <c r="D37" s="221" t="s">
        <v>252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387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253</v>
      </c>
      <c r="B40" s="240" t="s">
        <v>119</v>
      </c>
      <c r="C40" s="230"/>
      <c r="D40" s="184" t="s">
        <v>139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255</v>
      </c>
      <c r="B43" s="240" t="s">
        <v>256</v>
      </c>
      <c r="C43" s="230"/>
      <c r="D43" s="240" t="s">
        <v>260</v>
      </c>
      <c r="E43" s="243"/>
      <c r="F43" s="63"/>
      <c r="G43" s="63" t="s">
        <v>257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258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259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275</v>
      </c>
      <c r="B46" s="230"/>
      <c r="C46" s="230"/>
      <c r="D46" s="230"/>
      <c r="E46" s="243"/>
      <c r="F46" s="63"/>
      <c r="G46" s="63" t="s">
        <v>263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81</v>
      </c>
      <c r="B48" s="215"/>
      <c r="C48" s="215"/>
      <c r="D48" s="282"/>
      <c r="E48" s="283"/>
      <c r="F48" s="63"/>
      <c r="G48" s="63"/>
      <c r="H48" s="238" t="n">
        <f aca="false">(A41*(B58+B57))</f>
        <v>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82</v>
      </c>
      <c r="B50" s="251" t="s">
        <v>83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84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84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85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276</v>
      </c>
      <c r="D58" s="215"/>
      <c r="E58" s="216"/>
      <c r="F58" s="63"/>
      <c r="G58" s="214" t="s">
        <v>85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278</v>
      </c>
      <c r="B62" s="293" t="n">
        <v>0.07</v>
      </c>
      <c r="C62" s="215"/>
      <c r="D62" s="215"/>
      <c r="E62" s="216"/>
      <c r="F62" s="63"/>
      <c r="G62" s="292" t="s">
        <v>278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279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279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90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90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91</v>
      </c>
      <c r="B65" s="293" t="n">
        <v>0.01</v>
      </c>
      <c r="C65" s="215"/>
      <c r="D65" s="215"/>
      <c r="E65" s="216"/>
      <c r="F65" s="63"/>
      <c r="G65" s="292" t="s">
        <v>91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92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92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93</v>
      </c>
      <c r="B67" s="133" t="n">
        <f aca="false">B61*B66</f>
        <v>578.85</v>
      </c>
      <c r="C67" s="215"/>
      <c r="D67" s="291"/>
      <c r="E67" s="216"/>
      <c r="F67" s="63"/>
      <c r="G67" s="285" t="s">
        <v>93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94</v>
      </c>
      <c r="B68" s="293" t="n">
        <v>0.0075</v>
      </c>
      <c r="C68" s="215"/>
      <c r="D68" s="215"/>
      <c r="E68" s="216"/>
      <c r="F68" s="63"/>
      <c r="G68" s="292" t="s">
        <v>94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95</v>
      </c>
      <c r="B69" s="296" t="n">
        <v>0.12</v>
      </c>
      <c r="C69" s="215"/>
      <c r="D69" s="215"/>
      <c r="E69" s="216"/>
      <c r="F69" s="63"/>
      <c r="G69" s="295" t="s">
        <v>95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96</v>
      </c>
      <c r="B70" s="297" t="n">
        <f aca="false">B68*(1+B69)</f>
        <v>0.0084</v>
      </c>
      <c r="C70" s="215"/>
      <c r="D70" s="215"/>
      <c r="E70" s="216"/>
      <c r="F70" s="63"/>
      <c r="G70" s="285" t="s">
        <v>96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97</v>
      </c>
      <c r="B71" s="298" t="n">
        <v>200.0</v>
      </c>
      <c r="C71" s="215"/>
      <c r="D71" s="215"/>
      <c r="E71" s="216"/>
      <c r="F71" s="63"/>
      <c r="G71" s="292" t="s">
        <v>97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98</v>
      </c>
      <c r="B72" s="299" t="n">
        <v>5.0</v>
      </c>
      <c r="C72" s="215"/>
      <c r="D72" s="215"/>
      <c r="E72" s="216"/>
      <c r="F72" s="63"/>
      <c r="G72" s="295" t="s">
        <v>98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99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99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280</v>
      </c>
      <c r="B74" s="298" t="n">
        <v>0.0</v>
      </c>
      <c r="C74" s="215"/>
      <c r="D74" s="215"/>
      <c r="E74" s="216"/>
      <c r="F74" s="63"/>
      <c r="G74" s="292" t="s">
        <v>280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281</v>
      </c>
      <c r="B75" s="299" t="n">
        <v>0.0</v>
      </c>
      <c r="C75" s="215"/>
      <c r="D75" s="215"/>
      <c r="E75" s="216"/>
      <c r="F75" s="63"/>
      <c r="G75" s="295" t="s">
        <v>281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282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282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283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283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284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284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100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100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101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101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102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102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103</v>
      </c>
      <c r="B82" s="300" t="n">
        <f aca="false">B81/H29</f>
        <v>448.218055555556</v>
      </c>
      <c r="C82" s="215"/>
      <c r="D82" s="215"/>
      <c r="E82" s="216"/>
      <c r="F82" s="63"/>
      <c r="G82" s="214" t="s">
        <v>103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104</v>
      </c>
      <c r="B83" s="306" t="n">
        <f aca="false">H46</f>
        <v>501</v>
      </c>
      <c r="C83" s="215"/>
      <c r="D83" s="215"/>
      <c r="E83" s="216"/>
      <c r="F83" s="63"/>
      <c r="G83" s="305" t="s">
        <v>104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114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114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115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115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116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116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117</v>
      </c>
      <c r="B89" s="307" t="n">
        <f aca="false">IF(B99=Z102,(((H44*B35)+(H44*B35)*(B105/100))/(B58)),(((H44*B35)+(H44*B35)*(B105/100))/(B57+B58)))</f>
        <v>0</v>
      </c>
      <c r="C89" s="215" t="s">
        <v>4</v>
      </c>
      <c r="D89" s="215"/>
      <c r="E89" s="216"/>
      <c r="F89" s="63"/>
      <c r="G89" s="303" t="s">
        <v>117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118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118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119</v>
      </c>
      <c r="B91" s="311" t="n">
        <f aca="false">IF(A105="YES", B90+B89, B90)</f>
        <v>957.259031419479</v>
      </c>
      <c r="C91" s="215"/>
      <c r="D91" s="215"/>
      <c r="E91" s="216"/>
      <c r="F91" s="63"/>
      <c r="G91" s="310" t="s">
        <v>119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335</v>
      </c>
      <c r="B94" s="213"/>
      <c r="C94" s="213"/>
      <c r="D94" s="213"/>
      <c r="E94" s="213"/>
      <c r="F94" s="63"/>
      <c r="G94" s="213" t="s">
        <v>285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124</v>
      </c>
      <c r="B96" s="217"/>
      <c r="C96" s="217"/>
      <c r="D96" s="217"/>
      <c r="E96" s="217"/>
      <c r="F96" s="63"/>
      <c r="G96" s="217" t="s">
        <v>124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125</v>
      </c>
      <c r="B98" s="215" t="s">
        <v>23</v>
      </c>
      <c r="C98" s="215"/>
      <c r="D98" s="215" t="s">
        <v>286</v>
      </c>
      <c r="E98" s="216"/>
      <c r="F98" s="63"/>
      <c r="G98" s="214" t="s">
        <v>125</v>
      </c>
      <c r="H98" s="215" t="s">
        <v>23</v>
      </c>
      <c r="I98" s="215"/>
      <c r="J98" s="215" t="s">
        <v>286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287</v>
      </c>
      <c r="B99" s="312" t="s">
        <v>288</v>
      </c>
      <c r="C99" s="312"/>
      <c r="D99" s="107" t="n">
        <v>1000</v>
      </c>
      <c r="E99" s="107"/>
      <c r="F99" s="63"/>
      <c r="G99" s="220" t="s">
        <v>287</v>
      </c>
      <c r="H99" s="312" t="s">
        <v>128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289</v>
      </c>
      <c r="B101" s="215" t="s">
        <v>290</v>
      </c>
      <c r="C101" s="215"/>
      <c r="D101" s="215" t="s">
        <v>291</v>
      </c>
      <c r="E101" s="216"/>
      <c r="F101" s="63"/>
      <c r="G101" s="214" t="s">
        <v>289</v>
      </c>
      <c r="H101" s="215" t="s">
        <v>290</v>
      </c>
      <c r="I101" s="215"/>
      <c r="J101" s="215" t="s">
        <v>291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128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264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265</v>
      </c>
      <c r="AA103" s="63"/>
    </row>
    <row r="104" customFormat="false" ht="18.75" hidden="false" customHeight="true" outlineLevel="0" collapsed="false">
      <c r="A104" s="220" t="s">
        <v>126</v>
      </c>
      <c r="B104" s="63" t="s">
        <v>129</v>
      </c>
      <c r="C104" s="215"/>
      <c r="D104" s="215" t="s">
        <v>140</v>
      </c>
      <c r="E104" s="216"/>
      <c r="F104" s="63"/>
      <c r="G104" s="220" t="s">
        <v>126</v>
      </c>
      <c r="H104" s="63" t="s">
        <v>129</v>
      </c>
      <c r="I104" s="215"/>
      <c r="J104" s="215" t="s">
        <v>140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266</v>
      </c>
      <c r="AA104" s="63"/>
    </row>
    <row r="105" customFormat="false" ht="18.75" hidden="false" customHeight="true" outlineLevel="0" collapsed="false">
      <c r="A105" s="222" t="s">
        <v>387</v>
      </c>
      <c r="B105" s="312" t="n">
        <v>0.0</v>
      </c>
      <c r="C105" s="312"/>
      <c r="D105" s="107" t="s">
        <v>388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267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268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269</v>
      </c>
      <c r="AA107" s="63"/>
    </row>
    <row r="108" customFormat="false" ht="18.75" hidden="false" customHeight="true" outlineLevel="0" collapsed="false">
      <c r="A108" s="217" t="s">
        <v>293</v>
      </c>
      <c r="B108" s="217"/>
      <c r="C108" s="217"/>
      <c r="D108" s="217"/>
      <c r="E108" s="217"/>
      <c r="F108" s="63"/>
      <c r="G108" s="217" t="s">
        <v>293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270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271</v>
      </c>
    </row>
    <row r="110" customFormat="false" ht="18.75" hidden="false" customHeight="true" outlineLevel="0" collapsed="false">
      <c r="A110" s="214" t="s">
        <v>294</v>
      </c>
      <c r="B110" s="222" t="s">
        <v>387</v>
      </c>
      <c r="C110" s="215"/>
      <c r="D110" s="215"/>
      <c r="E110" s="216"/>
      <c r="F110" s="63"/>
      <c r="G110" s="214" t="s">
        <v>294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174</v>
      </c>
      <c r="B112" s="215"/>
      <c r="C112" s="215"/>
      <c r="D112" s="313" t="n">
        <v>10000.0</v>
      </c>
      <c r="E112" s="107" t="n">
        <v>6000.0</v>
      </c>
      <c r="F112" s="63"/>
      <c r="G112" s="214" t="s">
        <v>174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175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175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176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176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177</v>
      </c>
      <c r="B115" s="215"/>
      <c r="C115" s="215"/>
      <c r="D115" s="166" t="n">
        <f aca="false">D114-E114</f>
        <v>-6000</v>
      </c>
      <c r="E115" s="216"/>
      <c r="F115" s="63"/>
      <c r="G115" s="214" t="s">
        <v>177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136</v>
      </c>
      <c r="B117" s="289"/>
      <c r="C117" s="289"/>
      <c r="D117" s="289"/>
      <c r="E117" s="131" t="n">
        <f aca="false">D99</f>
        <v>1000</v>
      </c>
      <c r="F117" s="63"/>
      <c r="G117" s="288" t="s">
        <v>136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295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295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296</v>
      </c>
      <c r="B122" s="217"/>
      <c r="C122" s="217"/>
      <c r="D122" s="217"/>
      <c r="E122" s="217"/>
      <c r="F122" s="63"/>
      <c r="G122" s="217" t="s">
        <v>296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125</v>
      </c>
      <c r="B124" s="320" t="n">
        <v>0.0</v>
      </c>
      <c r="C124" s="321"/>
      <c r="D124" s="320" t="s">
        <v>83</v>
      </c>
      <c r="E124" s="322"/>
      <c r="F124" s="63"/>
      <c r="G124" s="214" t="s">
        <v>181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287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82</v>
      </c>
      <c r="H126" s="215" t="s">
        <v>83</v>
      </c>
      <c r="I126" s="215"/>
      <c r="J126" s="215" t="s">
        <v>85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118</v>
      </c>
      <c r="B127" s="320" t="s">
        <v>297</v>
      </c>
      <c r="C127" s="321"/>
      <c r="D127" s="320" t="s">
        <v>298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0</v>
      </c>
      <c r="C128" s="326"/>
      <c r="D128" s="321" t="n">
        <f aca="false">B91</f>
        <v>957.259031419479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299</v>
      </c>
      <c r="H129" s="328" t="s">
        <v>300</v>
      </c>
      <c r="I129" s="328"/>
      <c r="J129" s="328" t="s">
        <v>301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302</v>
      </c>
      <c r="C130" s="332"/>
      <c r="D130" s="331" t="s">
        <v>303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8615.33128277531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304</v>
      </c>
      <c r="H132" s="215" t="s">
        <v>305</v>
      </c>
      <c r="I132" s="215"/>
      <c r="J132" s="215" t="s">
        <v>306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307</v>
      </c>
      <c r="B133" s="39" t="s">
        <v>308</v>
      </c>
      <c r="C133" s="336"/>
      <c r="D133" s="247" t="s">
        <v>206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8615.33128277531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309</v>
      </c>
      <c r="H135" s="215" t="s">
        <v>310</v>
      </c>
      <c r="I135" s="215"/>
      <c r="J135" s="215" t="s">
        <v>311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118</v>
      </c>
      <c r="B136" s="339" t="s">
        <v>297</v>
      </c>
      <c r="C136" s="317"/>
      <c r="D136" s="317" t="s">
        <v>298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0</v>
      </c>
      <c r="C137" s="317"/>
      <c r="D137" s="38" t="n">
        <f aca="false">B91</f>
        <v>957.259031419479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312</v>
      </c>
      <c r="H138" s="215" t="s">
        <v>313</v>
      </c>
      <c r="I138" s="215"/>
      <c r="J138" s="215" t="s">
        <v>314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315</v>
      </c>
      <c r="C139" s="38"/>
      <c r="D139" s="341" t="s">
        <v>72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316</v>
      </c>
      <c r="H141" s="215" t="s">
        <v>317</v>
      </c>
      <c r="I141" s="215"/>
      <c r="J141" s="215" t="s">
        <v>318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319</v>
      </c>
      <c r="B142" s="341" t="s">
        <v>53</v>
      </c>
      <c r="C142" s="38"/>
      <c r="D142" s="341" t="s">
        <v>283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320</v>
      </c>
      <c r="H144" s="215" t="s">
        <v>321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322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323</v>
      </c>
      <c r="B147" s="317" t="s">
        <v>324</v>
      </c>
      <c r="C147" s="317"/>
      <c r="D147" s="317" t="s">
        <v>325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326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327</v>
      </c>
      <c r="B150" s="317" t="s">
        <v>321</v>
      </c>
      <c r="C150" s="317"/>
      <c r="D150" s="317" t="s">
        <v>318</v>
      </c>
      <c r="E150" s="318"/>
      <c r="F150" s="63"/>
      <c r="G150" s="250" t="s">
        <v>82</v>
      </c>
      <c r="H150" s="251" t="s">
        <v>83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328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326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82</v>
      </c>
      <c r="B159" s="251" t="s">
        <v>83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957.259031419479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296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125</v>
      </c>
      <c r="B167" s="354" t="s">
        <v>39</v>
      </c>
      <c r="C167" s="355"/>
      <c r="D167" s="354" t="s">
        <v>83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287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118</v>
      </c>
      <c r="B170" s="354" t="s">
        <v>297</v>
      </c>
      <c r="C170" s="355"/>
      <c r="D170" s="354" t="s">
        <v>298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0</v>
      </c>
      <c r="C171" s="358"/>
      <c r="D171" s="355" t="n">
        <f aca="false">B91</f>
        <v>957.259031419479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302</v>
      </c>
      <c r="C173" s="230"/>
      <c r="D173" s="359" t="s">
        <v>303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8615.33128277531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307</v>
      </c>
      <c r="B176" s="166" t="s">
        <v>308</v>
      </c>
      <c r="C176" s="360"/>
      <c r="D176" s="241" t="s">
        <v>206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8615.33128277531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118</v>
      </c>
      <c r="B179" s="363" t="s">
        <v>297</v>
      </c>
      <c r="C179" s="353"/>
      <c r="D179" s="353" t="s">
        <v>298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0</v>
      </c>
      <c r="C180" s="353"/>
      <c r="D180" s="103" t="n">
        <f aca="false">B91</f>
        <v>957.259031419479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315</v>
      </c>
      <c r="C182" s="103"/>
      <c r="D182" s="364" t="s">
        <v>72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319</v>
      </c>
      <c r="B185" s="364" t="s">
        <v>53</v>
      </c>
      <c r="C185" s="103"/>
      <c r="D185" s="364" t="s">
        <v>283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322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323</v>
      </c>
      <c r="B190" s="353" t="s">
        <v>324</v>
      </c>
      <c r="C190" s="353"/>
      <c r="D190" s="353" t="s">
        <v>325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327</v>
      </c>
      <c r="B193" s="353" t="s">
        <v>321</v>
      </c>
      <c r="C193" s="353"/>
      <c r="D193" s="353" t="s">
        <v>318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328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212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213</v>
      </c>
      <c r="B203" s="369" t="n">
        <f aca="false">B209</f>
        <v>0.065</v>
      </c>
      <c r="C203" s="321" t="s">
        <v>215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216</v>
      </c>
      <c r="B205" s="321" t="n">
        <f aca="false">B213</f>
        <v>578.85</v>
      </c>
      <c r="C205" s="320" t="s">
        <v>217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218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213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215</v>
      </c>
      <c r="B211" s="104" t="n">
        <f aca="false">D64</f>
        <v>4051.95</v>
      </c>
      <c r="C211" s="375" t="s">
        <v>221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221</v>
      </c>
      <c r="B213" s="104" t="n">
        <f aca="false">B67</f>
        <v>578.85</v>
      </c>
      <c r="C213" s="336" t="s">
        <v>329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329</v>
      </c>
      <c r="B215" s="241" t="n">
        <f aca="false">B191*E213*100</f>
        <v>40</v>
      </c>
      <c r="C215" s="336" t="s">
        <v>223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330</v>
      </c>
      <c r="B217" s="241" t="n">
        <f aca="false">B78-(B78*(E213*100))</f>
        <v>200</v>
      </c>
      <c r="C217" s="336" t="s">
        <v>218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331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332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225</v>
      </c>
      <c r="B223" s="104" t="n">
        <f aca="false">B71</f>
        <v>200</v>
      </c>
      <c r="C223" s="336" t="s">
        <v>226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227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228</v>
      </c>
      <c r="B225" s="381" t="n">
        <f aca="false">B68</f>
        <v>0.0075</v>
      </c>
      <c r="C225" s="336" t="s">
        <v>229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230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231</v>
      </c>
      <c r="B227" s="104" t="n">
        <f aca="false">B79</f>
        <v>200</v>
      </c>
      <c r="C227" s="382" t="s">
        <v>333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232</v>
      </c>
      <c r="B229" s="104" t="n">
        <f aca="false">B80</f>
        <v>200</v>
      </c>
      <c r="C229" s="386" t="s">
        <v>334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4967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2023-11-28T17:43:07Z</dcterms:modified>
  <cp:revision>892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