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<sst xmlns="http://schemas.openxmlformats.org/spreadsheetml/2006/main" count="34205" uniqueCount="416">
  <si>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</si>
  <si>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</si>
  <si>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</si>
  <si>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</si>
  <si>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</si>
  <si>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</si>
  <si>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</si>
  <si>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</si>
  <si>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</si>
  <si>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</si>
  <si>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</si>
  <si>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</si>
  <si>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</si>
  <si>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</si>
  <si>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</si>
  <si>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</si>
  <si>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</si>
  <si>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</si>
  <si>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</si>
  <si>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</si>
  <si>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</si>
  <si>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</si>
  <si>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</si>
  <si>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</si>
  <si>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</si>
  <si>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</si>
  <si>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</si>
  <si>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</si>
  <si>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</si>
  <si>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</si>
  <si>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</si>
  <si>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</si>
  <si>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</si>
  <si>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</si>
  <si>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</si>
  <si>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</si>
  <si>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</si>
  <si>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</si>
  <si>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</si>
  <si>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</si>
  <si>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</si>
  <si>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</si>
  <si>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</si>
  <si>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</si>
  <si>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</si>
  <si>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</si>
  <si>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</si>
  <si>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</si>
  <si>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</si>
  <si>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</si>
  <si>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</si>
  <si>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</si>
  <si>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</si>
  <si>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</si>
  <si>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</si>
  <si>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</si>
  <si>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</si>
  <si>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</si>
  <si>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</si>
  <si>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</si>
  <si>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</si>
  <si>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</si>
  <si>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</si>
  <si>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</si>
  <si>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</si>
  <si>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</si>
  <si>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</si>
  <si>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</si>
  <si>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</si>
  <si>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</si>
  <si>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</si>
  <si>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</si>
  <si>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</si>
  <si>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</si>
  <si>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</si>
  <si>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</si>
  <si>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</si>
  <si>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</si>
  <si>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</si>
  <si>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</si>
  <si>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254.00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</si>
  <si>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</si>
  <si>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</si>
  <si>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</si>
  <si>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</si>
  <si>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</si>
  <si>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</si>
  <si>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</si>
  <si>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</si>
  <si>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</si>
  <si>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</si>
  <si>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</si>
  <si>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</si>
  <si>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</si>
  <si>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</si>
  <si>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</si>
  <si>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</si>
  <si>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</si>
  <si>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</si>
  <si>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</si>
  <si>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</si>
  <si>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</si>
  <si>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</si>
  <si>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</si>
  <si>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</si>
  <si>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</si>
  <si>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</si>
  <si>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</si>
  <si>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</si>
  <si>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</si>
  <si>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</si>
  <si>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</si>
  <si>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</si>
  <si>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</si>
  <si>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</si>
  <si>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</si>
  <si>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</si>
  <si>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</si>
  <si>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</si>
  <si>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</si>
  <si>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</si>
  <si>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Limited Credit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</si>
  <si>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</si>
  <si>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</si>
  <si>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</si>
  <si>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</si>
  <si>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</si>
  <si>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</si>
  <si>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</si>
  <si>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</si>
  <si>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</si>
  <si>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</si>
  <si>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</si>
  <si>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</si>
  <si>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</si>
  <si>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</si>
  <si>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</si>
  <si>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</si>
  <si>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</si>
  <si>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</si>
  <si>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</si>
  <si>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</si>
  <si>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</si>
  <si>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</si>
  <si>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</si>
  <si>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</si>
  <si>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</si>
  <si>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</si>
  <si>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</si>
  <si>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</si>
  <si>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</si>
  <si>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</si>
  <si>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</si>
  <si>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</si>
  <si>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</si>
  <si>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</si>
  <si>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</si>
  <si>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</si>
  <si>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</si>
  <si>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</si>
  <si>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</si>
  <si>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</si>
  <si>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</si>
  <si>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</si>
  <si>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</si>
  <si>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</si>
  <si>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</si>
  <si>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</si>
  <si>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</si>
  <si>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</si>
  <si>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</si>
  <si>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</si>
  <si>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</si>
  <si>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</si>
  <si>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</si>
  <si>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</si>
  <si>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</si>
  <si>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</si>
  <si>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</si>
  <si>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</si>
  <si>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</si>
  <si>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</si>
  <si>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</si>
  <si>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</si>
  <si>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</si>
  <si>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</si>
  <si>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</si>
  <si>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</si>
  <si>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</si>
  <si>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</si>
  <si>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</si>
  <si>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</si>
  <si>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</si>
  <si>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</si>
  <si>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</si>
  <si>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</si>
  <si>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</si>
  <si>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</si>
  <si>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</si>
  <si>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</si>
  <si>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</si>
  <si>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</si>
  <si>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</si>
  <si>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</si>
  <si>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</si>
  <si>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</si>
  <si>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</si>
  <si>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</si>
  <si>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</si>
  <si>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</si>
  <si>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</si>
  <si>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</si>
  <si>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</si>
  <si>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</si>
  <si>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</si>
  <si>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</si>
  <si>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</si>
  <si>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</si>
  <si>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</si>
  <si>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</si>
  <si>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</si>
  <si>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</si>
  <si>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</si>
  <si>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</si>
  <si>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</si>
  <si>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</si>
  <si>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</si>
  <si>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</si>
  <si>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</si>
  <si>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</si>
  <si>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</si>
  <si>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</si>
  <si>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</si>
  <si>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</si>
  <si>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</si>
  <si>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</si>
  <si>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</si>
  <si>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</si>
  <si>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</si>
  <si>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</si>
  <si>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</si>
  <si>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</si>
  <si>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</si>
  <si>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</si>
  <si>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</si>
  <si>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</si>
  <si>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</si>
  <si>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</si>
  <si>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</si>
  <si>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</si>
  <si>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</si>
  <si>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</si>
  <si>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</si>
  <si>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</si>
  <si>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</si>
  <si>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</si>
  <si>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</si>
  <si>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</si>
  <si>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</si>
  <si>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</si>
  <si>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</si>
  <si>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</si>
  <si>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</si>
  <si>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</si>
  <si>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</si>
  <si>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</si>
  <si>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</si>
  <si>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</si>
  <si>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</si>
  <si>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</si>
  <si>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</si>
  <si>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</si>
  <si>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</si>
  <si>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</si>
  <si>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</si>
  <si>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</si>
  <si>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</si>
  <si>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</si>
  <si>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</si>
  <si>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</si>
  <si>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</si>
  <si>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</si>
  <si>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</si>
  <si>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</si>
  <si>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</si>
  <si>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</si>
  <si>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</si>
  <si>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</si>
  <si>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</si>
  <si>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</si>
  <si>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</si>
  <si>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</si>
  <si>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</si>
  <si>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</si>
  <si>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</si>
  <si>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</si>
  <si>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</si>
  <si>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</si>
  <si>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</si>
  <si>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</si>
  <si>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</si>
  <si>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</si>
  <si>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</si>
  <si>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</si>
  <si>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</si>
  <si>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</si>
  <si>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</si>
  <si>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</si>
  <si>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</si>
  <si>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</si>
  <si>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</si>
  <si>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</si>
  <si>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</si>
  <si>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</si>
  <si>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</si>
  <si>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</si>
  <si>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</si>
  <si>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</si>
  <si>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</si>
  <si>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</si>
  <si>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</si>
  <si>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</si>
  <si>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</si>
  <si>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</si>
  <si>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</si>
  <si>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</si>
  <si>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</si>
  <si>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</si>
  <si>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</si>
  <si>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</si>
  <si>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</si>
  <si>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</si>
  <si>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</si>
  <si>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</si>
  <si>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</si>
  <si>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</si>
  <si>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</si>
  <si>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</si>
  <si>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</si>
  <si>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</si>
  <si>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</si>
  <si>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</si>
  <si>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</si>
  <si>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</si>
  <si>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</si>
  <si>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</si>
  <si>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</si>
  <si>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</si>
  <si>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</si>
  <si>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</si>
  <si>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</si>
  <si>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</si>
  <si>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</si>
  <si>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</si>
  <si>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</si>
  <si>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</si>
  <si>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</si>
  <si>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</si>
  <si>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</si>
  <si>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</si>
  <si>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</si>
  <si>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</si>
  <si>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</si>
  <si>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</si>
  <si>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</si>
  <si>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</si>
  <si>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</si>
  <si>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</si>
  <si>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</si>
  <si>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</si>
  <si>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</si>
  <si>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</si>
  <si>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</si>
  <si>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</si>
  <si>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</si>
  <si>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</si>
  <si>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</si>
  <si>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</si>
  <si>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</si>
  <si>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</si>
  <si>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</si>
  <si>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315.00</t>
  </si>
  <si>
    <t xml:space="preserve">21268.00</t>
  </si>
  <si>
    <t xml:space="preserve">RFL included?</t>
  </si>
  <si>
    <t>12</t>
  </si>
  <si>
    <t>5000</t>
  </si>
  <si>
    <t>1000</t>
  </si>
  <si>
    <t>500</t>
  </si>
  <si>
    <t>199.99</t>
  </si>
  <si>
    <t>NO</t>
  </si>
  <si>
    <t>YES</t>
  </si>
  <si>
    <t>50</t>
  </si>
  <si>
    <t>437.00</t>
  </si>
  <si>
    <t>60</t>
  </si>
  <si>
    <t>Limited Credit</t>
  </si>
  <si>
    <t>57535.00</t>
  </si>
  <si>
    <t>33</t>
  </si>
  <si>
    <t>604.17</t>
  </si>
  <si>
    <t>239.99</t>
  </si>
  <si>
    <t>200</t>
  </si>
  <si>
    <t xml:space="preserve"> Terminal pause with 6 down </t>
  </si>
  <si>
    <t>0</t>
  </si>
  <si>
    <t>A1 Credit</t>
  </si>
  <si>
    <t>100</t>
  </si>
  <si>
    <t>40</t>
  </si>
  <si>
    <t>6000</t>
  </si>
  <si>
    <t>10</t>
  </si>
  <si>
    <t>1</t>
  </si>
  <si>
    <t>20</t>
  </si>
  <si>
    <t>70</t>
  </si>
  <si>
    <t>30</t>
  </si>
  <si>
    <t>8.19</t>
  </si>
  <si>
    <t>2</t>
  </si>
  <si>
    <t>21268.00</t>
  </si>
  <si>
    <t>315.00</t>
  </si>
  <si>
    <t>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</si>
</sst>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17166.67</v>
      </c>
      <c r="C2" s="4" t="s">
        <v>2</v>
      </c>
      <c r="D2" s="5" t="n">
        <f aca="false">C9</f>
        <v>3433.334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20600.004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3433.334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17166.67</v>
      </c>
      <c r="C15" s="9" t="n">
        <f aca="false">SUM(C9:C13)</f>
        <v>3433.334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20600.004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17166.67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384</v>
      </c>
      <c r="B34" s="31"/>
      <c r="C34" s="40" t="s">
        <v>385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20600.004</v>
      </c>
      <c r="B37" s="31"/>
      <c r="C37" s="40" t="s">
        <v>386</v>
      </c>
      <c r="D37" s="40"/>
      <c r="E37" s="31"/>
      <c r="F37" s="42" t="n">
        <f aca="false">A37-C37</f>
        <v>19600.004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384</v>
      </c>
      <c r="B40" s="31"/>
      <c r="C40" s="53" t="n">
        <f aca="false">A34-1</f>
        <v>11</v>
      </c>
      <c r="D40" s="53"/>
      <c r="E40" s="31"/>
      <c r="F40" s="40" t="s">
        <v>387</v>
      </c>
      <c r="G40" s="40"/>
      <c r="H40" s="46"/>
      <c r="J40" s="2" t="s">
        <v>58</v>
      </c>
      <c r="K40" s="2" t="n">
        <f aca="false">C15</f>
        <v>3433.334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202.777833333333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347.222166666667</v>
      </c>
      <c r="L45" s="2"/>
    </row>
    <row r="46" customFormat="false" ht="19.5" hidden="false" customHeight="false" outlineLevel="0" collapsed="false">
      <c r="A46" s="39" t="s">
        <v>391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349.888833333333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299.888833333333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392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349.888833333333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14078.5984679751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349.888833333333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349.888833333333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349.888833333333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19600.004</v>
      </c>
      <c r="C90" s="31"/>
      <c r="D90" s="31"/>
      <c r="E90" s="22"/>
      <c r="F90" s="24" t="s">
        <v>106</v>
      </c>
      <c r="G90" s="26" t="n">
        <f aca="false">F37</f>
        <v>19600.004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13245.0622001204</v>
      </c>
      <c r="C97" s="31"/>
      <c r="D97" s="31"/>
      <c r="E97" s="22"/>
      <c r="F97" s="30" t="s">
        <v>113</v>
      </c>
      <c r="G97" s="32" t="n">
        <f aca="false">G90-G95</f>
        <v>12851.934698559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1280.96349708865</v>
      </c>
      <c r="C98" s="31"/>
      <c r="D98" s="31"/>
      <c r="E98" s="22"/>
      <c r="F98" s="30" t="s">
        <v>114</v>
      </c>
      <c r="G98" s="32" t="n">
        <f aca="false">(G97/G96)</f>
        <v>1206.67117914926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14090.5984679751</v>
      </c>
      <c r="C99" s="31"/>
      <c r="D99" s="31"/>
      <c r="E99" s="22"/>
      <c r="F99" s="30" t="s">
        <v>115</v>
      </c>
      <c r="G99" s="32" t="n">
        <f aca="false">((G98*(G94))+G86)</f>
        <v>13273.3829706419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14090.5984679751</v>
      </c>
      <c r="C101" s="31"/>
      <c r="D101" s="31"/>
      <c r="E101" s="22"/>
      <c r="F101" s="55" t="s">
        <v>117</v>
      </c>
      <c r="G101" s="64" t="n">
        <f aca="false">(G99+G100)</f>
        <v>13273.3829706419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1280.96349708865</v>
      </c>
      <c r="C104" s="31"/>
      <c r="D104" s="31"/>
      <c r="E104" s="22"/>
      <c r="F104" s="94" t="s">
        <v>119</v>
      </c>
      <c r="G104" s="95" t="n">
        <f aca="false">G101/(G94)</f>
        <v>1206.67117914926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1366.05440617956</v>
      </c>
      <c r="C105" s="31"/>
      <c r="D105" s="31"/>
      <c r="E105" s="22" t="s">
        <v>18</v>
      </c>
      <c r="F105" s="96" t="s">
        <v>120</v>
      </c>
      <c r="G105" s="97" t="n">
        <f aca="false">G103+G104</f>
        <v>1206.67117914926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0.0</v>
      </c>
      <c r="C108" s="22"/>
      <c r="D108" s="22" t="n">
        <v>0.0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130</v>
      </c>
      <c r="C114" s="102"/>
      <c r="D114" s="102"/>
      <c r="E114" s="103" t="s">
        <v>19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134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143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119" t="n">
        <f aca="false">E19</f>
        <v>20600.004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151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151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151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152</v>
      </c>
      <c r="K131" s="126" t="n">
        <f aca="false">B4</f>
        <v>20600.004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152</v>
      </c>
      <c r="T131" s="126" t="n">
        <f aca="false">B4</f>
        <v>20600.004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152</v>
      </c>
      <c r="AC131" s="126" t="n">
        <f aca="false">B4</f>
        <v>20600.004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153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154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155</v>
      </c>
      <c r="B134" s="131" t="n">
        <f aca="false">B130-B133</f>
        <v>20600.004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155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155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155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5" t="n">
        <f aca="false">E21</f>
        <v>17166.67</v>
      </c>
      <c r="H144" s="152" t="n">
        <f aca="false">C134+E134+G134+H137</f>
        <v>0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32" t="n">
        <f aca="false">(G144+G145)*20%</f>
        <v>3433.334</v>
      </c>
      <c r="H146" s="32" t="n">
        <f aca="false">(H144+H145)*20%</f>
        <v>0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6" t="n">
        <f aca="false">(G144+G145+G148+G149+G146)-G147</f>
        <v>20600.004</v>
      </c>
      <c r="H150" s="156" t="n">
        <f aca="false">(H144+H145+H148+H149+H146)-H147</f>
        <v>0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63" t="n">
        <f aca="false">G150-((G153*1.2)+(G154*1.2)+(G155*1.2)+(G151*1.2))</f>
        <v>20600.004</v>
      </c>
      <c r="H156" s="163" t="n">
        <f aca="false">H150-((H153*1.2)+(H154*1.2)+(H155*1.2)+(H151*1.2))</f>
        <v>0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-17166.67</v>
      </c>
      <c r="I157" s="1" t="n">
        <f aca="false">(H157-G90)/1.2</f>
        <v>-30638.895</v>
      </c>
      <c r="J157" s="153" t="s">
        <v>174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174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181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181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181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1280.96349708865</v>
      </c>
      <c r="B176" s="176" t="n">
        <f aca="false">B103</f>
        <v>85.0909090909091</v>
      </c>
      <c r="C176" s="173"/>
      <c r="D176" s="173"/>
      <c r="E176" s="176" t="n">
        <f aca="false">B105</f>
        <v>1366.05440617956</v>
      </c>
      <c r="F176" s="22"/>
      <c r="G176" s="22" t="n">
        <f aca="false">ROUND(G104,2)</f>
        <v>1206.67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21290.5984679751</v>
      </c>
      <c r="B191" s="102" t="str">
        <f aca="false">B123</f>
        <v>239.99</v>
      </c>
      <c r="C191" s="102"/>
      <c r="D191" s="22"/>
      <c r="E191" s="102" t="n">
        <f aca="false">E188+A191+B191+A194</f>
        <v>21540.5884679751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-17166.67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1366.05440617956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20473.37</v>
      </c>
      <c r="B210" s="185" t="n">
        <f aca="false">E188+A210+B191+A194</f>
        <v>20723.36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1280.96349708865</v>
      </c>
      <c r="B221" s="176" t="n">
        <f aca="false">B176</f>
        <v>85.0909090909091</v>
      </c>
      <c r="C221" s="173"/>
      <c r="D221" s="173"/>
      <c r="E221" s="176" t="n">
        <f aca="false">E176</f>
        <v>1366.05440617956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21290.5984679751</v>
      </c>
      <c r="B233" s="102" t="str">
        <f aca="false">B191</f>
        <v>239.99</v>
      </c>
      <c r="C233" s="102"/>
      <c r="D233" s="112"/>
      <c r="E233" s="102" t="n">
        <f aca="false">E191</f>
        <v>21540.5884679751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1280.96349708865</v>
      </c>
      <c r="B239" s="102" t="n">
        <f aca="false">B176</f>
        <v>85.0909090909091</v>
      </c>
      <c r="C239" s="185"/>
      <c r="D239" s="185"/>
      <c r="E239" s="102" t="n">
        <f aca="false">E176</f>
        <v>1366.05440617956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-17166.67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-17066.6783333333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8" t="n">
        <f aca="false">(E191-B191)-(B210-B191-A194)</f>
        <v>827.22846797511</v>
      </c>
      <c r="C263" s="196"/>
      <c r="D263" s="197" t="s">
        <v>218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99.9916666666667</v>
      </c>
      <c r="C264" s="196"/>
      <c r="D264" s="197" t="s">
        <v>220</v>
      </c>
      <c r="E264" s="197"/>
      <c r="F264" s="199" t="n">
        <f aca="false">(B263-F263)+B264</f>
        <v>927.220134641777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0.1255</v>
      </c>
      <c r="C269" s="42"/>
      <c r="D269" s="165" t="s">
        <v>217</v>
      </c>
      <c r="E269" s="165"/>
      <c r="F269" s="145" t="n">
        <f aca="false">(B98*B68)-(C98*B68)</f>
        <v>14090.5984679751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0.005</v>
      </c>
      <c r="C270" s="31"/>
      <c r="D270" s="165" t="s">
        <v>223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0.3</v>
      </c>
      <c r="C271" s="31"/>
      <c r="D271" s="165" t="s">
        <v>224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99.9916666666667</v>
      </c>
      <c r="C272" s="31"/>
      <c r="D272" s="38" t="s">
        <v>220</v>
      </c>
      <c r="E272" s="38"/>
      <c r="F272" s="145" t="n">
        <f aca="false">(B263-F263)+B264</f>
        <v>927.220134641777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11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20049.996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16708.33</v>
      </c>
      <c r="C9" s="9" t="n">
        <f aca="false">B9*0.2</f>
        <v>3341.666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384</v>
      </c>
      <c r="B34" s="31"/>
      <c r="C34" s="40" t="s">
        <v>385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20049.996</v>
      </c>
      <c r="B37" s="31"/>
      <c r="C37" s="40" t="s">
        <v>386</v>
      </c>
      <c r="D37" s="40"/>
      <c r="E37" s="31"/>
      <c r="F37" s="42" t="n">
        <f aca="false">A37-C37</f>
        <v>19049.996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384</v>
      </c>
      <c r="B40" s="31"/>
      <c r="C40" s="53" t="n">
        <f aca="false">A34-1</f>
        <v>11</v>
      </c>
      <c r="D40" s="53"/>
      <c r="E40" s="31"/>
      <c r="F40" s="40" t="s">
        <v>387</v>
      </c>
      <c r="G40" s="40"/>
      <c r="H40" s="46"/>
      <c r="J40" s="2" t="s">
        <v>58</v>
      </c>
      <c r="K40" s="2" t="n">
        <f aca="false">C15</f>
        <v>3341.666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195.138833333333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304.861166666667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307.527833333333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307.527833333333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307.527833333333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13493.4791408569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307.527833333333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307.527833333333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307.527833333333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19049.996</v>
      </c>
      <c r="C90" s="31"/>
      <c r="D90" s="31"/>
      <c r="E90" s="22"/>
      <c r="F90" s="24" t="s">
        <v>106</v>
      </c>
      <c r="G90" s="26" t="n">
        <f aca="false">F37</f>
        <v>19049.996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12695.0542001204</v>
      </c>
      <c r="C97" s="31"/>
      <c r="D97" s="31"/>
      <c r="E97" s="22"/>
      <c r="F97" s="30" t="s">
        <v>113</v>
      </c>
      <c r="G97" s="32" t="n">
        <f aca="false">G90-G95</f>
        <v>12301.926698559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1227.77083098699</v>
      </c>
      <c r="C98" s="31"/>
      <c r="D98" s="31"/>
      <c r="E98" s="22"/>
      <c r="F98" s="30" t="s">
        <v>114</v>
      </c>
      <c r="G98" s="32" t="n">
        <f aca="false">(G97/G96)</f>
        <v>1155.03079834528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13505.4791408569</v>
      </c>
      <c r="C99" s="31"/>
      <c r="D99" s="31"/>
      <c r="E99" s="22"/>
      <c r="F99" s="30" t="s">
        <v>115</v>
      </c>
      <c r="G99" s="32" t="n">
        <f aca="false">((G98*(G94))+G86)</f>
        <v>12705.338781798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13505.4791408569</v>
      </c>
      <c r="C101" s="31"/>
      <c r="D101" s="31"/>
      <c r="E101" s="22"/>
      <c r="F101" s="55" t="s">
        <v>117</v>
      </c>
      <c r="G101" s="64" t="n">
        <f aca="false">(G99+G100)</f>
        <v>12705.338781798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1227.77083098699</v>
      </c>
      <c r="C104" s="31"/>
      <c r="D104" s="31"/>
      <c r="E104" s="22"/>
      <c r="F104" s="94" t="s">
        <v>119</v>
      </c>
      <c r="G104" s="95" t="n">
        <f aca="false">G101/(G94)</f>
        <v>1155.03079834528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1227.77083098699</v>
      </c>
      <c r="C105" s="31"/>
      <c r="D105" s="31"/>
      <c r="E105" s="22" t="s">
        <v>18</v>
      </c>
      <c r="F105" s="96" t="s">
        <v>120</v>
      </c>
      <c r="G105" s="97" t="n">
        <f aca="false">G103+G104</f>
        <v>1155.03079834528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0.0</v>
      </c>
      <c r="C108" s="22"/>
      <c r="D108" s="22" t="n">
        <v>0.0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235</v>
      </c>
      <c r="C114" s="102"/>
      <c r="D114" s="102"/>
      <c r="E114" s="103" t="s">
        <v>389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134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390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388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119" t="n">
        <f aca="false">E19</f>
        <v>20049.996</v>
      </c>
      <c r="C130" s="120" t="n">
        <v>18750.0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151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151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151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152</v>
      </c>
      <c r="K131" s="126" t="n">
        <f aca="false">B4</f>
        <v>20049.996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152</v>
      </c>
      <c r="T131" s="126" t="n">
        <f aca="false">B4</f>
        <v>20049.996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152</v>
      </c>
      <c r="AC131" s="126" t="n">
        <f aca="false">B4</f>
        <v>20049.996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153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154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155</v>
      </c>
      <c r="B134" s="131" t="n">
        <f aca="false">B130-B133</f>
        <v>20049.996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155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155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155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5" t="n">
        <f aca="false">E21</f>
        <v>16708.33</v>
      </c>
      <c r="H144" s="152" t="n">
        <f aca="false">C134+E134+G134+H137</f>
        <v>18750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32" t="n">
        <f aca="false">(G144+G145)*20%</f>
        <v>3341.666</v>
      </c>
      <c r="H146" s="32" t="n">
        <f aca="false">(H144+H145)*20%</f>
        <v>3750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6" t="n">
        <f aca="false">(G144+G145+G148+G149+G146)-G147</f>
        <v>20049.996</v>
      </c>
      <c r="H150" s="156" t="n">
        <f aca="false">(H144+H145+H148+H149+H146)-H147</f>
        <v>22500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63" t="n">
        <f aca="false">G150-((G153*1.2)+(G154*1.2)+(G155*1.2)+(G151*1.2))</f>
        <v>20049.996</v>
      </c>
      <c r="H156" s="163" t="n">
        <f aca="false">H150-((H153*1.2)+(H154*1.2)+(H155*1.2)+(H151*1.2))</f>
        <v>22500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2041.67</v>
      </c>
      <c r="I157" s="1" t="n">
        <f aca="false">(H157-G90)/1.2</f>
        <v>-14173.605</v>
      </c>
      <c r="J157" s="153" t="s">
        <v>174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174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181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181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181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1227.77083098699</v>
      </c>
      <c r="B176" s="176" t="n">
        <f aca="false">B103</f>
        <v>0</v>
      </c>
      <c r="C176" s="173"/>
      <c r="D176" s="173"/>
      <c r="E176" s="176" t="n">
        <f aca="false">B105</f>
        <v>1227.77083098699</v>
      </c>
      <c r="F176" s="22"/>
      <c r="G176" s="22" t="n">
        <f aca="false">ROUND(G104,2)</f>
        <v>1155.03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-1794.52085914315</v>
      </c>
      <c r="B191" s="102" t="str">
        <f aca="false">B123</f>
        <v>199.99</v>
      </c>
      <c r="C191" s="102"/>
      <c r="D191" s="22"/>
      <c r="E191" s="102" t="n">
        <f aca="false">E188+A191+(B191*1.2)+A194</f>
        <v>20955.4671408569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2041.67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1227.77083098699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-2594.67</v>
      </c>
      <c r="B210" s="185" t="n">
        <f aca="false">E188+A210+(B191*1.2)+A194</f>
        <v>20155.318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1227.77083098699</v>
      </c>
      <c r="B221" s="176" t="n">
        <f aca="false">B176</f>
        <v>0</v>
      </c>
      <c r="C221" s="173"/>
      <c r="D221" s="173"/>
      <c r="E221" s="176" t="n">
        <f aca="false">E176</f>
        <v>1227.77083098699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-1794.52085914315</v>
      </c>
      <c r="B233" s="102" t="str">
        <f aca="false">B191</f>
        <v>199.99</v>
      </c>
      <c r="C233" s="102"/>
      <c r="D233" s="112"/>
      <c r="E233" s="102" t="n">
        <f aca="false">E191</f>
        <v>20955.4671408569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1227.77083098699</v>
      </c>
      <c r="B239" s="102" t="n">
        <f aca="false">B176</f>
        <v>0</v>
      </c>
      <c r="C239" s="185"/>
      <c r="D239" s="185"/>
      <c r="E239" s="102" t="n">
        <f aca="false">E176</f>
        <v>1227.77083098699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2041.67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2235.41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9" t="n">
        <f aca="false">(E191-B191)-(B210-B191-A194)</f>
        <v>810.149140856851</v>
      </c>
      <c r="C263" s="196"/>
      <c r="D263" s="197" t="s">
        <v>218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99.99</v>
      </c>
      <c r="C264" s="196"/>
      <c r="D264" s="197" t="s">
        <v>220</v>
      </c>
      <c r="E264" s="197"/>
      <c r="F264" s="199" t="n">
        <f aca="false">(B263-F263)+B264</f>
        <v>797.639140856851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0.1255</v>
      </c>
      <c r="C269" s="42"/>
      <c r="D269" s="165" t="s">
        <v>217</v>
      </c>
      <c r="E269" s="165"/>
      <c r="F269" s="145" t="n">
        <f aca="false">(B98*B68)-(C98*B68)</f>
        <v>13505.4791408569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0.005</v>
      </c>
      <c r="C270" s="31"/>
      <c r="D270" s="165" t="s">
        <v>223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0.2</v>
      </c>
      <c r="C271" s="31"/>
      <c r="D271" s="165" t="s">
        <v>224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</v>
      </c>
      <c r="C272" s="31"/>
      <c r="D272" s="38" t="s">
        <v>220</v>
      </c>
      <c r="E272" s="38"/>
      <c r="F272" s="145" t="n">
        <f aca="false">(B263-F263)+B264</f>
        <v>797.639140856851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1948.25947118286</v>
      </c>
      <c r="C254" s="196"/>
      <c r="D254" s="197" t="s">
        <v>218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1146.60390706707</v>
      </c>
      <c r="C254" s="196"/>
      <c r="D254" s="197" t="s">
        <v>218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0.072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0.1475</v>
      </c>
      <c r="C260" s="42"/>
      <c r="D260" s="165" t="s">
        <v>217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272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842.693136637805</v>
      </c>
      <c r="C254" s="196"/>
      <c r="D254" s="197" t="s">
        <v>218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842.693136637805</v>
      </c>
      <c r="C254" s="196"/>
      <c r="D254" s="197" t="s">
        <v>218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280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284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 t="n">
        <v>0</v>
      </c>
      <c r="C108" s="216"/>
      <c r="D108" s="216" t="n">
        <v>0</v>
      </c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B209</f>
        <v>0.065</v>
      </c>
      <c r="C203" s="320" t="s">
        <v>217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210.99996</v>
      </c>
      <c r="C205" s="319" t="s">
        <v>219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1476.99972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210.99996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276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 t="n">
        <v>0</v>
      </c>
      <c r="C108" s="216"/>
      <c r="D108" s="216" t="n">
        <v>0</v>
      </c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H29</f>
        <v>12</v>
      </c>
      <c r="C203" s="320" t="s">
        <v>217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222</v>
      </c>
      <c r="C205" s="319" t="s">
        <v>219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1554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222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333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334</v>
      </c>
      <c r="B41" s="103" t="s">
        <v>335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335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336</v>
      </c>
      <c r="C44" s="103"/>
      <c r="D44" s="103" t="s">
        <v>336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339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276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280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281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19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</v>
      </c>
      <c r="E118" s="106" t="n">
        <v>6000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200.49996</v>
      </c>
      <c r="C211" s="319" t="s">
        <v>219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1403.49972</v>
      </c>
      <c r="C217" s="373" t="s">
        <v>223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200.49996</v>
      </c>
      <c r="C219" s="335" t="s">
        <v>326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347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334</v>
      </c>
      <c r="B41" s="103" t="s">
        <v>335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336</v>
      </c>
      <c r="C44" s="103"/>
      <c r="D44" s="103" t="s">
        <v>336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339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276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280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281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19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</v>
      </c>
      <c r="E118" s="106" t="n">
        <v>6000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200.49996</v>
      </c>
      <c r="C211" s="319" t="s">
        <v>219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2836.82</v>
      </c>
      <c r="C217" s="373" t="s">
        <v>223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200.49996</v>
      </c>
      <c r="C219" s="335" t="s">
        <v>326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348</v>
      </c>
      <c r="B41" s="240" t="str">
        <f aca="false">IF(B38="YES",D38+A41,D38)</f>
        <v>500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348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338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350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351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352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341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351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352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0</v>
      </c>
      <c r="C223" s="335" t="s">
        <v>220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351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352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35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552.861519485774</v>
      </c>
      <c r="F33" s="231"/>
      <c r="G33" s="231"/>
      <c r="H33" s="46"/>
      <c r="I33" s="2"/>
      <c r="J33" s="33" t="s">
        <v>355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552.861519485774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25443.3768750692</v>
      </c>
      <c r="N39" s="1" t="n">
        <f aca="false">K39-L39</f>
        <v>-7860.04687506925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-7860.04687506925</v>
      </c>
      <c r="N40" s="1" t="n">
        <f aca="false">N38-N39</f>
        <v>10771.7268750692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30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17583.33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552.861519485774</v>
      </c>
      <c r="L47" s="2" t="n">
        <f aca="false">L49-K42</f>
        <v>800</v>
      </c>
      <c r="M47" s="1" t="n">
        <f aca="false">K47-L47</f>
        <v>-247.138480514226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552.861519485774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552.861519485774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5356.14215907465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171.354134027778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2997.23541666667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396.817083333333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552.861519485774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552.861519485774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552.861519485774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552.861519485774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34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31.8042210938366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20999.996</v>
      </c>
      <c r="C88" s="92"/>
      <c r="D88" s="92"/>
      <c r="E88" s="112"/>
      <c r="F88" s="30" t="s">
        <v>113</v>
      </c>
      <c r="G88" s="32" t="n">
        <f aca="false">G81-G86</f>
        <v>20999.996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726.655745325787</v>
      </c>
      <c r="C89" s="92"/>
      <c r="D89" s="92"/>
      <c r="E89" s="112"/>
      <c r="F89" s="30" t="s">
        <v>114</v>
      </c>
      <c r="G89" s="32" t="n">
        <f aca="false">(G88/G87)</f>
        <v>660.289586657089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24706.2953410768</v>
      </c>
      <c r="C90" s="92"/>
      <c r="D90" s="92"/>
      <c r="E90" s="112"/>
      <c r="F90" s="30" t="s">
        <v>115</v>
      </c>
      <c r="G90" s="32" t="n">
        <f aca="false">((G89*(G85))+G77)</f>
        <v>23110.1355329981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24706.2953410768</v>
      </c>
      <c r="C92" s="92"/>
      <c r="D92" s="92"/>
      <c r="E92" s="112"/>
      <c r="F92" s="55" t="s">
        <v>117</v>
      </c>
      <c r="G92" s="64" t="n">
        <f aca="false">(G90+G91)</f>
        <v>23110.1355329981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726.655745325787</v>
      </c>
      <c r="C95" s="92"/>
      <c r="D95" s="92"/>
      <c r="E95" s="112"/>
      <c r="F95" s="94" t="s">
        <v>119</v>
      </c>
      <c r="G95" s="95" t="n">
        <f aca="false">G92/(G85)</f>
        <v>660.289586657089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726.655745325787</v>
      </c>
      <c r="C96" s="92"/>
      <c r="D96" s="92"/>
      <c r="E96" s="112"/>
      <c r="F96" s="96" t="s">
        <v>120</v>
      </c>
      <c r="G96" s="97" t="n">
        <f aca="false">G94+G95</f>
        <v>660.289586657089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726.655745325787</v>
      </c>
      <c r="B167" s="176" t="str">
        <f aca="false">B94</f>
        <v>0</v>
      </c>
      <c r="C167" s="173"/>
      <c r="D167" s="173"/>
      <c r="E167" s="176" t="n">
        <f aca="false">B96</f>
        <v>726.655745325787</v>
      </c>
      <c r="F167" s="22"/>
      <c r="G167" s="22" t="n">
        <f aca="false">ROUND(G95,2)</f>
        <v>660.29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4422.95508640254</v>
      </c>
      <c r="B182" s="102" t="str">
        <f aca="false">B114</f>
        <v>239.99</v>
      </c>
      <c r="C182" s="102"/>
      <c r="D182" s="22"/>
      <c r="E182" s="102" t="n">
        <f aca="false">E179+A182+B182+A185</f>
        <v>25672.9410864025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2239.99</v>
      </c>
      <c r="C185" s="102"/>
      <c r="D185" s="22"/>
      <c r="E185" s="102" t="n">
        <f aca="false">IF(A40=0,(E167),(E170+A185))</f>
        <v>726.655745325787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</v>
      </c>
      <c r="B188" s="102" t="n">
        <f aca="false">(G158*B67)/1.2</f>
        <v>171.354134027778</v>
      </c>
      <c r="C188" s="92"/>
      <c r="D188" s="92"/>
      <c r="E188" s="102" t="n">
        <f aca="false">(E40*A108)*0.1*C45/100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271.345800694445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726.655745325787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2110.154</v>
      </c>
      <c r="B201" s="185" t="n">
        <f aca="false">E179+A201+B182+A185</f>
        <v>23360.14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726.655745325787</v>
      </c>
      <c r="B212" s="176" t="str">
        <f aca="false">B167</f>
        <v>0</v>
      </c>
      <c r="C212" s="173"/>
      <c r="D212" s="173"/>
      <c r="E212" s="176" t="n">
        <f aca="false">E167</f>
        <v>726.655745325787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4422.95508640254</v>
      </c>
      <c r="B224" s="102" t="str">
        <f aca="false">B182</f>
        <v>239.99</v>
      </c>
      <c r="C224" s="102"/>
      <c r="D224" s="112"/>
      <c r="E224" s="102" t="n">
        <f aca="false">E182</f>
        <v>25672.9410864025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726.655745325787</v>
      </c>
      <c r="B230" s="102" t="str">
        <f aca="false">B167</f>
        <v>0</v>
      </c>
      <c r="C230" s="185"/>
      <c r="D230" s="185"/>
      <c r="E230" s="102" t="n">
        <f aca="false">E167</f>
        <v>726.655745325787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726.655745325787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29.17872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171.354134027778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2271.34580069444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2322.80108640254</v>
      </c>
      <c r="C254" s="196"/>
      <c r="D254" s="197" t="s">
        <v>218</v>
      </c>
      <c r="E254" s="197"/>
      <c r="F254" s="199" t="n">
        <f aca="false">F261+F267+F269+B270+B271</f>
        <v>205.624960833333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2217.16779223588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2322.80108640254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205.624960833333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2217.16779223588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9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355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18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IF(A40=0,(E167),(E170+A185))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1162.64917213878</v>
      </c>
      <c r="C254" s="196"/>
      <c r="D254" s="197" t="s">
        <v>218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159.99</v>
      </c>
      <c r="C255" s="196"/>
      <c r="D255" s="197" t="s">
        <v>220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0.1305</v>
      </c>
      <c r="C260" s="42"/>
      <c r="D260" s="165" t="s">
        <v>217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355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E170+A185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2513.61120680359</v>
      </c>
      <c r="C254" s="196"/>
      <c r="D254" s="197" t="s">
        <v>218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355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18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E170+A185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1162.64917213878</v>
      </c>
      <c r="C254" s="196"/>
      <c r="D254" s="197" t="s">
        <v>218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189.99</v>
      </c>
      <c r="C255" s="196"/>
      <c r="D255" s="197" t="s">
        <v>220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0.1305</v>
      </c>
      <c r="C260" s="42"/>
      <c r="D260" s="165" t="s">
        <v>217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355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373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229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232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413.208255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413.208255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200</v>
      </c>
      <c r="C223" s="335" t="s">
        <v>220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355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373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229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281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232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1476.99972</v>
      </c>
      <c r="C217" s="373" t="s">
        <v>223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I32" activeCellId="0" sqref="I3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60.1657064187982</v>
      </c>
      <c r="E33" s="215"/>
      <c r="F33" s="62"/>
      <c r="G33" s="218" t="s">
        <v>355</v>
      </c>
      <c r="H33" s="456" t="n">
        <f aca="false">E21-E11</f>
        <v>16708.33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10.1657064187982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16708.33</v>
      </c>
      <c r="I39" s="237" t="n">
        <f aca="false">(I48*H46)+H44</f>
        <v>60423.7584914136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-43715.4284914136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16376.6485270412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373</v>
      </c>
      <c r="H45" s="237" t="n">
        <f aca="false">(H39-H44)</f>
        <v>331.681472958762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10.1657064187982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60.1657064187982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60.1657064187982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20049.996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2105.24958</v>
      </c>
      <c r="C64" s="461" t="n">
        <v>10000</v>
      </c>
      <c r="D64" s="290" t="n">
        <f aca="false">B64</f>
        <v>2105.24958</v>
      </c>
      <c r="E64" s="462" t="n">
        <f aca="false">D64/(B58+B57)</f>
        <v>58.479155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400.99992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229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4399.83291333333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122.217580925926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10.1657064187982</v>
      </c>
      <c r="C83" s="469"/>
      <c r="D83" s="214"/>
      <c r="E83" s="462" t="n">
        <f aca="false">B83+E80+E77+E64</f>
        <v>126.210447838551</v>
      </c>
      <c r="F83" s="62"/>
      <c r="G83" s="304" t="s">
        <v>105</v>
      </c>
      <c r="H83" s="305" t="n">
        <f aca="false">H47</f>
        <v>10.1657064187982</v>
      </c>
      <c r="I83" s="214"/>
      <c r="J83" s="214"/>
      <c r="K83" s="215"/>
      <c r="L83" s="62"/>
      <c r="M83" s="304" t="s">
        <v>105</v>
      </c>
      <c r="N83" s="305" t="n">
        <f aca="false">H47</f>
        <v>10.1657064187982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4765.79834441007</v>
      </c>
      <c r="C85" s="469"/>
      <c r="D85" s="469"/>
      <c r="E85" s="462" t="n">
        <f aca="false">B85/(B58+B57)</f>
        <v>132.383287344724</v>
      </c>
      <c r="F85" s="62"/>
      <c r="G85" s="287" t="s">
        <v>115</v>
      </c>
      <c r="H85" s="130" t="n">
        <f aca="false">((H83*H29)+H81)*1.2</f>
        <v>1718.05851729208</v>
      </c>
      <c r="I85" s="214"/>
      <c r="J85" s="214"/>
      <c r="K85" s="215"/>
      <c r="L85" s="62"/>
      <c r="M85" s="287" t="s">
        <v>115</v>
      </c>
      <c r="N85" s="130" t="n">
        <f aca="false">((N83*H29)+N81)</f>
        <v>1087.96543107673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40.3718294605129</v>
      </c>
      <c r="C86" s="469" t="s">
        <v>232</v>
      </c>
      <c r="D86" s="214"/>
      <c r="E86" s="462" t="n">
        <f aca="false">B86/(B58+B57)</f>
        <v>1.12143970723647</v>
      </c>
      <c r="F86" s="62"/>
      <c r="G86" s="213" t="s">
        <v>116</v>
      </c>
      <c r="H86" s="299" t="n">
        <f aca="false">((((H83*H29)+H81))/(1-H70))*H70</f>
        <v>12.1282872338086</v>
      </c>
      <c r="I86" s="214"/>
      <c r="J86" s="214"/>
      <c r="K86" s="215"/>
      <c r="L86" s="62"/>
      <c r="M86" s="213" t="s">
        <v>116</v>
      </c>
      <c r="N86" s="299" t="n">
        <f aca="false">(N85/(1-N70))*N70</f>
        <v>9.21632676587794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4806.17017387058</v>
      </c>
      <c r="C87" s="469"/>
      <c r="D87" s="471"/>
      <c r="E87" s="462" t="n">
        <f aca="false">E86+E85</f>
        <v>133.504727051961</v>
      </c>
      <c r="F87" s="62"/>
      <c r="G87" s="284" t="s">
        <v>117</v>
      </c>
      <c r="H87" s="132" t="n">
        <f aca="false">IF(H110="YES",((H85+H86)-K114),(H85+H86))</f>
        <v>1730.18680452589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1097.18175784261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133.504727051961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42.1996781591681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26.7605306790881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193.504727051961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252.931385476241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202.370286776649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42.1996781591681</v>
      </c>
      <c r="H127" s="176" t="n">
        <f aca="false">IF(G105="YES",H89*H57,0)</f>
        <v>1264.39024390244</v>
      </c>
      <c r="I127" s="176"/>
      <c r="J127" s="333" t="n">
        <f aca="false">H91</f>
        <v>252.931385476241</v>
      </c>
      <c r="K127" s="215"/>
      <c r="L127" s="62"/>
      <c r="M127" s="332" t="n">
        <f aca="false">N90</f>
        <v>26.7605306790881</v>
      </c>
      <c r="N127" s="176" t="n">
        <f aca="false">IF(M105="YES",N89*N57,0)</f>
        <v>1053.65853658537</v>
      </c>
      <c r="O127" s="176"/>
      <c r="P127" s="176" t="n">
        <f aca="false">N91</f>
        <v>202.370286776649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133.504727051961</v>
      </c>
      <c r="B128" s="320" t="n">
        <f aca="false">IF(A105="YES",B89,0)</f>
        <v>60</v>
      </c>
      <c r="C128" s="324"/>
      <c r="D128" s="320" t="n">
        <f aca="false">B91</f>
        <v>193.504727051961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133.504727051961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253.198068955008</v>
      </c>
      <c r="H133" s="102" t="n">
        <f aca="false">IF(G105="YES",H89*H57,0)</f>
        <v>1264.39024390244</v>
      </c>
      <c r="I133" s="220"/>
      <c r="J133" s="183" t="n">
        <f aca="false">H91*H57</f>
        <v>1517.58831285745</v>
      </c>
      <c r="K133" s="215"/>
      <c r="L133" s="62"/>
      <c r="M133" s="184" t="n">
        <f aca="false">N90*N57</f>
        <v>160.563184074529</v>
      </c>
      <c r="N133" s="102" t="n">
        <f aca="false">IF(M105="YES",N89*N57,0)</f>
        <v>1053.65853658537</v>
      </c>
      <c r="O133" s="220"/>
      <c r="P133" s="183" t="n">
        <f aca="false">N91*N57</f>
        <v>1214.22172065989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193.504727051961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133.504727051961</v>
      </c>
      <c r="B137" s="37" t="n">
        <f aca="false">IF(A105="YES",B89,0)</f>
        <v>60</v>
      </c>
      <c r="C137" s="316"/>
      <c r="D137" s="37" t="n">
        <f aca="false">B91</f>
        <v>193.504727051961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400.99992</v>
      </c>
      <c r="B148" s="102" t="n">
        <f aca="false">B102</f>
        <v>400</v>
      </c>
      <c r="C148" s="37"/>
      <c r="D148" s="37" t="n">
        <f aca="false">IF(A105="YES",(B40*B105)*B125,0)*0.1</f>
        <v>36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936.98992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252.931385476241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202.370286776649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193.504727051961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133.504727051961</v>
      </c>
      <c r="B177" s="354" t="n">
        <f aca="false">IF(A105="YES",B89,0)</f>
        <v>60</v>
      </c>
      <c r="C177" s="356"/>
      <c r="D177" s="354" t="n">
        <f aca="false">B91</f>
        <v>193.504727051961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133.504727051961</v>
      </c>
      <c r="C180" s="352"/>
      <c r="D180" s="102" t="n">
        <f aca="false">IF(A105="YES",B89*B57,0)</f>
        <v>60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193.504727051961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133.504727051961</v>
      </c>
      <c r="B186" s="102" t="n">
        <f aca="false">IF(A105="YES",B89,0)</f>
        <v>60</v>
      </c>
      <c r="C186" s="352"/>
      <c r="D186" s="102" t="n">
        <f aca="false">B91</f>
        <v>193.504727051961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400.99992</v>
      </c>
      <c r="B197" s="102" t="n">
        <f aca="false">B102</f>
        <v>400</v>
      </c>
      <c r="C197" s="102"/>
      <c r="D197" s="102" t="n">
        <f aca="false">IF(A105="YES",(B40*B105)*B125,0)*0.1</f>
        <v>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936.98992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2105.24958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400.99992</v>
      </c>
      <c r="C211" s="319" t="s">
        <v>219</v>
      </c>
      <c r="D211" s="369" t="n">
        <f aca="false">B225+E221+B221+B223</f>
        <v>699.99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2404.23966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2105.24958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400.99992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200</v>
      </c>
      <c r="C223" s="335" t="s">
        <v>220</v>
      </c>
      <c r="D223" s="316"/>
      <c r="E223" s="32" t="n">
        <f aca="false">(B217-B211+D211)</f>
        <v>2404.23966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360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40.3718294605129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32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121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130</v>
      </c>
      <c r="C114" s="102"/>
      <c r="D114" s="102"/>
      <c r="E114" s="103" t="s">
        <v>19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134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143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151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151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151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152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152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152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153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154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155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155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155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155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174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174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181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181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181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E179+A194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8" t="n">
        <f aca="false">(E191-B191)-(B210-B191-A194)</f>
        <v>823.443328773228</v>
      </c>
      <c r="C263" s="196"/>
      <c r="D263" s="197" t="s">
        <v>218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279.991666666667</v>
      </c>
      <c r="C264" s="196"/>
      <c r="D264" s="197" t="s">
        <v>220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0.1255</v>
      </c>
      <c r="C269" s="42"/>
      <c r="D269" s="165" t="s">
        <v>217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0.005</v>
      </c>
      <c r="C270" s="31"/>
      <c r="D270" s="165" t="s">
        <v>223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0.3</v>
      </c>
      <c r="C271" s="31"/>
      <c r="D271" s="165" t="s">
        <v>224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99.9916666666667</v>
      </c>
      <c r="C272" s="31"/>
      <c r="D272" s="38" t="s">
        <v>220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E179" activeCellId="0" sqref="E179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134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151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151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151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152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152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152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153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154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155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155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155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155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174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174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181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181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181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E179+A194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9" t="n">
        <f aca="false">(E191-B191)-(B210-B191-A194)</f>
        <v>823.443328773228</v>
      </c>
      <c r="C263" s="196"/>
      <c r="D263" s="197" t="s">
        <v>218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99.99</v>
      </c>
      <c r="C264" s="196"/>
      <c r="D264" s="197" t="s">
        <v>220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0.1255</v>
      </c>
      <c r="C269" s="42"/>
      <c r="D269" s="165" t="s">
        <v>217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0.005</v>
      </c>
      <c r="C270" s="31"/>
      <c r="D270" s="165" t="s">
        <v>223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0.2</v>
      </c>
      <c r="C271" s="31"/>
      <c r="D271" s="165" t="s">
        <v>224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</v>
      </c>
      <c r="C272" s="31"/>
      <c r="D272" s="38" t="s">
        <v>220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K32" activeCellId="0" sqref="K3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379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1910.27056630781</v>
      </c>
      <c r="C254" s="196"/>
      <c r="D254" s="197" t="s">
        <v>218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379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823.443328773228</v>
      </c>
      <c r="C254" s="196"/>
      <c r="D254" s="197" t="s">
        <v>218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379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272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823.443328773228</v>
      </c>
      <c r="C254" s="196"/>
      <c r="D254" s="197" t="s">
        <v>218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379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823.443328773228</v>
      </c>
      <c r="C254" s="196"/>
      <c r="D254" s="197" t="s">
        <v>218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334</v>
      </c>
      <c r="B41" s="103" t="s">
        <v>335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335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336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339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280</v>
      </c>
      <c r="H81" s="76" t="n">
        <f aca="false">IF(G18&gt;40000,325,0)</f>
        <v>0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281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19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</v>
      </c>
      <c r="E118" s="106" t="n">
        <v>6000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108</v>
      </c>
      <c r="C211" s="319" t="s">
        <v>219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2618.28</v>
      </c>
      <c r="C217" s="373" t="s">
        <v>223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108</v>
      </c>
      <c r="C219" s="335" t="s">
        <v>326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160</v>
      </c>
      <c r="C229" s="335" t="s">
        <v>228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300</v>
      </c>
      <c r="C233" s="379" t="s">
        <v>330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100</v>
      </c>
      <c r="C235" s="383" t="s">
        <v>331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337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334</v>
      </c>
      <c r="B41" s="103" t="s">
        <v>335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336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339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280</v>
      </c>
      <c r="H81" s="76" t="n">
        <f aca="false">IF(G18&gt;40000,325,0)</f>
        <v>0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281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351</v>
      </c>
      <c r="C105" s="311"/>
      <c r="D105" s="418" t="n">
        <v>1000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352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19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</v>
      </c>
      <c r="E118" s="106" t="n">
        <v>6000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2618.28</v>
      </c>
      <c r="C217" s="373" t="s">
        <v>223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348</v>
      </c>
      <c r="B41" s="240" t="str">
        <f aca="false">IF(B38="YES",D38+A41,D38)</f>
        <v>500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348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338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350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348</v>
      </c>
      <c r="B41" s="240" t="str">
        <f aca="false">IF(B38="YES",D38+A41,D38)</f>
        <v>500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348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341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720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5040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720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7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355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2894.66633982864</v>
      </c>
      <c r="C254" s="196"/>
      <c r="D254" s="197" t="s">
        <v>218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7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355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1879.18913568649</v>
      </c>
      <c r="C254" s="196"/>
      <c r="D254" s="197" t="s">
        <v>218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8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355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2764.2601580578</v>
      </c>
      <c r="C254" s="196"/>
      <c r="D254" s="197" t="s">
        <v>218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0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355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2764.2601580578</v>
      </c>
      <c r="C254" s="196"/>
      <c r="D254" s="197" t="s">
        <v>218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280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284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351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352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 t="n">
        <v>0</v>
      </c>
      <c r="C108" s="216"/>
      <c r="D108" s="216" t="n">
        <v>0</v>
      </c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10000</v>
      </c>
      <c r="E112" s="106" t="n">
        <v>6000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4000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B209</f>
        <v>0.065</v>
      </c>
      <c r="C203" s="320" t="s">
        <v>217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216</v>
      </c>
      <c r="C205" s="319" t="s">
        <v>219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1512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216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351</v>
      </c>
      <c r="C99" s="311"/>
      <c r="D99" s="106" t="n">
        <v>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352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 t="n">
        <v>0</v>
      </c>
      <c r="C108" s="216"/>
      <c r="D108" s="216" t="n">
        <v>0</v>
      </c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H29</f>
        <v>12</v>
      </c>
      <c r="C203" s="320" t="s">
        <v>217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216</v>
      </c>
      <c r="C205" s="319" t="s">
        <v>219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1512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216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6000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355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373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229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10780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299.444444444444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440.256818807575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15849.2454770727</v>
      </c>
      <c r="C85" s="469"/>
      <c r="D85" s="469"/>
      <c r="E85" s="462" t="n">
        <f aca="false">B85/(B58+B57)</f>
        <v>440.256818807575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134.261458256767</v>
      </c>
      <c r="C86" s="469" t="s">
        <v>232</v>
      </c>
      <c r="D86" s="214"/>
      <c r="E86" s="462" t="n">
        <f aca="false">B86/(B58+B57)</f>
        <v>3.72948495157687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15983.5069353295</v>
      </c>
      <c r="C87" s="469"/>
      <c r="D87" s="471"/>
      <c r="E87" s="462" t="n">
        <f aca="false">E86+E85</f>
        <v>443.986303759152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443.986303759152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508.986303759152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443.986303759152</v>
      </c>
      <c r="B128" s="320" t="n">
        <f aca="false">IF(A105="YES",B89,0)</f>
        <v>65</v>
      </c>
      <c r="C128" s="324"/>
      <c r="D128" s="320" t="n">
        <f aca="false">B91</f>
        <v>508.986303759152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443.986303759152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508.986303759152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443.986303759152</v>
      </c>
      <c r="B137" s="37" t="n">
        <f aca="false">IF(A105="YES",B89,0)</f>
        <v>65</v>
      </c>
      <c r="C137" s="316"/>
      <c r="D137" s="37" t="n">
        <f aca="false">B91</f>
        <v>508.986303759152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54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508.986303759152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443.986303759152</v>
      </c>
      <c r="B177" s="354" t="n">
        <f aca="false">IF(A105="YES",B89,0)</f>
        <v>65</v>
      </c>
      <c r="C177" s="356"/>
      <c r="D177" s="354" t="n">
        <f aca="false">B91</f>
        <v>508.986303759152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443.986303759152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508.986303759152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443.986303759152</v>
      </c>
      <c r="B186" s="102" t="n">
        <f aca="false">IF(A105="YES",B89,0)</f>
        <v>65</v>
      </c>
      <c r="C186" s="352"/>
      <c r="D186" s="102" t="n">
        <f aca="false">B91</f>
        <v>508.986303759152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0.07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432</v>
      </c>
      <c r="C211" s="319" t="s">
        <v>219</v>
      </c>
      <c r="D211" s="369" t="n">
        <f aca="false">B225+E221+B221+B223</f>
        <v>639.99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10207.99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432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10207.99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134.261458256767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355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373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229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232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432</v>
      </c>
      <c r="C211" s="319" t="s">
        <v>219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432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145</v>
      </c>
      <c r="C2" s="478" t="s">
        <v>146</v>
      </c>
      <c r="D2" s="478" t="s">
        <v>147</v>
      </c>
      <c r="E2" s="479" t="s">
        <v>148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151</v>
      </c>
      <c r="B3" s="480" t="n">
        <v>16745.0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152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153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154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155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386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384</v>
      </c>
      <c r="B38" s="240" t="n">
        <f aca="false">A32-1</f>
        <v>11</v>
      </c>
      <c r="C38" s="240"/>
      <c r="D38" s="103" t="s">
        <v>387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405</v>
      </c>
      <c r="B41" s="103" t="s">
        <v>408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335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391</v>
      </c>
      <c r="B44" s="103" t="s">
        <v>406</v>
      </c>
      <c r="C44" s="103"/>
      <c r="D44" s="103" t="s">
        <v>406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339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345.333333333333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277</v>
      </c>
      <c r="B68" s="397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278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10000.0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0.0</v>
      </c>
      <c r="C80" s="316"/>
      <c r="D80" s="316"/>
      <c r="E80" s="401" t="n">
        <f aca="false">E79+D82</f>
        <v>660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0.0</v>
      </c>
      <c r="C81" s="316"/>
      <c r="D81" s="316"/>
      <c r="E81" s="317" t="n">
        <f aca="false">E80/12</f>
        <v>55</v>
      </c>
      <c r="F81" s="385"/>
      <c r="G81" s="398" t="s">
        <v>280</v>
      </c>
      <c r="H81" s="76" t="n">
        <f aca="false">IF(G18&gt;40000,325,0)</f>
        <v>0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281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2791.62666666667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232.635555555556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7602.752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53.6700927793465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7656.42209277935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78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638.035174398279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716.035174398279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1000.0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390</v>
      </c>
      <c r="B111" s="311" t="n">
        <v>30.0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389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0.0</v>
      </c>
      <c r="E118" s="106" t="n">
        <v>6000.0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2000.0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638.035174398279</v>
      </c>
      <c r="B134" s="320" t="n">
        <f aca="false">IF(A111="YES",B95,0)</f>
        <v>78</v>
      </c>
      <c r="C134" s="324"/>
      <c r="D134" s="320" t="n">
        <f aca="false">B97</f>
        <v>716.035174398279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638.035174398279</v>
      </c>
      <c r="C137" s="316"/>
      <c r="D137" s="37" t="n">
        <f aca="false">IF(A111="YES",B95*B63,0)</f>
        <v>78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716.035174398279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638.035174398279</v>
      </c>
      <c r="B143" s="37" t="n">
        <f aca="false">IF(A111="YES",B95,0)</f>
        <v>78</v>
      </c>
      <c r="C143" s="316"/>
      <c r="D143" s="37" t="n">
        <f aca="false">B97</f>
        <v>716.035174398279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727.271666666667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716.035174398279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638.035174398279</v>
      </c>
      <c r="B177" s="354" t="n">
        <f aca="false">IF(A111="YES",B95,0)</f>
        <v>78</v>
      </c>
      <c r="C177" s="356"/>
      <c r="D177" s="354" t="n">
        <f aca="false">A177+B177</f>
        <v>716.035174398279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638.035174398279</v>
      </c>
      <c r="C180" s="352"/>
      <c r="D180" s="102" t="n">
        <f aca="false">IF(A111="YES",B95*B63,0)</f>
        <v>78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716.035174398279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638.035174398279</v>
      </c>
      <c r="B186" s="102" t="n">
        <f aca="false">IF(A111="YES",B95,0)</f>
        <v>78</v>
      </c>
      <c r="C186" s="352"/>
      <c r="D186" s="102" t="n">
        <f aca="false">B97</f>
        <v>716.035174398279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727.271666666667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1464.96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519.991666666667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1775.67166666667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1775.67166666667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53.6700927793465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145</v>
      </c>
      <c r="C2" s="478" t="s">
        <v>146</v>
      </c>
      <c r="D2" s="478" t="s">
        <v>147</v>
      </c>
      <c r="E2" s="479" t="s">
        <v>148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151</v>
      </c>
      <c r="B3" s="480" t="n">
        <v>16745.0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152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153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154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155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337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386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384</v>
      </c>
      <c r="B38" s="240" t="n">
        <f aca="false">A32-1</f>
        <v>11</v>
      </c>
      <c r="C38" s="240"/>
      <c r="D38" s="103" t="s">
        <v>387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405</v>
      </c>
      <c r="B41" s="103" t="s">
        <v>408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391</v>
      </c>
      <c r="B44" s="103" t="s">
        <v>406</v>
      </c>
      <c r="C44" s="103"/>
      <c r="D44" s="103" t="s">
        <v>406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339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277</v>
      </c>
      <c r="B68" s="397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278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10000.0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0.0</v>
      </c>
      <c r="C80" s="316"/>
      <c r="D80" s="316"/>
      <c r="E80" s="401" t="n">
        <f aca="false">E79+D82</f>
        <v>660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0.0</v>
      </c>
      <c r="C81" s="316"/>
      <c r="D81" s="316"/>
      <c r="E81" s="317" t="n">
        <f aca="false">E80/12</f>
        <v>55</v>
      </c>
      <c r="F81" s="385"/>
      <c r="G81" s="398" t="s">
        <v>280</v>
      </c>
      <c r="H81" s="76" t="n">
        <f aca="false">IF(G18&gt;40000,325,0)</f>
        <v>0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281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2791.62666666667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232.635555555556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6335.62666666667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53.6700927793465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6389.29675944601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532.441396620501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597.441396620501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1000.0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390</v>
      </c>
      <c r="B111" s="311" t="n">
        <v>30.0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389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0.0</v>
      </c>
      <c r="E118" s="106" t="n">
        <v>6000.0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2000.0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532.441396620501</v>
      </c>
      <c r="B134" s="320" t="n">
        <f aca="false">IF(A111="YES",B95,0)</f>
        <v>65</v>
      </c>
      <c r="C134" s="325"/>
      <c r="D134" s="320" t="n">
        <f aca="false">B97</f>
        <v>597.441396620501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532.441396620501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597.441396620501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532.441396620501</v>
      </c>
      <c r="B143" s="37" t="n">
        <f aca="false">IF(A111="YES",B95,0)</f>
        <v>65</v>
      </c>
      <c r="C143" s="316"/>
      <c r="D143" s="37" t="n">
        <f aca="false">B97</f>
        <v>597.441396620501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727.27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597.441396620501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532.441396620501</v>
      </c>
      <c r="B177" s="354" t="n">
        <f aca="false">IF(A111="YES",B95,0)</f>
        <v>65</v>
      </c>
      <c r="C177" s="357"/>
      <c r="D177" s="354" t="n">
        <f aca="false">B91</f>
        <v>6335.62666666667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532.441396620501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597.441396620501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532.441396620501</v>
      </c>
      <c r="B186" s="102" t="n">
        <f aca="false">IF(A111="YES",B95,0)</f>
        <v>65</v>
      </c>
      <c r="C186" s="352"/>
      <c r="D186" s="102" t="n">
        <f aca="false">B97</f>
        <v>597.441396620501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727.27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1464.96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1775.67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1775.67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53.6700927793465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8" colorId="64" zoomScale="85" zoomScaleNormal="85" zoomScalePageLayoutView="100" workbookViewId="0">
      <selection pane="topLeft" activeCell="A38" activeCellId="0" sqref="A38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396</v>
      </c>
      <c r="B34" s="31"/>
      <c r="C34" s="40" t="s">
        <v>385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386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384</v>
      </c>
      <c r="B40" s="31"/>
      <c r="C40" s="53" t="n">
        <f aca="false">A34-1</f>
        <v>32</v>
      </c>
      <c r="D40" s="53"/>
      <c r="E40" s="31"/>
      <c r="F40" s="40" t="s">
        <v>387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424.606060606061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425.575757575758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414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425.575757575758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425.575757575758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425.575757575758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425.575757575758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546.961609847631</v>
      </c>
      <c r="C105" s="31"/>
      <c r="D105" s="31"/>
      <c r="E105" s="22" t="s">
        <v>18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121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/>
      <c r="C114" s="102"/>
      <c r="D114" s="102"/>
      <c r="E114" s="103" t="s">
        <v>389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134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390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388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151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151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151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152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152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152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153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154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155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155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155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155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172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174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174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181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181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181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0</v>
      </c>
      <c r="C176" s="173"/>
      <c r="D176" s="173"/>
      <c r="E176" s="176" t="n">
        <f aca="false">B105</f>
        <v>546.961609847631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199.99</v>
      </c>
      <c r="C191" s="102"/>
      <c r="D191" s="22"/>
      <c r="E191" s="102" t="n">
        <f aca="false">E188+A191+(B191*1.2)+A194</f>
        <v>24952.7595151242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4.1856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266.14625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546.961609847631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ROUND(((G176*B68)+E194-E188-A194),2)</f>
        <v>1484.32</v>
      </c>
      <c r="B210" s="185" t="n">
        <f aca="false">ROUND((E188+A210+(B191*1.2)+A194),2)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0</v>
      </c>
      <c r="C221" s="173"/>
      <c r="D221" s="173"/>
      <c r="E221" s="176" t="n">
        <f aca="false">E176</f>
        <v>546.961609847631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199.99</v>
      </c>
      <c r="C233" s="102"/>
      <c r="D233" s="112"/>
      <c r="E233" s="102" t="n">
        <f aca="false">E191</f>
        <v>24952.7595151242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0</v>
      </c>
      <c r="C239" s="185"/>
      <c r="D239" s="185"/>
      <c r="E239" s="102" t="n">
        <f aca="false">E176</f>
        <v>546.961609847631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12.5568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4.1856</v>
      </c>
      <c r="B245" s="102" t="n">
        <f aca="false">E242+A245</f>
        <v>16.7424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266.14625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9" t="n">
        <f aca="false">(E191-B191)-(B210-B191-A194)</f>
        <v>1960.44951512419</v>
      </c>
      <c r="C263" s="196"/>
      <c r="D263" s="197" t="s">
        <v>218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99.99</v>
      </c>
      <c r="C264" s="196"/>
      <c r="D264" s="197" t="s">
        <v>220</v>
      </c>
      <c r="E264" s="197"/>
      <c r="F264" s="199" t="n">
        <f aca="false">(B263-F263)+B264</f>
        <v>1861.05201512419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0.115</v>
      </c>
      <c r="C269" s="42"/>
      <c r="D269" s="165" t="s">
        <v>217</v>
      </c>
      <c r="E269" s="165"/>
      <c r="F269" s="145" t="n">
        <f aca="false">B263</f>
        <v>1960.44951512419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0.009375</v>
      </c>
      <c r="C270" s="31"/>
      <c r="D270" s="165" t="s">
        <v>223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0.2</v>
      </c>
      <c r="C271" s="31"/>
      <c r="D271" s="165" t="s">
        <v>224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</v>
      </c>
      <c r="C272" s="31"/>
      <c r="D272" s="38" t="s">
        <v>220</v>
      </c>
      <c r="E272" s="38"/>
      <c r="F272" s="145" t="n">
        <f aca="false">(B263-F263)+B264</f>
        <v>1861.05201512419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8" activeCellId="0" sqref="A38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 t="n">
        <v>0</v>
      </c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396</v>
      </c>
      <c r="B34" s="31"/>
      <c r="C34" s="40" t="s">
        <v>385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386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384</v>
      </c>
      <c r="B40" s="31"/>
      <c r="C40" s="53" t="n">
        <f aca="false">A34-1</f>
        <v>32</v>
      </c>
      <c r="D40" s="53"/>
      <c r="E40" s="31"/>
      <c r="F40" s="40" t="s">
        <v>387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474.606060606061</v>
      </c>
      <c r="L45" s="2"/>
    </row>
    <row r="46" customFormat="false" ht="19.5" hidden="false" customHeight="false" outlineLevel="0" collapsed="false">
      <c r="A46" s="39" t="s">
        <v>391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475.575757575758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414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475.575757575758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475.575757575758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475.575757575758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475.575757575758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80.4375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627.399109847631</v>
      </c>
      <c r="C105" s="31"/>
      <c r="D105" s="31"/>
      <c r="E105" s="22" t="s">
        <v>19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130</v>
      </c>
      <c r="C114" s="102"/>
      <c r="D114" s="102"/>
      <c r="E114" s="103" t="s">
        <v>390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134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390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398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151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151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151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152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152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152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153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154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155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155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155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155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172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174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174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181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181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181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80.4375</v>
      </c>
      <c r="C176" s="173"/>
      <c r="D176" s="173"/>
      <c r="E176" s="176" t="n">
        <f aca="false">B105</f>
        <v>627.399109847631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239.99</v>
      </c>
      <c r="C191" s="102"/>
      <c r="D191" s="22"/>
      <c r="E191" s="102" t="n">
        <f aca="false">E188+A191+B191+A194</f>
        <v>24952.7615151242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5.02272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315.647916666667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627.399109847631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1484.32</v>
      </c>
      <c r="B210" s="185" t="n">
        <f aca="false">E188+A210+B191+A194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80.4375</v>
      </c>
      <c r="C221" s="173"/>
      <c r="D221" s="173"/>
      <c r="E221" s="176" t="n">
        <f aca="false">E176</f>
        <v>627.399109847631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239.99</v>
      </c>
      <c r="C233" s="102"/>
      <c r="D233" s="112"/>
      <c r="E233" s="102" t="n">
        <f aca="false">E191</f>
        <v>24952.7615151242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80.4375</v>
      </c>
      <c r="C239" s="185"/>
      <c r="D239" s="185"/>
      <c r="E239" s="102" t="n">
        <f aca="false">E176</f>
        <v>627.399109847631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15.06816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5.02272</v>
      </c>
      <c r="B245" s="102" t="n">
        <f aca="false">E242+A245</f>
        <v>20.09088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315.647916666667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8" t="n">
        <f aca="false">(E191-B191)-(B210-B191-A194)</f>
        <v>1960.45151512419</v>
      </c>
      <c r="C263" s="196"/>
      <c r="D263" s="197" t="s">
        <v>218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594.991666666667</v>
      </c>
      <c r="C264" s="196"/>
      <c r="D264" s="197" t="s">
        <v>220</v>
      </c>
      <c r="E264" s="197"/>
      <c r="F264" s="199" t="n">
        <f aca="false">(B263-F263)+B264</f>
        <v>2356.05568179086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0.115</v>
      </c>
      <c r="C269" s="42"/>
      <c r="D269" s="165" t="s">
        <v>217</v>
      </c>
      <c r="E269" s="165"/>
      <c r="F269" s="145" t="n">
        <f aca="false">B263</f>
        <v>1960.45151512419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0.009375</v>
      </c>
      <c r="C270" s="31"/>
      <c r="D270" s="165" t="s">
        <v>223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0.3</v>
      </c>
      <c r="C271" s="31"/>
      <c r="D271" s="165" t="s">
        <v>224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99.9916666666667</v>
      </c>
      <c r="C272" s="31"/>
      <c r="D272" s="38" t="s">
        <v>220</v>
      </c>
      <c r="E272" s="38"/>
      <c r="F272" s="145" t="n">
        <f aca="false">(B263-F263)+B264</f>
        <v>2356.05568179086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355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373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229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11955.4166666667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332.094907407407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466.734442264365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17024.6621437394</v>
      </c>
      <c r="C85" s="469"/>
      <c r="D85" s="469"/>
      <c r="E85" s="462" t="n">
        <f aca="false">B85/(B58+B57)</f>
        <v>472.907281770538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144.218598232564</v>
      </c>
      <c r="C86" s="469" t="s">
        <v>232</v>
      </c>
      <c r="D86" s="214"/>
      <c r="E86" s="462" t="n">
        <f aca="false">B86/(B58+B57)</f>
        <v>4.00607217312678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17168.8807419719</v>
      </c>
      <c r="C87" s="469"/>
      <c r="D87" s="471"/>
      <c r="E87" s="462" t="n">
        <f aca="false">E86+E85</f>
        <v>476.913353943664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476.913353943665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541.913353943664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476.913353943665</v>
      </c>
      <c r="B128" s="320" t="n">
        <f aca="false">IF(A105="YES",B89,0)</f>
        <v>65</v>
      </c>
      <c r="C128" s="324"/>
      <c r="D128" s="320" t="n">
        <f aca="false">B91</f>
        <v>541.913353943664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476.913353943665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541.913353943664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476.913353943665</v>
      </c>
      <c r="B137" s="37" t="n">
        <f aca="false">IF(A105="YES",B89,0)</f>
        <v>65</v>
      </c>
      <c r="C137" s="316"/>
      <c r="D137" s="37" t="n">
        <f aca="false">B91</f>
        <v>541.913353943664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IF(A105="YES",B61*0.000002,0)*1.2*100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541.913353943664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476.913353943665</v>
      </c>
      <c r="B177" s="354" t="n">
        <f aca="false">IF(A105="YES",B89,0)</f>
        <v>65</v>
      </c>
      <c r="C177" s="356"/>
      <c r="D177" s="354" t="n">
        <f aca="false">B91</f>
        <v>541.913353943664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476.913353943665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541.913353943664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476.913353943665</v>
      </c>
      <c r="B186" s="102" t="n">
        <f aca="false">IF(A105="YES",B89,0)</f>
        <v>65</v>
      </c>
      <c r="C186" s="352"/>
      <c r="D186" s="102" t="n">
        <f aca="false">B91</f>
        <v>541.913353943664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0.07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432</v>
      </c>
      <c r="C211" s="319" t="s">
        <v>219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10447.99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432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200</v>
      </c>
      <c r="C223" s="335" t="s">
        <v>220</v>
      </c>
      <c r="D223" s="316"/>
      <c r="E223" s="32" t="n">
        <f aca="false">(B217-B211+D211)</f>
        <v>10447.99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144.218598232564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 t="n">
        <v>23125</v>
      </c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413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386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396</v>
      </c>
      <c r="C35" s="222"/>
      <c r="D35" s="222" t="s">
        <v>385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414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17862.0274483356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15317.6147049928</v>
      </c>
      <c r="C88" s="92" t="n">
        <f aca="false">B81-B86</f>
        <v>15317.6147049928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574.123016851398</v>
      </c>
      <c r="C89" s="92" t="n">
        <f aca="false">(B88/B87)</f>
        <v>574.123016851398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18371.9365392447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18371.9365392447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14.175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574.123016851398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588.298016851398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394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390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398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574.123016851398</v>
      </c>
      <c r="B167" s="176" t="n">
        <f aca="false">B94</f>
        <v>14.175</v>
      </c>
      <c r="C167" s="173"/>
      <c r="D167" s="173"/>
      <c r="E167" s="176" t="n">
        <f aca="false">B96</f>
        <v>588.298016851398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4303.93653924473</v>
      </c>
      <c r="B182" s="102" t="str">
        <f aca="false">B114</f>
        <v>239.99</v>
      </c>
      <c r="C182" s="102"/>
      <c r="D182" s="22"/>
      <c r="E182" s="102" t="n">
        <f aca="false">E179+A182+B182+A185</f>
        <v>25821.9265392447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6.3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272.447916666667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588.298016851398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574.123016851398</v>
      </c>
      <c r="B212" s="176" t="n">
        <f aca="false">B167</f>
        <v>14.175</v>
      </c>
      <c r="C212" s="173"/>
      <c r="D212" s="173"/>
      <c r="E212" s="176" t="n">
        <f aca="false">E167</f>
        <v>588.298016851398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4303.93653924473</v>
      </c>
      <c r="B224" s="102" t="str">
        <f aca="false">B182</f>
        <v>239.99</v>
      </c>
      <c r="C224" s="102"/>
      <c r="D224" s="112"/>
      <c r="E224" s="102" t="n">
        <f aca="false">E182</f>
        <v>25821.9265392447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574.123016851398</v>
      </c>
      <c r="B230" s="102" t="n">
        <f aca="false">B167</f>
        <v>14.175</v>
      </c>
      <c r="C230" s="185"/>
      <c r="D230" s="185"/>
      <c r="E230" s="102" t="n">
        <f aca="false">E167</f>
        <v>588.298016851398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6.3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272.447916666667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2829.61653924473</v>
      </c>
      <c r="C254" s="196"/>
      <c r="D254" s="197" t="s">
        <v>218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162.991666666667</v>
      </c>
      <c r="C255" s="196"/>
      <c r="D255" s="197" t="s">
        <v>220</v>
      </c>
      <c r="E255" s="197"/>
      <c r="F255" s="199" t="n">
        <f aca="false">(B254-F254)+B255</f>
        <v>2793.2207059114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0.072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0.137</v>
      </c>
      <c r="C260" s="42"/>
      <c r="D260" s="165" t="s">
        <v>217</v>
      </c>
      <c r="E260" s="165"/>
      <c r="F260" s="145" t="n">
        <f aca="false">B254</f>
        <v>2829.61653924473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63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2793.2207059114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413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386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396</v>
      </c>
      <c r="C35" s="222"/>
      <c r="D35" s="222" t="s">
        <v>385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389</v>
      </c>
      <c r="C38" s="222"/>
      <c r="D38" s="103" t="s">
        <v>387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17002.4078787606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546.961609847631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389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394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390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388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150</v>
      </c>
      <c r="D120" s="115" t="s">
        <v>149</v>
      </c>
      <c r="E120" s="117" t="n">
        <v>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546.961609847631</v>
      </c>
      <c r="B167" s="176" t="str">
        <f aca="false">B94</f>
        <v>0</v>
      </c>
      <c r="C167" s="173"/>
      <c r="D167" s="173"/>
      <c r="E167" s="176" t="n">
        <f aca="false">B96</f>
        <v>546.961609847631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199.99</v>
      </c>
      <c r="C182" s="102"/>
      <c r="D182" s="22"/>
      <c r="E182" s="102" t="n">
        <f aca="false">E179+A182+(B182*1.2)+A185</f>
        <v>24952.7595151242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4.1856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266.14625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546.961609847631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1484.32</v>
      </c>
      <c r="B201" s="185" t="n">
        <f aca="false">E179+A201+(B182*1.2)+A185</f>
        <v>23002.308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str">
        <f aca="false">B167</f>
        <v>0</v>
      </c>
      <c r="C212" s="173"/>
      <c r="D212" s="173"/>
      <c r="E212" s="176" t="n">
        <f aca="false">E167</f>
        <v>546.961609847631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199.99</v>
      </c>
      <c r="C224" s="102"/>
      <c r="D224" s="112"/>
      <c r="E224" s="102" t="n">
        <f aca="false">E182</f>
        <v>24952.7595151242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str">
        <f aca="false">B167</f>
        <v>0</v>
      </c>
      <c r="C230" s="185"/>
      <c r="D230" s="185"/>
      <c r="E230" s="102" t="n">
        <f aca="false">E167</f>
        <v>546.961609847631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266.14625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1960.45151512419</v>
      </c>
      <c r="C254" s="196"/>
      <c r="D254" s="197" t="s">
        <v>218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1861.05401512419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1861.05401512419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413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386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396</v>
      </c>
      <c r="C35" s="222"/>
      <c r="D35" s="222" t="s">
        <v>385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414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16992.8624242151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15.35625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562.317859847631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394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390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398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546.961609847631</v>
      </c>
      <c r="B167" s="176" t="n">
        <f aca="false">B94</f>
        <v>15.35625</v>
      </c>
      <c r="C167" s="173"/>
      <c r="D167" s="173"/>
      <c r="E167" s="176" t="n">
        <f aca="false">B96</f>
        <v>562.317859847631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239.99</v>
      </c>
      <c r="C182" s="102"/>
      <c r="D182" s="22"/>
      <c r="E182" s="102" t="n">
        <f aca="false">E179+A182+B182+A185</f>
        <v>24952.7615151242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9.45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275.597916666667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562.317859847631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n">
        <f aca="false">B167</f>
        <v>15.35625</v>
      </c>
      <c r="C212" s="173"/>
      <c r="D212" s="173"/>
      <c r="E212" s="176" t="n">
        <f aca="false">E167</f>
        <v>562.317859847631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239.99</v>
      </c>
      <c r="C224" s="102"/>
      <c r="D224" s="112"/>
      <c r="E224" s="102" t="n">
        <f aca="false">E182</f>
        <v>24952.7615151242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n">
        <f aca="false">B167</f>
        <v>15.35625</v>
      </c>
      <c r="C230" s="185"/>
      <c r="D230" s="185"/>
      <c r="E230" s="102" t="n">
        <f aca="false">E167</f>
        <v>562.317859847631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E188</f>
        <v>9.45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275.597916666667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1960.45151512419</v>
      </c>
      <c r="C254" s="196"/>
      <c r="D254" s="197" t="s">
        <v>218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194.491666666667</v>
      </c>
      <c r="C255" s="196"/>
      <c r="D255" s="197" t="s">
        <v>220</v>
      </c>
      <c r="E255" s="197"/>
      <c r="F255" s="199" t="n">
        <f aca="false">(B254-F254)+B255</f>
        <v>1955.55568179086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94.5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1955.55568179086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71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46854.17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411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130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341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351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19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s">
        <v>399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389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10564.352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10638.9289100444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886.577409170364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886.577409170364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130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0.0</v>
      </c>
      <c r="C108" s="106"/>
      <c r="D108" s="106" t="n">
        <v>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19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IF(A111="YES",B95,0)</f>
        <v>0</v>
      </c>
      <c r="C134" s="325"/>
      <c r="D134" s="320" t="n">
        <f aca="false">B97</f>
        <v>886.577409170364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886.577409170364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886.577409170364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886.577409170364</v>
      </c>
      <c r="B143" s="37" t="n">
        <f aca="false">IF(A111="YES",B95,0)</f>
        <v>0</v>
      </c>
      <c r="C143" s="316"/>
      <c r="D143" s="37" t="n">
        <f aca="false">B97</f>
        <v>886.577409170364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886.577409170364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IF(A111="YES",B95,0)</f>
        <v>0</v>
      </c>
      <c r="C177" s="357"/>
      <c r="D177" s="354" t="n">
        <f aca="false">B91</f>
        <v>10564.352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886.577409170364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886.577409170364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886.577409170364</v>
      </c>
      <c r="B186" s="102" t="n">
        <f aca="false">IF(A111="YES",B95,0)</f>
        <v>0</v>
      </c>
      <c r="C186" s="352"/>
      <c r="D186" s="102" t="n">
        <f aca="false">B97</f>
        <v>886.577409170364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 t="n">
        <v>23125</v>
      </c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 t="n">
        <v>0</v>
      </c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 t="n">
        <v>0</v>
      </c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415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389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401</v>
      </c>
      <c r="B41" s="240" t="str">
        <f aca="false">IF(B38="YES",D38+A41,D38)</f>
        <v>500</v>
      </c>
      <c r="C41" s="240"/>
      <c r="D41" s="103" t="s">
        <v>405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103" t="s">
        <v>406</v>
      </c>
      <c r="C44" s="103"/>
      <c r="D44" s="103" t="s">
        <v>401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407</v>
      </c>
      <c r="C47" s="425"/>
      <c r="D47" s="103" t="s">
        <v>407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338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350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3" t="n">
        <v>0.0</v>
      </c>
      <c r="C111" s="313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391</v>
      </c>
      <c r="B41" s="240" t="n">
        <f aca="false">IF(B38="YES",D38+A41,D38)</f>
        <v>550</v>
      </c>
      <c r="C41" s="240"/>
      <c r="D41" s="103" t="s">
        <v>405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103" t="s">
        <v>406</v>
      </c>
      <c r="C44" s="103"/>
      <c r="D44" s="103" t="s">
        <v>407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407</v>
      </c>
      <c r="C47" s="425"/>
      <c r="D47" s="103" t="s">
        <v>407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10564.352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10638.9289100444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72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886.577409170364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886.577409170364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IF(A111="YES",B95,0)</f>
        <v>0</v>
      </c>
      <c r="C134" s="325"/>
      <c r="D134" s="320" t="n">
        <f aca="false">B97</f>
        <v>886.577409170364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886.577409170364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886.577409170364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886.577409170364</v>
      </c>
      <c r="B143" s="37" t="n">
        <f aca="false">IF(A111="YES",B95,0)</f>
        <v>0</v>
      </c>
      <c r="C143" s="316"/>
      <c r="D143" s="37" t="n">
        <f aca="false">B97</f>
        <v>886.577409170364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886.577409170364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IF(A111="YES",B95,0)</f>
        <v>0</v>
      </c>
      <c r="C177" s="357"/>
      <c r="D177" s="354" t="n">
        <f aca="false">B97</f>
        <v>886.577409170364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886.577409170364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886.577409170364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886.577409170364</v>
      </c>
      <c r="B186" s="102" t="n">
        <f aca="false">IF(A111="YES",B95,0)</f>
        <v>0</v>
      </c>
      <c r="C186" s="352"/>
      <c r="D186" s="102" t="n">
        <f aca="false">B97</f>
        <v>886.577409170364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391</v>
      </c>
      <c r="B41" s="240" t="n">
        <f aca="false">IF(B38="YES",D38+A41,D38)</f>
        <v>550</v>
      </c>
      <c r="C41" s="240"/>
      <c r="D41" s="103" t="s">
        <v>405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103" t="s">
        <v>406</v>
      </c>
      <c r="C44" s="103"/>
      <c r="D44" s="103" t="s">
        <v>407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407</v>
      </c>
      <c r="C47" s="425"/>
      <c r="D47" s="103" t="s">
        <v>407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262" t="s">
        <v>413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386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396</v>
      </c>
      <c r="C35" s="222"/>
      <c r="D35" s="222" t="s">
        <v>385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389</v>
      </c>
      <c r="C38" s="222"/>
      <c r="D38" s="103" t="s">
        <v>387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16992.8624242151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12.796875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559.758484847631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389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390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388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546.961609847631</v>
      </c>
      <c r="B167" s="176" t="n">
        <f aca="false">B94</f>
        <v>12.796875</v>
      </c>
      <c r="C167" s="173"/>
      <c r="D167" s="173"/>
      <c r="E167" s="176" t="n">
        <f aca="false">B96</f>
        <v>559.758484847631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199.99</v>
      </c>
      <c r="C182" s="102"/>
      <c r="D182" s="22"/>
      <c r="E182" s="102" t="n">
        <f aca="false">E179+A182+(B182*1.2)+A185</f>
        <v>24952.7595151242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4.1856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9.45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275.59625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559.758484847631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1484.32</v>
      </c>
      <c r="B201" s="185" t="n">
        <f aca="false">E179+A201+(B182*1.2)+A185</f>
        <v>23002.308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n">
        <f aca="false">B167</f>
        <v>12.796875</v>
      </c>
      <c r="C212" s="173"/>
      <c r="D212" s="173"/>
      <c r="E212" s="176" t="n">
        <f aca="false">E167</f>
        <v>559.758484847631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199.99</v>
      </c>
      <c r="C224" s="102"/>
      <c r="D224" s="112"/>
      <c r="E224" s="102" t="n">
        <f aca="false">E182</f>
        <v>24952.7595151242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n">
        <f aca="false">B167</f>
        <v>12.796875</v>
      </c>
      <c r="C230" s="185"/>
      <c r="D230" s="185"/>
      <c r="E230" s="102" t="n">
        <f aca="false">E167</f>
        <v>559.758484847631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4.1856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9.45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275.59625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1960.45151512419</v>
      </c>
      <c r="C254" s="196"/>
      <c r="D254" s="197" t="s">
        <v>218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194.49</v>
      </c>
      <c r="C255" s="196"/>
      <c r="D255" s="197" t="s">
        <v>220</v>
      </c>
      <c r="E255" s="197"/>
      <c r="F255" s="199" t="n">
        <f aca="false">(B254-F254)+B255</f>
        <v>1955.55401512419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94.5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1955.55401512419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0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550</v>
      </c>
      <c r="F10" s="153"/>
      <c r="G10" s="154"/>
      <c r="H10" s="438" t="n">
        <v>695.0</v>
      </c>
      <c r="I10" s="2"/>
      <c r="J10" s="2"/>
      <c r="K10" s="1" t="s">
        <v>19</v>
      </c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389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183</v>
      </c>
      <c r="B30" s="103" t="s">
        <v>401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1503.0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530.923798505743</v>
      </c>
      <c r="F33" s="231"/>
      <c r="G33" s="231"/>
      <c r="H33" s="46"/>
      <c r="I33" s="2"/>
      <c r="J33" s="33" t="s">
        <v>355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530.923798505743</v>
      </c>
      <c r="B36" s="231" t="str">
        <f aca="false">IF(B26="YES",K42,"0.00")</f>
        <v>0.00</v>
      </c>
      <c r="C36" s="231"/>
      <c r="D36" s="231"/>
      <c r="E36" s="231" t="n">
        <f aca="false">K31</f>
        <v>1503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26276.1847895144</v>
      </c>
      <c r="N39" s="1" t="n">
        <f aca="false">K39-L39</f>
        <v>-8496.18478951443</v>
      </c>
      <c r="P39" s="211"/>
    </row>
    <row r="40" customFormat="false" ht="19.5" hidden="false" customHeight="false" outlineLevel="0" collapsed="false">
      <c r="A40" s="106" t="n">
        <f aca="false">E36*A45/100</f>
        <v>5850.0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1252.5</v>
      </c>
      <c r="L40" s="2" t="n">
        <f aca="false">K39-L39</f>
        <v>-8496.18478951443</v>
      </c>
      <c r="N40" s="1" t="n">
        <f aca="false">N38-N39</f>
        <v>11407.8647895144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1015.87639410025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16764.1236058997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530.923798505743</v>
      </c>
      <c r="L47" s="2" t="n">
        <f aca="false">L49-K42</f>
        <v>800</v>
      </c>
      <c r="M47" s="1" t="n">
        <f aca="false">K47-L47</f>
        <v>-269.076201494257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530.923798505743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530.923798505743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7431.3102273373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31086.2555254576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904.957364501752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904.957364501752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530.923798505743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530.923798505743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530.923798505743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530.923798505743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17234.5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1503</v>
      </c>
      <c r="C82" s="92"/>
      <c r="D82" s="92"/>
      <c r="E82" s="112"/>
      <c r="F82" s="30" t="s">
        <v>107</v>
      </c>
      <c r="G82" s="32" t="n">
        <f aca="false">IF(A111="YES",A40,0)</f>
        <v>1503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1503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1503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1060.98904128267</v>
      </c>
      <c r="C86" s="92"/>
      <c r="D86" s="92"/>
      <c r="E86" s="112"/>
      <c r="F86" s="30" t="s">
        <v>111</v>
      </c>
      <c r="G86" s="32" t="n">
        <f aca="false">(G82/((1+G84)^(G85+1)))</f>
        <v>1226.16280767901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1027.83049031138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1027.83049031138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21960.6149587173</v>
      </c>
      <c r="C88" s="92"/>
      <c r="D88" s="92"/>
      <c r="E88" s="112"/>
      <c r="F88" s="30" t="s">
        <v>113</v>
      </c>
      <c r="G88" s="32" t="n">
        <f aca="false">G81-G86</f>
        <v>21795.441192321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16206.6695096886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16206.6695096886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765.107152207009</v>
      </c>
      <c r="C89" s="92"/>
      <c r="D89" s="92"/>
      <c r="E89" s="112"/>
      <c r="F89" s="30" t="s">
        <v>114</v>
      </c>
      <c r="G89" s="32" t="n">
        <f aca="false">(G88/G87)</f>
        <v>708.574192593643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573.155597417728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573.155597417728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26013.6431750383</v>
      </c>
      <c r="C90" s="92"/>
      <c r="D90" s="92"/>
      <c r="E90" s="112"/>
      <c r="F90" s="30" t="s">
        <v>115</v>
      </c>
      <c r="G90" s="32" t="n">
        <f aca="false">((G89*(G85))+G77)</f>
        <v>24091.5225481838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19487.2903122028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19487.2903122028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26013.6431750383</v>
      </c>
      <c r="C92" s="92"/>
      <c r="D92" s="92"/>
      <c r="E92" s="112"/>
      <c r="F92" s="55" t="s">
        <v>117</v>
      </c>
      <c r="G92" s="64" t="n">
        <f aca="false">(G90+G91)</f>
        <v>24091.5225481838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19487.2903122028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19487.2903122028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765.107152207009</v>
      </c>
      <c r="C95" s="92"/>
      <c r="D95" s="92"/>
      <c r="E95" s="112"/>
      <c r="F95" s="94" t="s">
        <v>119</v>
      </c>
      <c r="G95" s="95" t="n">
        <f aca="false">G92/(G85)</f>
        <v>708.574192593643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573.155597417728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573.155597417728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765.107152207009</v>
      </c>
      <c r="C96" s="92"/>
      <c r="D96" s="92"/>
      <c r="E96" s="112"/>
      <c r="F96" s="96" t="s">
        <v>120</v>
      </c>
      <c r="G96" s="97" t="n">
        <f aca="false">G94+G95</f>
        <v>708.574192593643</v>
      </c>
      <c r="H96" s="32"/>
      <c r="J96" s="96" t="s">
        <v>120</v>
      </c>
      <c r="K96" s="97" t="n">
        <f aca="false">(K94+K95)</f>
        <v>1460.84083744584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573.155597417728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573.155597417728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389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402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390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388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151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151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152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152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152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4186.25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155</v>
      </c>
      <c r="T125" s="131" t="n">
        <f aca="false">T121-T124</f>
        <v>16745</v>
      </c>
      <c r="U125" s="132" t="n">
        <f aca="false">U121-U124</f>
        <v>12558.75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155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12558.75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2650.75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16234.5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16234.5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174</v>
      </c>
      <c r="T148" s="153"/>
      <c r="U148" s="153"/>
      <c r="V148" s="153"/>
      <c r="W148" s="153"/>
      <c r="X148" s="153"/>
      <c r="Y148" s="154"/>
      <c r="Z148" s="39" t="n">
        <f aca="false">Z147-Y147</f>
        <v>-5033.5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1000.0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500.0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181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181</v>
      </c>
      <c r="T158" s="92"/>
      <c r="U158" s="92"/>
      <c r="V158" s="112"/>
      <c r="W158" s="92"/>
      <c r="X158" s="112"/>
      <c r="Y158" s="169" t="n">
        <f aca="false">Z147-Y154-Y157</f>
        <v>17234.5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765.107152207009</v>
      </c>
      <c r="B167" s="176" t="str">
        <f aca="false">B94</f>
        <v>0</v>
      </c>
      <c r="C167" s="173"/>
      <c r="D167" s="173"/>
      <c r="E167" s="176" t="n">
        <f aca="false">B96</f>
        <v>765.107152207009</v>
      </c>
      <c r="F167" s="22"/>
      <c r="G167" s="22" t="n">
        <f aca="false">ROUND(G95,2)</f>
        <v>708.57</v>
      </c>
      <c r="H167" s="32"/>
      <c r="J167" s="175" t="n">
        <f aca="false">K95</f>
        <v>1460.84083744584</v>
      </c>
      <c r="K167" s="176" t="n">
        <f aca="false">K94</f>
        <v>0</v>
      </c>
      <c r="L167" s="173"/>
      <c r="M167" s="173"/>
      <c r="N167" s="176" t="n">
        <f aca="false">K96</f>
        <v>1460.84083744584</v>
      </c>
      <c r="O167" s="22"/>
      <c r="P167" s="22"/>
      <c r="Q167" s="32"/>
      <c r="S167" s="175" t="n">
        <f aca="false">T95</f>
        <v>573.155597417728</v>
      </c>
      <c r="T167" s="176" t="n">
        <f aca="false">T94</f>
        <v>0</v>
      </c>
      <c r="U167" s="173"/>
      <c r="V167" s="173"/>
      <c r="W167" s="176" t="n">
        <f aca="false">T96</f>
        <v>573.155597417728</v>
      </c>
      <c r="X167" s="22"/>
      <c r="Y167" s="22"/>
      <c r="Z167" s="32"/>
      <c r="AB167" s="175" t="n">
        <f aca="false">AC95</f>
        <v>573.155597417728</v>
      </c>
      <c r="AC167" s="176" t="n">
        <f aca="false">AC94</f>
        <v>0</v>
      </c>
      <c r="AD167" s="173"/>
      <c r="AE167" s="173"/>
      <c r="AF167" s="176" t="n">
        <f aca="false">AC96</f>
        <v>573.155597417728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1503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1503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1503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1503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13253.75</v>
      </c>
      <c r="T173" s="102" t="n">
        <f aca="false">Z137</f>
        <v>2650.75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16234.5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17234.5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4495.0391750383</v>
      </c>
      <c r="B182" s="102" t="str">
        <f aca="false">B114</f>
        <v>199.99</v>
      </c>
      <c r="C182" s="102"/>
      <c r="D182" s="22"/>
      <c r="E182" s="102" t="n">
        <f aca="false">E179+A182+(B182*1.2)+A185</f>
        <v>27766.6311750383</v>
      </c>
      <c r="F182" s="22"/>
      <c r="G182" s="22"/>
      <c r="H182" s="104"/>
      <c r="J182" s="110" t="n">
        <f aca="false">(J167*K59)+N185-N179-J185</f>
        <v>14652.5844731586</v>
      </c>
      <c r="K182" s="102" t="n">
        <f aca="false">K114</f>
        <v>239.99</v>
      </c>
      <c r="L182" s="102"/>
      <c r="M182" s="22"/>
      <c r="N182" s="102" t="n">
        <f aca="false">N179+J182+K182+J185</f>
        <v>51431.5784731586</v>
      </c>
      <c r="O182" s="22"/>
      <c r="P182" s="22"/>
      <c r="Q182" s="104"/>
      <c r="S182" s="110" t="n">
        <f aca="false">(S167*T59)+W185-W179-S185</f>
        <v>3755.79031220275</v>
      </c>
      <c r="T182" s="102" t="n">
        <f aca="false">T114</f>
        <v>199.99</v>
      </c>
      <c r="U182" s="102"/>
      <c r="V182" s="22"/>
      <c r="W182" s="102" t="n">
        <f aca="false">W179+S182+T182+S185</f>
        <v>21200.2803122028</v>
      </c>
      <c r="X182" s="22"/>
      <c r="Y182" s="22"/>
      <c r="Z182" s="104"/>
      <c r="AB182" s="110" t="n">
        <f aca="false">(AB167*AC59)+AF185-AF179-AB185</f>
        <v>3755.79031220275</v>
      </c>
      <c r="AC182" s="102" t="n">
        <f aca="false">AC114</f>
        <v>239.99</v>
      </c>
      <c r="AD182" s="102"/>
      <c r="AE182" s="22"/>
      <c r="AF182" s="102" t="n">
        <f aca="false">AF179+AB182+AC182+AB185</f>
        <v>21240.2803122028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E170+A185</f>
        <v>1513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1523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1513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1513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187.84989375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140.628732638889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287.83989375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3390.72722569444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1240.61873263889</v>
      </c>
      <c r="U191" s="92"/>
      <c r="V191" s="92"/>
      <c r="W191" s="102" t="n">
        <f aca="false">Z148</f>
        <v>-5033.5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1280.61873263889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765.107152207009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1460.84083744584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573.155597417728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573.155597417728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2572.776</v>
      </c>
      <c r="B201" s="185" t="n">
        <f aca="false">E179+A201+(B182*1.2)+A185</f>
        <v>25844.368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765.107152207009</v>
      </c>
      <c r="B212" s="176" t="str">
        <f aca="false">B167</f>
        <v>0</v>
      </c>
      <c r="C212" s="173"/>
      <c r="D212" s="173"/>
      <c r="E212" s="176" t="n">
        <f aca="false">E167</f>
        <v>765.107152207009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4495.0391750383</v>
      </c>
      <c r="B224" s="102" t="str">
        <f aca="false">B182</f>
        <v>199.99</v>
      </c>
      <c r="C224" s="102"/>
      <c r="D224" s="112"/>
      <c r="E224" s="102" t="n">
        <f aca="false">E182</f>
        <v>27766.6311750383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765.107152207009</v>
      </c>
      <c r="B230" s="102" t="str">
        <f aca="false">B167</f>
        <v>0</v>
      </c>
      <c r="C230" s="185"/>
      <c r="D230" s="185"/>
      <c r="E230" s="102" t="n">
        <f aca="false">E167</f>
        <v>765.107152207009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1503</v>
      </c>
      <c r="B233" s="102" t="n">
        <f aca="false">E185</f>
        <v>1513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3832.50989375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1932.26317503829</v>
      </c>
      <c r="C254" s="196"/>
      <c r="D254" s="197" t="s">
        <v>218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1806.83330253829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1932.26317503829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1806.83330253829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183</v>
      </c>
      <c r="B30" s="103" t="s">
        <v>401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2505.0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 t="n">
        <v>0</v>
      </c>
      <c r="J32" s="28" t="s">
        <v>36</v>
      </c>
      <c r="K32" s="445" t="n">
        <v>1833.65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562.10944916212</v>
      </c>
      <c r="F33" s="231"/>
      <c r="G33" s="231"/>
      <c r="H33" s="46"/>
      <c r="I33" s="2"/>
      <c r="J33" s="33" t="s">
        <v>355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520.19944916212</v>
      </c>
      <c r="B36" s="231" t="n">
        <f aca="false">IF(B26="YES",K42,"0.00")</f>
        <v>41.91</v>
      </c>
      <c r="C36" s="231"/>
      <c r="D36" s="231"/>
      <c r="E36" s="231" t="n">
        <f aca="false">K31</f>
        <v>2004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25291.4858481498</v>
      </c>
      <c r="N39" s="1" t="n">
        <f aca="false">K39-L39</f>
        <v>-7511.48584814975</v>
      </c>
      <c r="P39" s="211"/>
    </row>
    <row r="40" customFormat="false" ht="19.5" hidden="false" customHeight="false" outlineLevel="0" collapsed="false">
      <c r="A40" s="106" t="n">
        <f aca="false">E36*A45/100</f>
        <v>5850.0</v>
      </c>
      <c r="B40" s="106" t="n">
        <f aca="false">IF(B26="YES",K42,"0.00")</f>
        <v>41.91</v>
      </c>
      <c r="C40" s="106"/>
      <c r="D40" s="106"/>
      <c r="E40" s="181" t="n">
        <f aca="false">K32</f>
        <v>1466.85</v>
      </c>
      <c r="F40" s="185"/>
      <c r="G40" s="185"/>
      <c r="H40" s="46"/>
      <c r="J40" s="2" t="s">
        <v>107</v>
      </c>
      <c r="K40" s="2" t="n">
        <f aca="false">(A40)/1.2</f>
        <v>1670</v>
      </c>
      <c r="L40" s="2" t="n">
        <f aca="false">K39-L39</f>
        <v>-7511.48584814975</v>
      </c>
      <c r="N40" s="1" t="n">
        <f aca="false">N38-N39</f>
        <v>10423.1658481498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(K32/K36/100)*C45</f>
        <v>41.91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1354.50185880034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366</v>
      </c>
      <c r="K45" s="2" t="n">
        <f aca="false">(K39-K44)</f>
        <v>16425.4981411997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520.19944916212</v>
      </c>
      <c r="L47" s="2" t="n">
        <f aca="false">L49-K42</f>
        <v>758.09</v>
      </c>
      <c r="M47" s="1" t="n">
        <f aca="false">K47-L47</f>
        <v>-237.89055083788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562.10944916212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562.10944916212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7387.72776326008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31461.6077524844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6848.32065523045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868.346867489585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520.19944916212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520.19944916212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562.10944916212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562.10944916212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2004</v>
      </c>
      <c r="C82" s="92"/>
      <c r="D82" s="92"/>
      <c r="E82" s="112"/>
      <c r="F82" s="30" t="s">
        <v>107</v>
      </c>
      <c r="G82" s="32" t="n">
        <f aca="false">IF(A111="YES",A40,0)</f>
        <v>2004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2004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2004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1414.65205504356</v>
      </c>
      <c r="C86" s="92"/>
      <c r="D86" s="92"/>
      <c r="E86" s="112"/>
      <c r="F86" s="30" t="s">
        <v>111</v>
      </c>
      <c r="G86" s="32" t="n">
        <f aca="false">(G82/((1+G84)^(G85+1)))</f>
        <v>1634.88374357201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1370.4406537485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1370.4406537485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21606.9519449564</v>
      </c>
      <c r="C88" s="92"/>
      <c r="D88" s="92"/>
      <c r="E88" s="112"/>
      <c r="F88" s="30" t="s">
        <v>113</v>
      </c>
      <c r="G88" s="32" t="n">
        <f aca="false">G81-G86</f>
        <v>21386.720256428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20837.3243462515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15864.0593462515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752.785543645126</v>
      </c>
      <c r="C89" s="92"/>
      <c r="D89" s="92"/>
      <c r="E89" s="112"/>
      <c r="F89" s="30" t="s">
        <v>114</v>
      </c>
      <c r="G89" s="32" t="n">
        <f aca="false">(G88/G87)</f>
        <v>695.286592467038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736.920628703078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561.0390467107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25594.7084839343</v>
      </c>
      <c r="C90" s="92"/>
      <c r="D90" s="92"/>
      <c r="E90" s="112"/>
      <c r="F90" s="30" t="s">
        <v>115</v>
      </c>
      <c r="G90" s="32" t="n">
        <f aca="false">((G89*(G85))+G77)</f>
        <v>23639.7441438793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25055.3013759046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19075.3275881638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25594.7084839343</v>
      </c>
      <c r="C92" s="92"/>
      <c r="D92" s="92"/>
      <c r="E92" s="112"/>
      <c r="F92" s="55" t="s">
        <v>117</v>
      </c>
      <c r="G92" s="64" t="n">
        <f aca="false">(G90+G91)</f>
        <v>23639.7441438793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25055.3013759046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19075.3275881638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67.3025294117647</v>
      </c>
      <c r="C94" s="92"/>
      <c r="D94" s="92"/>
      <c r="E94" s="112"/>
      <c r="F94" s="87" t="s">
        <v>118</v>
      </c>
      <c r="G94" s="93" t="n">
        <f aca="false">IF(B26="YES",((E40/B85)*(1+A108)*(C45/100)),"0")</f>
        <v>56.0854411764706</v>
      </c>
      <c r="H94" s="32"/>
      <c r="J94" s="87" t="s">
        <v>118</v>
      </c>
      <c r="K94" s="88" t="n">
        <f aca="false">((E40/K85)*(1+J108))*1.2</f>
        <v>65.3796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51.7711764705882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62.1254117647059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752.785543645126</v>
      </c>
      <c r="C95" s="92"/>
      <c r="D95" s="92"/>
      <c r="E95" s="112"/>
      <c r="F95" s="94" t="s">
        <v>119</v>
      </c>
      <c r="G95" s="95" t="n">
        <f aca="false">G92/(G85)</f>
        <v>695.286592467038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736.920628703078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561.0390467107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820.088073056891</v>
      </c>
      <c r="C96" s="92"/>
      <c r="D96" s="92"/>
      <c r="E96" s="112"/>
      <c r="F96" s="96" t="s">
        <v>120</v>
      </c>
      <c r="G96" s="97" t="n">
        <f aca="false">G94+G95</f>
        <v>751.372033643508</v>
      </c>
      <c r="H96" s="32"/>
      <c r="J96" s="96" t="s">
        <v>120</v>
      </c>
      <c r="K96" s="97" t="n">
        <f aca="false">(K94+K95)</f>
        <v>1526.22043744584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788.691805173666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623.164458475405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390</v>
      </c>
      <c r="F105" s="103"/>
      <c r="G105" s="103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402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390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398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151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151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152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152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152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154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155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155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172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174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1000.0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500.0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181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181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752.785543645126</v>
      </c>
      <c r="B167" s="176" t="n">
        <f aca="false">B94</f>
        <v>67.3025294117647</v>
      </c>
      <c r="C167" s="173"/>
      <c r="D167" s="173"/>
      <c r="E167" s="176" t="n">
        <f aca="false">B96</f>
        <v>820.088073056891</v>
      </c>
      <c r="F167" s="22"/>
      <c r="G167" s="22" t="n">
        <f aca="false">ROUND(G95,2)</f>
        <v>695.29</v>
      </c>
      <c r="H167" s="32"/>
      <c r="J167" s="175" t="n">
        <f aca="false">K95</f>
        <v>1460.84083744584</v>
      </c>
      <c r="K167" s="176" t="n">
        <f aca="false">K94</f>
        <v>65.3796</v>
      </c>
      <c r="L167" s="173"/>
      <c r="M167" s="173"/>
      <c r="N167" s="176" t="n">
        <f aca="false">K96</f>
        <v>1526.22043744584</v>
      </c>
      <c r="O167" s="22"/>
      <c r="P167" s="22"/>
      <c r="Q167" s="32"/>
      <c r="S167" s="175" t="n">
        <f aca="false">T95</f>
        <v>736.920628703078</v>
      </c>
      <c r="T167" s="176" t="n">
        <f aca="false">T94</f>
        <v>51.7711764705882</v>
      </c>
      <c r="U167" s="173"/>
      <c r="V167" s="173"/>
      <c r="W167" s="176" t="n">
        <f aca="false">T96</f>
        <v>788.691805173666</v>
      </c>
      <c r="X167" s="22"/>
      <c r="Y167" s="22"/>
      <c r="Z167" s="32"/>
      <c r="AB167" s="175" t="n">
        <f aca="false">AC95</f>
        <v>561.0390467107</v>
      </c>
      <c r="AC167" s="176" t="n">
        <f aca="false">AC94</f>
        <v>62.1254117647059</v>
      </c>
      <c r="AD167" s="173"/>
      <c r="AE167" s="173"/>
      <c r="AF167" s="176" t="n">
        <f aca="false">AC96</f>
        <v>623.164458475405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2004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2004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2004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2004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4577.10448393428</v>
      </c>
      <c r="B182" s="102" t="str">
        <f aca="false">B114</f>
        <v>239.99</v>
      </c>
      <c r="C182" s="102"/>
      <c r="D182" s="22"/>
      <c r="E182" s="102" t="n">
        <f aca="false">E179+A182+B182+A185</f>
        <v>27848.6984839343</v>
      </c>
      <c r="F182" s="22"/>
      <c r="G182" s="22"/>
      <c r="H182" s="104"/>
      <c r="J182" s="110" t="n">
        <f aca="false">(J167*K59)+N185-N179-J185</f>
        <v>15153.5844731586</v>
      </c>
      <c r="K182" s="102" t="n">
        <f aca="false">K114</f>
        <v>239.99</v>
      </c>
      <c r="L182" s="102"/>
      <c r="M182" s="22"/>
      <c r="N182" s="102" t="n">
        <f aca="false">N179+J182+K182+J185</f>
        <v>51932.5784731586</v>
      </c>
      <c r="O182" s="22"/>
      <c r="P182" s="22"/>
      <c r="Q182" s="104"/>
      <c r="S182" s="110" t="n">
        <f aca="false">(S167*T59)+W185-W179-S185</f>
        <v>4851.53637590465</v>
      </c>
      <c r="T182" s="102" t="n">
        <f aca="false">T114</f>
        <v>199.99</v>
      </c>
      <c r="U182" s="102"/>
      <c r="V182" s="22"/>
      <c r="W182" s="102" t="n">
        <f aca="false">W179+S182+T182+S185</f>
        <v>27269.2913759046</v>
      </c>
      <c r="X182" s="22"/>
      <c r="Y182" s="22"/>
      <c r="Z182" s="104"/>
      <c r="AB182" s="110" t="n">
        <f aca="false">(AB167*AC59)+AF185-AF179-AB185</f>
        <v>3844.82758816379</v>
      </c>
      <c r="AC182" s="102" t="n">
        <f aca="false">AC114</f>
        <v>239.99</v>
      </c>
      <c r="AD182" s="102"/>
      <c r="AE182" s="22"/>
      <c r="AF182" s="102" t="n">
        <f aca="false">AF179+AB182+AC182+AB185</f>
        <v>21329.3175881638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2014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2024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2014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2014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5.02272</v>
      </c>
      <c r="B188" s="102" t="n">
        <f aca="false">B68</f>
        <v>187.84989375</v>
      </c>
      <c r="C188" s="92"/>
      <c r="D188" s="92"/>
      <c r="E188" s="102" t="n">
        <f aca="false">(E40*A108)*0.1*(C45/100)</f>
        <v>44.0055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44.0055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29.337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29.337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331.847060416667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3434.73272569444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1310.53619357639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1309.95573263889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820.088073056891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1526.22043744584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788.691805173666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623.164458475405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2622.256</v>
      </c>
      <c r="B201" s="185" t="n">
        <f aca="false">E179+A201+B182+A185</f>
        <v>25893.85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752.785543645126</v>
      </c>
      <c r="B212" s="176" t="n">
        <f aca="false">B167</f>
        <v>67.3025294117647</v>
      </c>
      <c r="C212" s="173"/>
      <c r="D212" s="173"/>
      <c r="E212" s="176" t="n">
        <f aca="false">E167</f>
        <v>820.088073056891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4577.10448393428</v>
      </c>
      <c r="B224" s="102" t="str">
        <f aca="false">B182</f>
        <v>239.99</v>
      </c>
      <c r="C224" s="102"/>
      <c r="D224" s="112"/>
      <c r="E224" s="102" t="n">
        <f aca="false">E182</f>
        <v>27848.6984839343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752.785543645126</v>
      </c>
      <c r="B230" s="102" t="n">
        <f aca="false">B167</f>
        <v>67.3025294117647</v>
      </c>
      <c r="C230" s="185"/>
      <c r="D230" s="185"/>
      <c r="E230" s="102" t="n">
        <f aca="false">E167</f>
        <v>820.088073056891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2004</v>
      </c>
      <c r="B233" s="102" t="n">
        <f aca="false">E185</f>
        <v>2014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44.0055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3876.51706041667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1964.84848393428</v>
      </c>
      <c r="C254" s="196"/>
      <c r="D254" s="197" t="s">
        <v>218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540.046666666667</v>
      </c>
      <c r="C255" s="196"/>
      <c r="D255" s="197" t="s">
        <v>220</v>
      </c>
      <c r="E255" s="197"/>
      <c r="F255" s="199" t="n">
        <f aca="false">(B254-F254)+B255</f>
        <v>2279.47527810095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1964.84848393428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440.055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2279.47527810095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555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389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183</v>
      </c>
      <c r="B30" s="103" t="s">
        <v>401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1503.0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583.05944916212</v>
      </c>
      <c r="F33" s="231"/>
      <c r="G33" s="231"/>
      <c r="H33" s="46"/>
      <c r="I33" s="2"/>
      <c r="J33" s="33" t="s">
        <v>355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520.19944916212</v>
      </c>
      <c r="B36" s="231" t="n">
        <f aca="false">IF(B26="YES",K42,"0.00")</f>
        <v>62.86</v>
      </c>
      <c r="C36" s="231"/>
      <c r="D36" s="231"/>
      <c r="E36" s="231" t="n">
        <f aca="false">K31</f>
        <v>2004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24629.9815220448</v>
      </c>
      <c r="N39" s="1" t="n">
        <f aca="false">K39-L39</f>
        <v>-6849.98152204484</v>
      </c>
      <c r="P39" s="211"/>
    </row>
    <row r="40" customFormat="false" ht="19.5" hidden="false" customHeight="false" outlineLevel="0" collapsed="false">
      <c r="A40" s="312" t="n">
        <f aca="false">E36*A45/100</f>
        <v>5850.0</v>
      </c>
      <c r="B40" s="106" t="n">
        <f aca="false">IF(B26="YES",K42,"0.00")</f>
        <v>62.86</v>
      </c>
      <c r="C40" s="106"/>
      <c r="D40" s="106"/>
      <c r="E40" s="181" t="n">
        <f aca="false">K32</f>
        <v>2200.1</v>
      </c>
      <c r="F40" s="185"/>
      <c r="G40" s="185"/>
      <c r="H40" s="46"/>
      <c r="J40" s="2" t="s">
        <v>107</v>
      </c>
      <c r="K40" s="2" t="n">
        <f aca="false">(A40)/1.2</f>
        <v>1670</v>
      </c>
      <c r="L40" s="2" t="n">
        <f aca="false">K39-L39</f>
        <v>-6849.98152204484</v>
      </c>
      <c r="N40" s="1" t="n">
        <f aca="false">N38-N39</f>
        <v>9761.66152204484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(K32/K36/100)*C45</f>
        <v>62.86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1354.50185880034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366</v>
      </c>
      <c r="K45" s="2" t="n">
        <f aca="false">(K39-K44)</f>
        <v>16425.4981411997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520.19944916212</v>
      </c>
      <c r="L47" s="2" t="n">
        <f aca="false">L49-K42</f>
        <v>737.14</v>
      </c>
      <c r="M47" s="1" t="n">
        <f aca="false">K47-L47</f>
        <v>-216.94055083788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583.05944916212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583.05944916212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9283.02209624229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31461.6077524844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6848.32065523045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868.346867489585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200.905449305556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520.19944916212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520.19944916212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583.05944916212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583.05944916212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24621.604</v>
      </c>
      <c r="C81" s="92"/>
      <c r="D81" s="92"/>
      <c r="E81" s="112"/>
      <c r="F81" s="24" t="s">
        <v>106</v>
      </c>
      <c r="G81" s="26" t="n">
        <f aca="false">G158</f>
        <v>24621.604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2004</v>
      </c>
      <c r="C82" s="92"/>
      <c r="D82" s="92"/>
      <c r="E82" s="112"/>
      <c r="F82" s="30" t="s">
        <v>107</v>
      </c>
      <c r="G82" s="32" t="n">
        <f aca="false">IF(A111="YES",A40,0)</f>
        <v>2004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2004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2004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1414.65205504356</v>
      </c>
      <c r="C86" s="92"/>
      <c r="D86" s="92"/>
      <c r="E86" s="112"/>
      <c r="F86" s="30" t="s">
        <v>111</v>
      </c>
      <c r="G86" s="32" t="n">
        <f aca="false">(G82/((1+G84)^(G85+1)))</f>
        <v>1634.88374357201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1370.4406537485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1370.4406537485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23206.9519449564</v>
      </c>
      <c r="C88" s="92"/>
      <c r="D88" s="92"/>
      <c r="E88" s="112"/>
      <c r="F88" s="30" t="s">
        <v>113</v>
      </c>
      <c r="G88" s="32" t="n">
        <f aca="false">G81-G86</f>
        <v>22986.720256428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20837.3243462515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15864.0593462515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808.529494615191</v>
      </c>
      <c r="C89" s="92"/>
      <c r="D89" s="92"/>
      <c r="E89" s="112"/>
      <c r="F89" s="30" t="s">
        <v>114</v>
      </c>
      <c r="G89" s="32" t="n">
        <f aca="false">(G88/G87)</f>
        <v>747.302915428615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736.920628703078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561.0390467107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27490.0028169165</v>
      </c>
      <c r="C90" s="92"/>
      <c r="D90" s="92"/>
      <c r="E90" s="112"/>
      <c r="F90" s="30" t="s">
        <v>115</v>
      </c>
      <c r="G90" s="32" t="n">
        <f aca="false">((G89*(G85))+G77)</f>
        <v>25408.2991245729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25055.3013759046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19075.3275881638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27490.0028169165</v>
      </c>
      <c r="C92" s="92"/>
      <c r="D92" s="92"/>
      <c r="E92" s="112"/>
      <c r="F92" s="55" t="s">
        <v>117</v>
      </c>
      <c r="G92" s="64" t="n">
        <f aca="false">(G90+G91)</f>
        <v>25408.2991245729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25055.3013759046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19075.3275881638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100.945764705882</v>
      </c>
      <c r="C94" s="92"/>
      <c r="D94" s="92"/>
      <c r="E94" s="112"/>
      <c r="F94" s="87" t="s">
        <v>118</v>
      </c>
      <c r="G94" s="93" t="n">
        <f aca="false">IF(B26="YES",((E40/B85)*(1+A108)*(C45/100)),"0")</f>
        <v>84.1214705882353</v>
      </c>
      <c r="H94" s="32"/>
      <c r="J94" s="87" t="s">
        <v>118</v>
      </c>
      <c r="K94" s="88" t="n">
        <f aca="false">((E40/K85)*(1+J108))*1.2</f>
        <v>98.0616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77.6505882352941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93.1807058823529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808.529494615191</v>
      </c>
      <c r="C95" s="92"/>
      <c r="D95" s="92"/>
      <c r="E95" s="112"/>
      <c r="F95" s="94" t="s">
        <v>119</v>
      </c>
      <c r="G95" s="95" t="n">
        <f aca="false">G92/(G85)</f>
        <v>747.302915428615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736.920628703078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561.0390467107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909.475259321073</v>
      </c>
      <c r="C96" s="92"/>
      <c r="D96" s="92"/>
      <c r="E96" s="112"/>
      <c r="F96" s="96" t="s">
        <v>120</v>
      </c>
      <c r="G96" s="97" t="n">
        <f aca="false">G94+G95</f>
        <v>831.42438601685</v>
      </c>
      <c r="H96" s="32"/>
      <c r="J96" s="96" t="s">
        <v>120</v>
      </c>
      <c r="K96" s="97" t="n">
        <f aca="false">(K94+K95)</f>
        <v>1558.90243744584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814.571216938372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654.219752593053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125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389</v>
      </c>
      <c r="F105" s="103"/>
      <c r="G105" s="103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394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390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398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151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151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152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152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152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154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155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155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172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-17564.1116666667</v>
      </c>
      <c r="J148" s="153" t="s">
        <v>174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174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1000.0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500.0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24621.604</v>
      </c>
      <c r="H158" s="169"/>
      <c r="J158" s="168" t="s">
        <v>181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181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808.529494615191</v>
      </c>
      <c r="B167" s="176" t="n">
        <f aca="false">B94</f>
        <v>100.945764705882</v>
      </c>
      <c r="C167" s="173"/>
      <c r="D167" s="173"/>
      <c r="E167" s="176" t="n">
        <f aca="false">B96</f>
        <v>909.475259321073</v>
      </c>
      <c r="F167" s="22"/>
      <c r="G167" s="22" t="n">
        <f aca="false">ROUND(G95,2)</f>
        <v>747.3</v>
      </c>
      <c r="H167" s="32"/>
      <c r="J167" s="175" t="n">
        <f aca="false">K95</f>
        <v>1460.84083744584</v>
      </c>
      <c r="K167" s="176" t="n">
        <f aca="false">K94</f>
        <v>98.0616</v>
      </c>
      <c r="L167" s="173"/>
      <c r="M167" s="173"/>
      <c r="N167" s="176" t="n">
        <f aca="false">K96</f>
        <v>1558.90243744584</v>
      </c>
      <c r="O167" s="22"/>
      <c r="P167" s="22"/>
      <c r="Q167" s="32"/>
      <c r="S167" s="175" t="n">
        <f aca="false">T95</f>
        <v>736.920628703078</v>
      </c>
      <c r="T167" s="176" t="n">
        <f aca="false">T94</f>
        <v>77.6505882352941</v>
      </c>
      <c r="U167" s="173"/>
      <c r="V167" s="173"/>
      <c r="W167" s="176" t="n">
        <f aca="false">T96</f>
        <v>814.571216938372</v>
      </c>
      <c r="X167" s="22"/>
      <c r="Y167" s="22"/>
      <c r="Z167" s="32"/>
      <c r="AB167" s="175" t="n">
        <f aca="false">AC95</f>
        <v>561.0390467107</v>
      </c>
      <c r="AC167" s="176" t="n">
        <f aca="false">AC94</f>
        <v>93.1807058823529</v>
      </c>
      <c r="AD167" s="173"/>
      <c r="AE167" s="173"/>
      <c r="AF167" s="176" t="n">
        <f aca="false">AC96</f>
        <v>654.219752593053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2004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2004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2004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2004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24621.604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4872.39881691649</v>
      </c>
      <c r="B182" s="102" t="str">
        <f aca="false">B114</f>
        <v>239.99</v>
      </c>
      <c r="C182" s="102"/>
      <c r="D182" s="22"/>
      <c r="E182" s="102" t="n">
        <f aca="false">E179+A182+B182+A185</f>
        <v>29743.9928169165</v>
      </c>
      <c r="F182" s="22"/>
      <c r="G182" s="22"/>
      <c r="H182" s="104"/>
      <c r="J182" s="110" t="n">
        <f aca="false">(J167*K59)+N185-N179-J185</f>
        <v>15153.5844731586</v>
      </c>
      <c r="K182" s="102" t="n">
        <f aca="false">K114</f>
        <v>239.99</v>
      </c>
      <c r="L182" s="102"/>
      <c r="M182" s="22"/>
      <c r="N182" s="102" t="n">
        <f aca="false">N179+J182+K182+J185</f>
        <v>51932.5784731586</v>
      </c>
      <c r="O182" s="22"/>
      <c r="P182" s="22"/>
      <c r="Q182" s="104"/>
      <c r="S182" s="110" t="n">
        <f aca="false">(S167*T59)+W185-W179-S185</f>
        <v>4851.53637590465</v>
      </c>
      <c r="T182" s="102" t="n">
        <f aca="false">T114</f>
        <v>199.99</v>
      </c>
      <c r="U182" s="102"/>
      <c r="V182" s="22"/>
      <c r="W182" s="102" t="n">
        <f aca="false">W179+S182+T182+S185</f>
        <v>27269.2913759046</v>
      </c>
      <c r="X182" s="22"/>
      <c r="Y182" s="22"/>
      <c r="Z182" s="104"/>
      <c r="AB182" s="110" t="n">
        <f aca="false">(AB167*AC59)+AF185-AF179-AB185</f>
        <v>3844.82758816379</v>
      </c>
      <c r="AC182" s="102" t="n">
        <f aca="false">AC114</f>
        <v>239.99</v>
      </c>
      <c r="AD182" s="102"/>
      <c r="AE182" s="22"/>
      <c r="AF182" s="102" t="n">
        <f aca="false">AF179+AB182+AC182+AB185</f>
        <v>21329.3175881638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IF(A40=0,(E167),(E170+A185))</f>
        <v>2014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2024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2014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2014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0.041856</v>
      </c>
      <c r="B188" s="102" t="n">
        <f aca="false">(G158*B67)/1.2</f>
        <v>200.905449305556</v>
      </c>
      <c r="C188" s="92"/>
      <c r="D188" s="92"/>
      <c r="E188" s="102" t="n">
        <f aca="false">(E40*A108)*0.1*C45/100</f>
        <v>66.003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66.003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44.002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44.002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366.900115972222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3456.73022569444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1325.20119357639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1324.62073263889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909.475259321073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1558.90243744584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814.571216938372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654.219752593053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2790.596</v>
      </c>
      <c r="B201" s="185" t="n">
        <f aca="false">E179+A201+B182+A185</f>
        <v>27662.19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808.529494615191</v>
      </c>
      <c r="B212" s="176" t="n">
        <f aca="false">B167</f>
        <v>100.945764705882</v>
      </c>
      <c r="C212" s="173"/>
      <c r="D212" s="173"/>
      <c r="E212" s="176" t="n">
        <f aca="false">E167</f>
        <v>909.475259321073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24621.604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4872.39881691649</v>
      </c>
      <c r="B224" s="102" t="str">
        <f aca="false">B182</f>
        <v>239.99</v>
      </c>
      <c r="C224" s="102"/>
      <c r="D224" s="112"/>
      <c r="E224" s="102" t="n">
        <f aca="false">E182</f>
        <v>29743.9928169165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808.529494615191</v>
      </c>
      <c r="B230" s="102" t="n">
        <f aca="false">B167</f>
        <v>100.945764705882</v>
      </c>
      <c r="C230" s="185"/>
      <c r="D230" s="185"/>
      <c r="E230" s="102" t="n">
        <f aca="false">E167</f>
        <v>909.475259321073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2004</v>
      </c>
      <c r="B233" s="102" t="n">
        <f aca="false">E185</f>
        <v>2014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200.905449305556</v>
      </c>
      <c r="C240" s="92"/>
      <c r="D240" s="92"/>
      <c r="E240" s="102" t="n">
        <f aca="false">E188</f>
        <v>66.003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3911.57011597222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2091.80281691649</v>
      </c>
      <c r="C254" s="196"/>
      <c r="D254" s="197" t="s">
        <v>218</v>
      </c>
      <c r="E254" s="197"/>
      <c r="F254" s="199" t="n">
        <f aca="false">F261+F267+F269+B270+B271</f>
        <v>241.086539166667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760.021666666667</v>
      </c>
      <c r="C255" s="196"/>
      <c r="D255" s="197" t="s">
        <v>220</v>
      </c>
      <c r="E255" s="197"/>
      <c r="F255" s="199" t="n">
        <f aca="false">(B254-F254)+B255</f>
        <v>2610.73794441649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2091.80281691649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241.086539166667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660.03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2610.73794441649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183</v>
      </c>
      <c r="B30" s="103" t="s">
        <v>401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5010.0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 t="n">
        <v>0</v>
      </c>
      <c r="J32" s="28" t="s">
        <v>36</v>
      </c>
      <c r="K32" s="445" t="n">
        <v>1833.65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503.363379398935</v>
      </c>
      <c r="F33" s="231"/>
      <c r="G33" s="231"/>
      <c r="H33" s="46"/>
      <c r="I33" s="2"/>
      <c r="J33" s="33" t="s">
        <v>355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450.973379398935</v>
      </c>
      <c r="B36" s="231" t="n">
        <f aca="false">IF(B26="YES",K42,"0.00")</f>
        <v>52.39</v>
      </c>
      <c r="C36" s="231"/>
      <c r="D36" s="231"/>
      <c r="E36" s="231" t="n">
        <f aca="false">K31</f>
        <v>5010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27214.2966661248</v>
      </c>
      <c r="N39" s="1" t="n">
        <f aca="false">K39-L39</f>
        <v>-9434.29666612479</v>
      </c>
      <c r="P39" s="211"/>
    </row>
    <row r="40" customFormat="false" ht="19.5" hidden="false" customHeight="false" outlineLevel="0" collapsed="false">
      <c r="A40" s="312" t="n">
        <f aca="false">E36*A45/100</f>
        <v>5850.0</v>
      </c>
      <c r="B40" s="106" t="n">
        <f aca="false">IF(B26="YES",K42,"0.00")</f>
        <v>52.39</v>
      </c>
      <c r="C40" s="106"/>
      <c r="D40" s="106"/>
      <c r="E40" s="181" t="n">
        <f aca="false">K32</f>
        <v>1833.65</v>
      </c>
      <c r="F40" s="185"/>
      <c r="G40" s="185"/>
      <c r="H40" s="46"/>
      <c r="J40" s="2" t="s">
        <v>107</v>
      </c>
      <c r="K40" s="2" t="n">
        <f aca="false">(A40)/1.2</f>
        <v>4175</v>
      </c>
      <c r="L40" s="2" t="n">
        <f aca="false">K39-L39</f>
        <v>-9434.29666612479</v>
      </c>
      <c r="N40" s="1" t="n">
        <f aca="false">N38-N39</f>
        <v>12345.9766661248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(K32/K36/100)*C45</f>
        <v>52.39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3437.14293416163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366</v>
      </c>
      <c r="K45" s="2" t="n">
        <f aca="false">(K39-K44)</f>
        <v>14342.8570658384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450.973379398935</v>
      </c>
      <c r="L47" s="2" t="n">
        <f aca="false">L49-K42</f>
        <v>747.61</v>
      </c>
      <c r="M47" s="1" t="n">
        <f aca="false">K47-L47</f>
        <v>-296.636620601065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503.363379398935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503.363379398935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5956.12063983687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33884.5201941958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6799.45675270815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819.482964967296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450.973379398935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450.973379398935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503.363379398935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503.363379398935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5010</v>
      </c>
      <c r="C82" s="92"/>
      <c r="D82" s="92"/>
      <c r="E82" s="112"/>
      <c r="F82" s="30" t="s">
        <v>107</v>
      </c>
      <c r="G82" s="32" t="n">
        <f aca="false">IF(A111="YES",A40,0)</f>
        <v>5010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5010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5010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3868.28195804386</v>
      </c>
      <c r="C86" s="92"/>
      <c r="D86" s="92"/>
      <c r="E86" s="112"/>
      <c r="F86" s="30" t="s">
        <v>111</v>
      </c>
      <c r="G86" s="32" t="n">
        <f aca="false">(G82/((1+G84)^(G85+1)))</f>
        <v>4146.91295006601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3426.10163437126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3426.10163437126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19153.3220419561</v>
      </c>
      <c r="C88" s="92"/>
      <c r="D88" s="92"/>
      <c r="E88" s="112"/>
      <c r="F88" s="30" t="s">
        <v>113</v>
      </c>
      <c r="G88" s="32" t="n">
        <f aca="false">G81-G86</f>
        <v>18874.691049934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18781.6633656287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13808.3983656287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639.417321141164</v>
      </c>
      <c r="C89" s="92"/>
      <c r="D89" s="92"/>
      <c r="E89" s="112"/>
      <c r="F89" s="30" t="s">
        <v>114</v>
      </c>
      <c r="G89" s="32" t="n">
        <f aca="false">(G88/G87)</f>
        <v>609.323026533208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664.221324460908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488.33974246853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21740.1889187996</v>
      </c>
      <c r="C90" s="92"/>
      <c r="D90" s="92"/>
      <c r="E90" s="112"/>
      <c r="F90" s="30" t="s">
        <v>115</v>
      </c>
      <c r="G90" s="32" t="n">
        <f aca="false">((G89*(G85))+G77)</f>
        <v>20716.9829021291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22583.5250316709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16603.55124393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21740.1889187996</v>
      </c>
      <c r="C92" s="92"/>
      <c r="D92" s="92"/>
      <c r="E92" s="112"/>
      <c r="F92" s="55" t="s">
        <v>117</v>
      </c>
      <c r="G92" s="64" t="n">
        <f aca="false">(G90+G91)</f>
        <v>20716.9829021291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22583.5250316709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16603.55124393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64.7170588235294</v>
      </c>
      <c r="C94" s="92"/>
      <c r="D94" s="92"/>
      <c r="E94" s="112"/>
      <c r="F94" s="87" t="s">
        <v>118</v>
      </c>
      <c r="G94" s="93" t="n">
        <f aca="false">IF(B26="YES",((E40/B85)*(1+A108)*(C45/100)),"0")</f>
        <v>64.7170588235294</v>
      </c>
      <c r="H94" s="32"/>
      <c r="J94" s="87" t="s">
        <v>118</v>
      </c>
      <c r="K94" s="88" t="n">
        <f aca="false">((E40/K85)*(1+J108))*1.2</f>
        <v>81.7284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64.7170588235294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77.6604705882353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639.417321141164</v>
      </c>
      <c r="C95" s="92"/>
      <c r="D95" s="92"/>
      <c r="E95" s="112"/>
      <c r="F95" s="94" t="s">
        <v>119</v>
      </c>
      <c r="G95" s="95" t="n">
        <f aca="false">G92/(G85)</f>
        <v>609.323026533208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664.221324460908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488.33974246853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704.134379964694</v>
      </c>
      <c r="C96" s="92"/>
      <c r="D96" s="92"/>
      <c r="E96" s="112"/>
      <c r="F96" s="96" t="s">
        <v>120</v>
      </c>
      <c r="G96" s="97" t="n">
        <f aca="false">G94+G95</f>
        <v>674.040085356738</v>
      </c>
      <c r="H96" s="32"/>
      <c r="J96" s="96" t="s">
        <v>120</v>
      </c>
      <c r="K96" s="97" t="n">
        <f aca="false">(K94+K95)</f>
        <v>1542.56923744584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728.938383284438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566.000213056765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390</v>
      </c>
      <c r="F105" s="103"/>
      <c r="G105" s="103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402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390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388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151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151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152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152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152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154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155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155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172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174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1000.0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500.0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181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181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639.417321141164</v>
      </c>
      <c r="B167" s="176" t="n">
        <f aca="false">B94</f>
        <v>64.7170588235294</v>
      </c>
      <c r="C167" s="173"/>
      <c r="D167" s="173"/>
      <c r="E167" s="176" t="n">
        <f aca="false">B96</f>
        <v>704.134379964694</v>
      </c>
      <c r="F167" s="22"/>
      <c r="G167" s="22" t="n">
        <f aca="false">ROUND(G95,2)</f>
        <v>609.32</v>
      </c>
      <c r="H167" s="32"/>
      <c r="J167" s="175" t="n">
        <f aca="false">K95</f>
        <v>1460.84083744584</v>
      </c>
      <c r="K167" s="176" t="n">
        <f aca="false">K94</f>
        <v>81.7284</v>
      </c>
      <c r="L167" s="173"/>
      <c r="M167" s="173"/>
      <c r="N167" s="176" t="n">
        <f aca="false">K96</f>
        <v>1542.56923744584</v>
      </c>
      <c r="O167" s="22"/>
      <c r="P167" s="22"/>
      <c r="Q167" s="32"/>
      <c r="S167" s="175" t="n">
        <f aca="false">T95</f>
        <v>664.221324460908</v>
      </c>
      <c r="T167" s="176" t="n">
        <f aca="false">T94</f>
        <v>64.7170588235294</v>
      </c>
      <c r="U167" s="173"/>
      <c r="V167" s="173"/>
      <c r="W167" s="176" t="n">
        <f aca="false">T96</f>
        <v>728.938383284438</v>
      </c>
      <c r="X167" s="22"/>
      <c r="Y167" s="22"/>
      <c r="Z167" s="32"/>
      <c r="AB167" s="175" t="n">
        <f aca="false">AC95</f>
        <v>488.33974246853</v>
      </c>
      <c r="AC167" s="176" t="n">
        <f aca="false">AC94</f>
        <v>77.6604705882353</v>
      </c>
      <c r="AD167" s="173"/>
      <c r="AE167" s="173"/>
      <c r="AF167" s="176" t="n">
        <f aca="false">AC96</f>
        <v>566.000213056765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5010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5010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5010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5010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3728.58491879959</v>
      </c>
      <c r="B182" s="102" t="str">
        <f aca="false">B114</f>
        <v>199.99</v>
      </c>
      <c r="C182" s="102"/>
      <c r="D182" s="22"/>
      <c r="E182" s="102" t="n">
        <f aca="false">E179+A182+(B182*1.2)+A185</f>
        <v>27000.1769187996</v>
      </c>
      <c r="F182" s="22"/>
      <c r="G182" s="22"/>
      <c r="H182" s="104"/>
      <c r="J182" s="110" t="n">
        <f aca="false">(J167*K59)+N185-N179-J185</f>
        <v>18159.5844731586</v>
      </c>
      <c r="K182" s="102" t="n">
        <f aca="false">K114</f>
        <v>239.99</v>
      </c>
      <c r="L182" s="102"/>
      <c r="M182" s="22"/>
      <c r="N182" s="102" t="n">
        <f aca="false">N179+J182+K182+J185</f>
        <v>54938.5784731586</v>
      </c>
      <c r="O182" s="22"/>
      <c r="P182" s="22"/>
      <c r="Q182" s="104"/>
      <c r="S182" s="110" t="n">
        <f aca="false">(S167*T59)+W185-W179-S185</f>
        <v>5385.76003167088</v>
      </c>
      <c r="T182" s="102" t="n">
        <f aca="false">T114</f>
        <v>199.99</v>
      </c>
      <c r="U182" s="102"/>
      <c r="V182" s="22"/>
      <c r="W182" s="102" t="n">
        <f aca="false">W179+S182+T182+S185</f>
        <v>27803.5150316709</v>
      </c>
      <c r="X182" s="22"/>
      <c r="Y182" s="22"/>
      <c r="Z182" s="104"/>
      <c r="AB182" s="110" t="n">
        <f aca="false">(AB167*AC59)+AF185-AF179-AB185</f>
        <v>4379.05124393002</v>
      </c>
      <c r="AC182" s="102" t="n">
        <f aca="false">AC114</f>
        <v>239.99</v>
      </c>
      <c r="AD182" s="102"/>
      <c r="AE182" s="22"/>
      <c r="AF182" s="102" t="n">
        <f aca="false">AF179+AB182+AC182+AB185</f>
        <v>21863.54124393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IF(A40=0,(E167),(E170+A185))</f>
        <v>5020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5030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5020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5020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4.1856</v>
      </c>
      <c r="B188" s="102" t="n">
        <f aca="false">(G158*B67)/1.2</f>
        <v>187.84989375</v>
      </c>
      <c r="C188" s="92"/>
      <c r="D188" s="92"/>
      <c r="E188" s="102" t="n">
        <f aca="false">(E40*A108)*0.1*(C45/100)</f>
        <v>36.673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55.0095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36.673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36.673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324.51289375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3445.73672569444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1317.87219357639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1317.29173263889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704.134379964694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1542.56923744584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728.938383284438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566.000213056765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2705.276</v>
      </c>
      <c r="B201" s="185" t="n">
        <f aca="false">E179+A201+(B182*1.2)+A185</f>
        <v>25976.868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639.417321141164</v>
      </c>
      <c r="B212" s="176" t="n">
        <f aca="false">B167</f>
        <v>64.7170588235294</v>
      </c>
      <c r="C212" s="173"/>
      <c r="D212" s="173"/>
      <c r="E212" s="176" t="n">
        <f aca="false">E167</f>
        <v>704.134379964694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3728.58491879959</v>
      </c>
      <c r="B224" s="102" t="str">
        <f aca="false">B182</f>
        <v>199.99</v>
      </c>
      <c r="C224" s="102"/>
      <c r="D224" s="112"/>
      <c r="E224" s="102" t="n">
        <f aca="false">E182</f>
        <v>27000.1769187996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639.417321141164</v>
      </c>
      <c r="B230" s="102" t="n">
        <f aca="false">B167</f>
        <v>64.7170588235294</v>
      </c>
      <c r="C230" s="185"/>
      <c r="D230" s="185"/>
      <c r="E230" s="102" t="n">
        <f aca="false">E167</f>
        <v>704.134379964694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5010</v>
      </c>
      <c r="B233" s="102" t="n">
        <f aca="false">E185</f>
        <v>5020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36.673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3869.18289375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0.065</v>
      </c>
      <c r="C253" s="196"/>
      <c r="D253" s="197" t="s">
        <v>216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1033.30891879959</v>
      </c>
      <c r="C254" s="196"/>
      <c r="D254" s="197" t="s">
        <v>218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466.72</v>
      </c>
      <c r="C255" s="196"/>
      <c r="D255" s="197" t="s">
        <v>220</v>
      </c>
      <c r="E255" s="197"/>
      <c r="F255" s="199" t="n">
        <f aca="false">(B254-F254)+B255</f>
        <v>1274.60904629959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0.024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0.089</v>
      </c>
      <c r="C260" s="42"/>
      <c r="D260" s="165" t="s">
        <v>217</v>
      </c>
      <c r="E260" s="165"/>
      <c r="F260" s="145" t="n">
        <f aca="false">B254</f>
        <v>1033.30891879959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366.73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1274.60904629959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262" t="n">
        <v>16745.0</v>
      </c>
      <c r="C3" s="495" t="n">
        <v>0.0</v>
      </c>
      <c r="D3" s="262" t="n">
        <v>0.0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-809.375933114363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505" t="n">
        <f aca="false">(B7+C7+D7+E3)</f>
        <v>16745</v>
      </c>
      <c r="F9" s="62"/>
      <c r="G9" s="450" t="n">
        <f aca="false">E9-G11</f>
        <v>-135530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(E9+E10)*0.2</f>
        <v>3488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506" t="n">
        <f aca="false">(E9+E10+E13+E14+E11)-E12</f>
        <v>21268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452" t="n">
        <f aca="false">(B3+C3+E10)*1.2</f>
        <v>20928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390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401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8340.0</v>
      </c>
      <c r="I31" s="237" t="n">
        <f aca="false">IF(C107="YES",H31,0)</f>
        <v>8340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1131.9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614.21985193172</v>
      </c>
      <c r="E33" s="215"/>
      <c r="F33" s="62"/>
      <c r="G33" s="218" t="s">
        <v>355</v>
      </c>
      <c r="H33" s="456" t="n">
        <f aca="false">E21-E11+((E16*20%)+(E19*20%)+(E20*20%))</f>
        <v>17780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562.76985193172</v>
      </c>
      <c r="B36" s="102" t="n">
        <f aca="false">IF(B26="YES",H42,"")</f>
        <v>51.45</v>
      </c>
      <c r="C36" s="220"/>
      <c r="D36" s="183" t="n">
        <f aca="false">I31</f>
        <v>8340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17780</v>
      </c>
      <c r="I39" s="237" t="n">
        <f aca="false">(I48*H46)+H44</f>
        <v>34035.4440684217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8340</v>
      </c>
      <c r="B40" s="106" t="n">
        <f aca="false">IF(B26="YES",H42,"0")</f>
        <v>51.45</v>
      </c>
      <c r="C40" s="106"/>
      <c r="D40" s="183" t="n">
        <f aca="false">I32</f>
        <v>1131.9</v>
      </c>
      <c r="E40" s="215"/>
      <c r="F40" s="62"/>
      <c r="G40" s="62" t="s">
        <v>107</v>
      </c>
      <c r="H40" s="237" t="n">
        <f aca="false">A40/1.2</f>
        <v>6950</v>
      </c>
      <c r="I40" s="237" t="n">
        <f aca="false">H39-I39</f>
        <v>-16255.4440684217</v>
      </c>
      <c r="J40" s="62" t="n">
        <v>8812.5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51.45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6137.97280707696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373</v>
      </c>
      <c r="H45" s="237" t="n">
        <f aca="false">(H39-H44)</f>
        <v>11642.027192923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562.76985193172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614.21985193172</v>
      </c>
      <c r="I48" s="237" t="n">
        <f aca="false">I49-H42</f>
        <v>1348.55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614.21985193172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213" t="s">
        <v>14</v>
      </c>
      <c r="N61" s="290" t="n">
        <f aca="false">G18</f>
        <v>20928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0.0845833333333333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1770.16</v>
      </c>
      <c r="C64" s="214" t="n">
        <v>10000.0</v>
      </c>
      <c r="D64" s="290" t="n">
        <f aca="false">B64-A143</f>
        <v>1770.16</v>
      </c>
      <c r="E64" s="215"/>
      <c r="F64" s="62"/>
      <c r="G64" s="284" t="s">
        <v>91</v>
      </c>
      <c r="H64" s="132" t="n">
        <f aca="false">H61*H63</f>
        <v>1770.16</v>
      </c>
      <c r="I64" s="214"/>
      <c r="J64" s="290" t="n">
        <f aca="false">H64-G145</f>
        <v>1770.16</v>
      </c>
      <c r="K64" s="215"/>
      <c r="L64" s="62"/>
      <c r="M64" s="284" t="s">
        <v>91</v>
      </c>
      <c r="N64" s="132" t="n">
        <f aca="false">N61*N63</f>
        <v>1770.16</v>
      </c>
      <c r="O64" s="214"/>
      <c r="P64" s="290" t="n">
        <f aca="false">N64-M145</f>
        <v>1770.16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296.48</v>
      </c>
      <c r="C67" s="214"/>
      <c r="D67" s="290"/>
      <c r="E67" s="215"/>
      <c r="F67" s="62"/>
      <c r="G67" s="284" t="s">
        <v>94</v>
      </c>
      <c r="H67" s="132" t="n">
        <f aca="false">(H61*H66)/1.2</f>
        <v>247.066666666667</v>
      </c>
      <c r="I67" s="214"/>
      <c r="J67" s="290"/>
      <c r="K67" s="215"/>
      <c r="L67" s="62"/>
      <c r="M67" s="284" t="s">
        <v>94</v>
      </c>
      <c r="N67" s="132" t="n">
        <f aca="false">(N61*N66)/1.2</f>
        <v>247.066666666667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279</v>
      </c>
      <c r="B74" s="428" t="n">
        <v>0.0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280</v>
      </c>
      <c r="B75" s="430" t="n">
        <v>0.0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281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130" t="n">
        <f aca="false">B102/(1-0.1)</f>
        <v>0</v>
      </c>
      <c r="C77" s="214"/>
      <c r="D77" s="290" t="n">
        <f aca="false">B77</f>
        <v>0</v>
      </c>
      <c r="E77" s="215"/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214"/>
      <c r="D78" s="290" t="n">
        <f aca="false">B78</f>
        <v>0</v>
      </c>
      <c r="E78" s="215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2480.16</v>
      </c>
      <c r="C81" s="214"/>
      <c r="D81" s="214"/>
      <c r="E81" s="215"/>
      <c r="F81" s="62"/>
      <c r="G81" s="302" t="s">
        <v>103</v>
      </c>
      <c r="H81" s="303" t="n">
        <f aca="false">SUM(J64:J80)</f>
        <v>2580.41</v>
      </c>
      <c r="I81" s="214"/>
      <c r="J81" s="214"/>
      <c r="K81" s="215"/>
      <c r="L81" s="62"/>
      <c r="M81" s="302" t="s">
        <v>103</v>
      </c>
      <c r="N81" s="303" t="n">
        <f aca="false">SUM(P64:P80)</f>
        <v>2429.16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112.734545454545</v>
      </c>
      <c r="C82" s="214"/>
      <c r="D82" s="214"/>
      <c r="E82" s="215"/>
      <c r="F82" s="62"/>
      <c r="G82" s="213" t="s">
        <v>104</v>
      </c>
      <c r="H82" s="299" t="n">
        <f aca="false">H81/H29</f>
        <v>117.291363636364</v>
      </c>
      <c r="I82" s="214"/>
      <c r="J82" s="214"/>
      <c r="K82" s="215"/>
      <c r="L82" s="62"/>
      <c r="M82" s="213" t="s">
        <v>104</v>
      </c>
      <c r="N82" s="299" t="n">
        <f aca="false">N81/H29</f>
        <v>110.416363636364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562.76985193172</v>
      </c>
      <c r="C83" s="214"/>
      <c r="D83" s="214"/>
      <c r="E83" s="215"/>
      <c r="F83" s="62"/>
      <c r="G83" s="304" t="s">
        <v>105</v>
      </c>
      <c r="H83" s="305" t="n">
        <f aca="false">H47</f>
        <v>562.76985193172</v>
      </c>
      <c r="I83" s="214"/>
      <c r="J83" s="214"/>
      <c r="K83" s="215"/>
      <c r="L83" s="62"/>
      <c r="M83" s="304" t="s">
        <v>105</v>
      </c>
      <c r="N83" s="305" t="n">
        <f aca="false">H47</f>
        <v>562.76985193172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14861.0967424978</v>
      </c>
      <c r="C85" s="214"/>
      <c r="D85" s="214"/>
      <c r="E85" s="215"/>
      <c r="F85" s="62"/>
      <c r="G85" s="287" t="s">
        <v>115</v>
      </c>
      <c r="H85" s="130" t="n">
        <f aca="false">((H83*H29)+H81)*1.2</f>
        <v>17953.6160909974</v>
      </c>
      <c r="I85" s="214"/>
      <c r="J85" s="214"/>
      <c r="K85" s="215"/>
      <c r="L85" s="62"/>
      <c r="M85" s="287" t="s">
        <v>115</v>
      </c>
      <c r="N85" s="130" t="n">
        <f aca="false">((N83*H29)+N81)</f>
        <v>14810.0967424978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125.890694470534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126.739928032454</v>
      </c>
      <c r="I86" s="214"/>
      <c r="J86" s="214"/>
      <c r="K86" s="215"/>
      <c r="L86" s="62"/>
      <c r="M86" s="213" t="s">
        <v>116</v>
      </c>
      <c r="N86" s="299" t="n">
        <f aca="false">(N85/(1-N70))*N70</f>
        <v>125.458665426565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14986.9874369684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18080.3560190299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14935.5554079244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61.74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60.368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50.3066666666667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681.226701680381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669.642815519624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553.168718812015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742.966701680381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730.010815519624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603.475385478682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341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342</v>
      </c>
      <c r="C107" s="221" t="s">
        <v>390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290</v>
      </c>
      <c r="B108" s="216"/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669.642815519624</v>
      </c>
      <c r="H127" s="176" t="n">
        <f aca="false">IF(G105="YES",H89*H57,0)</f>
        <v>362.208</v>
      </c>
      <c r="I127" s="176"/>
      <c r="J127" s="333" t="n">
        <f aca="false">H91</f>
        <v>730.010815519624</v>
      </c>
      <c r="K127" s="215"/>
      <c r="L127" s="62"/>
      <c r="M127" s="332" t="n">
        <f aca="false">N90</f>
        <v>553.168718812015</v>
      </c>
      <c r="N127" s="176" t="n">
        <f aca="false">IF(M105="YES",N89*N57,0)</f>
        <v>301.84</v>
      </c>
      <c r="O127" s="176"/>
      <c r="P127" s="176" t="n">
        <f aca="false">N91</f>
        <v>603.475385478682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681.226701680381</v>
      </c>
      <c r="B128" s="320" t="n">
        <f aca="false">IF(A105="YES",B89,0)</f>
        <v>61.74</v>
      </c>
      <c r="C128" s="324"/>
      <c r="D128" s="320" t="n">
        <f aca="false">B91</f>
        <v>742.966701680381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681.226701680381</v>
      </c>
      <c r="C131" s="316"/>
      <c r="D131" s="37" t="n">
        <f aca="false">IF(A105="YES",B89*B57,0)</f>
        <v>61.74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4017.85689311775</v>
      </c>
      <c r="H133" s="102" t="n">
        <f aca="false">IF(G105="YES",H89*H57,0)</f>
        <v>362.208</v>
      </c>
      <c r="I133" s="220"/>
      <c r="J133" s="183" t="n">
        <f aca="false">H91*H57</f>
        <v>4380.06489311775</v>
      </c>
      <c r="K133" s="215"/>
      <c r="L133" s="62"/>
      <c r="M133" s="184" t="n">
        <f aca="false">N90*N57</f>
        <v>3319.01231287209</v>
      </c>
      <c r="N133" s="102" t="n">
        <f aca="false">IF(M105="YES",N89*N57,0)</f>
        <v>301.84</v>
      </c>
      <c r="O133" s="220"/>
      <c r="P133" s="183" t="n">
        <f aca="false">N91*N57</f>
        <v>3620.85231287209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742.966701680381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110" t="n">
        <f aca="false">E15*0.000006</f>
        <v>0.127608</v>
      </c>
      <c r="N136" s="102" t="n">
        <f aca="false">IF(M105="YES",E15*0.000002,0)</f>
        <v>0.042536</v>
      </c>
      <c r="O136" s="102"/>
      <c r="P136" s="102" t="n">
        <f aca="false">M136+N136</f>
        <v>0.170144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681.226701680381</v>
      </c>
      <c r="B137" s="37" t="n">
        <f aca="false">IF(A105="YES",B89,0)</f>
        <v>61.74</v>
      </c>
      <c r="C137" s="316"/>
      <c r="D137" s="37" t="n">
        <f aca="false">B91</f>
        <v>742.966701680381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247.066666666667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247.066666666667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IF(A105="YES",G18*0.000002,0)*1.2*100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22.638</v>
      </c>
      <c r="H142" s="102" t="n">
        <f aca="false">G102-100</f>
        <v>99.99</v>
      </c>
      <c r="I142" s="102"/>
      <c r="J142" s="102" t="n">
        <f aca="false">(H139+J139+G142+H142)-H145</f>
        <v>369.694666666667</v>
      </c>
      <c r="K142" s="104"/>
      <c r="L142" s="62"/>
      <c r="M142" s="110" t="n">
        <f aca="false">IF(M105="YES",((B36*N105)*0.1)*(M130),0)</f>
        <v>22.638</v>
      </c>
      <c r="N142" s="102" t="n">
        <f aca="false">M102-100</f>
        <v>99.99</v>
      </c>
      <c r="O142" s="102"/>
      <c r="P142" s="102" t="n">
        <f aca="false">(N139+P139+M142+N142)-N145</f>
        <v>369.694666666667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296.48</v>
      </c>
      <c r="B148" s="37" t="n">
        <f aca="false">B102</f>
        <v>0</v>
      </c>
      <c r="C148" s="37"/>
      <c r="D148" s="37" t="n">
        <f aca="false">IF(A105="YES",(B40*B105)*B125,0)*0.1</f>
        <v>22.638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419.108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730.010815519624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603.475385478682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742.966701680381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681.226701680381</v>
      </c>
      <c r="B177" s="354" t="n">
        <f aca="false">IF(A105="YES",B89,0)</f>
        <v>61.74</v>
      </c>
      <c r="C177" s="356"/>
      <c r="D177" s="354" t="n">
        <f aca="false">B91</f>
        <v>742.966701680381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681.226701680381</v>
      </c>
      <c r="C180" s="352"/>
      <c r="D180" s="102" t="n">
        <f aca="false">IF(A105="YES",B89*B57,0)</f>
        <v>61.74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742.966701680381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681.226701680381</v>
      </c>
      <c r="B186" s="102" t="n">
        <f aca="false">IF(A105="YES",B89,0)</f>
        <v>61.74</v>
      </c>
      <c r="C186" s="352"/>
      <c r="D186" s="102" t="n">
        <f aca="false">B91</f>
        <v>742.966701680381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IF(A105="YES",G18*0.000002,0)*1.2*100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296.48</v>
      </c>
      <c r="B197" s="102" t="n">
        <f aca="false">B102</f>
        <v>0</v>
      </c>
      <c r="C197" s="102"/>
      <c r="D197" s="102" t="n">
        <f aca="false">IF(A105="YES",(B40*B105)*B125,0)*0.1</f>
        <v>22.638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419.108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1770.16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296.48</v>
      </c>
      <c r="C211" s="319" t="s">
        <v>219</v>
      </c>
      <c r="D211" s="369" t="n">
        <f aca="false">B225+E221+B221+B223</f>
        <v>326.37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1800.05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1770.16</v>
      </c>
      <c r="C217" s="373" t="s">
        <v>223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296.48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1800.05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226.38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125.890694470534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262" t="n">
        <v>16745.0</v>
      </c>
      <c r="C3" s="495" t="n">
        <v>0.0</v>
      </c>
      <c r="D3" s="262" t="n">
        <v>0.0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-222.667836537637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505" t="n">
        <f aca="false">(B7+C7+D7+E3)</f>
        <v>47687.5</v>
      </c>
      <c r="F9" s="62"/>
      <c r="G9" s="450" t="n">
        <f aca="false">E9-G11</f>
        <v>-104329.166666667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(E9+E10)*0.2</f>
        <v>9647.5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506" t="n">
        <f aca="false">(E9+E10+E13+E14+E11)-E12</f>
        <v>58535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58295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390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401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8340.0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1131.9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1542.70865363279</v>
      </c>
      <c r="E33" s="215"/>
      <c r="F33" s="62"/>
      <c r="G33" s="218" t="s">
        <v>355</v>
      </c>
      <c r="H33" s="456" t="n">
        <f aca="false">E21-E11+((E16*20%)+(E19*20%)+(E20*20%))</f>
        <v>48687.5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1503.32865363279</v>
      </c>
      <c r="B36" s="102" t="n">
        <f aca="false">IF(B26="YES",H42,"")</f>
        <v>39.38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48687.5</v>
      </c>
      <c r="I39" s="237" t="n">
        <f aca="false">(I48*H46)+H44</f>
        <v>44065.6712621812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39.38</v>
      </c>
      <c r="C40" s="106"/>
      <c r="D40" s="183" t="n">
        <f aca="false">I32</f>
        <v>1417.68</v>
      </c>
      <c r="E40" s="215"/>
      <c r="F40" s="62"/>
      <c r="G40" s="62" t="s">
        <v>107</v>
      </c>
      <c r="H40" s="237" t="n">
        <f aca="false">(A40)/1.2</f>
        <v>0</v>
      </c>
      <c r="I40" s="237" t="n">
        <f aca="false">H39-I39</f>
        <v>4621.82873781884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39.38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373</v>
      </c>
      <c r="H45" s="237" t="n">
        <f aca="false">(H39-H44)</f>
        <v>48687.5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1503.32865363279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1542.70865363279</v>
      </c>
      <c r="I48" s="237" t="n">
        <f aca="false">I49-H42</f>
        <v>1360.62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1542.70865363279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6077.925</v>
      </c>
      <c r="C64" s="214" t="n">
        <v>10000.0</v>
      </c>
      <c r="D64" s="290" t="n">
        <f aca="false">B64-A143</f>
        <v>6077.925</v>
      </c>
      <c r="E64" s="462" t="n">
        <f aca="false">D64/(B58+B57)</f>
        <v>168.83125</v>
      </c>
      <c r="F64" s="62"/>
      <c r="G64" s="284" t="s">
        <v>91</v>
      </c>
      <c r="H64" s="132" t="n">
        <f aca="false">H61*H63</f>
        <v>6077.925</v>
      </c>
      <c r="I64" s="214"/>
      <c r="J64" s="290" t="n">
        <f aca="false">H64-G145</f>
        <v>6077.925</v>
      </c>
      <c r="K64" s="215"/>
      <c r="L64" s="62"/>
      <c r="M64" s="284" t="s">
        <v>91</v>
      </c>
      <c r="N64" s="132" t="n">
        <f aca="false">N61*N63</f>
        <v>6077.925</v>
      </c>
      <c r="O64" s="214"/>
      <c r="P64" s="290" t="n">
        <f aca="false">N64-M145</f>
        <v>6077.925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1157.7</v>
      </c>
      <c r="C67" s="214"/>
      <c r="D67" s="290"/>
      <c r="E67" s="215"/>
      <c r="F67" s="62"/>
      <c r="G67" s="284" t="s">
        <v>94</v>
      </c>
      <c r="H67" s="132" t="n">
        <f aca="false">(H61*H66)/1.2</f>
        <v>964.75</v>
      </c>
      <c r="I67" s="214"/>
      <c r="J67" s="290"/>
      <c r="K67" s="215"/>
      <c r="L67" s="62"/>
      <c r="M67" s="284" t="s">
        <v>94</v>
      </c>
      <c r="N67" s="132" t="n">
        <f aca="false">(N61*N66)/1.2</f>
        <v>964.75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290" t="n">
        <f aca="false">B73+B71</f>
        <v>380</v>
      </c>
      <c r="E73" s="215"/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1083.33333333333</v>
      </c>
      <c r="C76" s="214"/>
      <c r="D76" s="290" t="n">
        <f aca="false">B76</f>
        <v>1083.33333333333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51.7592592592593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8607.925</v>
      </c>
      <c r="C81" s="214"/>
      <c r="D81" s="214"/>
      <c r="E81" s="462"/>
      <c r="F81" s="62"/>
      <c r="G81" s="302" t="s">
        <v>103</v>
      </c>
      <c r="H81" s="303" t="n">
        <f aca="false">SUM(J64:J80)</f>
        <v>7143.675</v>
      </c>
      <c r="I81" s="214"/>
      <c r="J81" s="214"/>
      <c r="K81" s="215"/>
      <c r="L81" s="62"/>
      <c r="M81" s="302" t="s">
        <v>103</v>
      </c>
      <c r="N81" s="303" t="n">
        <f aca="false">SUM(P64:P80)</f>
        <v>6799.925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239.109027777778</v>
      </c>
      <c r="C82" s="214"/>
      <c r="D82" s="214"/>
      <c r="E82" s="462"/>
      <c r="F82" s="62"/>
      <c r="G82" s="213" t="s">
        <v>104</v>
      </c>
      <c r="H82" s="299" t="n">
        <f aca="false">H81/H29</f>
        <v>198.435416666667</v>
      </c>
      <c r="I82" s="214"/>
      <c r="J82" s="214"/>
      <c r="K82" s="215"/>
      <c r="L82" s="62"/>
      <c r="M82" s="213" t="s">
        <v>104</v>
      </c>
      <c r="N82" s="299" t="n">
        <f aca="false">N81/H29</f>
        <v>188.886805555556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1503.32865363279</v>
      </c>
      <c r="C83" s="214"/>
      <c r="D83" s="214"/>
      <c r="E83" s="462" t="n">
        <f aca="false">B83+E80+E77+E64</f>
        <v>1736.2648419044</v>
      </c>
      <c r="F83" s="62"/>
      <c r="G83" s="304" t="s">
        <v>105</v>
      </c>
      <c r="H83" s="305" t="n">
        <f aca="false">H47</f>
        <v>1503.32865363279</v>
      </c>
      <c r="I83" s="214"/>
      <c r="J83" s="214"/>
      <c r="K83" s="215"/>
      <c r="L83" s="62"/>
      <c r="M83" s="304" t="s">
        <v>105</v>
      </c>
      <c r="N83" s="305" t="n">
        <f aca="false">H47</f>
        <v>1503.32865363279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75273.3078369366</v>
      </c>
      <c r="C85" s="214"/>
      <c r="D85" s="214"/>
      <c r="E85" s="462" t="n">
        <f aca="false">B85/(B58+B57)</f>
        <v>2090.92521769268</v>
      </c>
      <c r="F85" s="62"/>
      <c r="G85" s="287" t="s">
        <v>115</v>
      </c>
      <c r="H85" s="130" t="n">
        <f aca="false">((H83*H29)+H81)*1.2</f>
        <v>73516.2078369366</v>
      </c>
      <c r="I85" s="214"/>
      <c r="J85" s="214"/>
      <c r="K85" s="215"/>
      <c r="L85" s="62"/>
      <c r="M85" s="287" t="s">
        <v>115</v>
      </c>
      <c r="N85" s="130" t="n">
        <f aca="false">((N83*H29)+N81)</f>
        <v>60919.7565307805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531.376719300682</v>
      </c>
      <c r="C86" s="214"/>
      <c r="D86" s="214"/>
      <c r="E86" s="462" t="n">
        <f aca="false">B86/(B58+B57)</f>
        <v>14.7604644250189</v>
      </c>
      <c r="F86" s="62"/>
      <c r="G86" s="213" t="s">
        <v>116</v>
      </c>
      <c r="H86" s="299" t="n">
        <f aca="false">((((H83*H29)+H81))/(1-H70))*H70</f>
        <v>518.972826602013</v>
      </c>
      <c r="I86" s="214"/>
      <c r="J86" s="214"/>
      <c r="K86" s="215"/>
      <c r="L86" s="62"/>
      <c r="M86" s="213" t="s">
        <v>116</v>
      </c>
      <c r="N86" s="299" t="n">
        <f aca="false">(N85/(1-N70))*N70</f>
        <v>516.060866134083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75804.6845562373</v>
      </c>
      <c r="C87" s="214"/>
      <c r="D87" s="214"/>
      <c r="E87" s="462" t="n">
        <f aca="false">E86+E85</f>
        <v>2105.6856821177</v>
      </c>
      <c r="F87" s="62"/>
      <c r="G87" s="284" t="s">
        <v>117</v>
      </c>
      <c r="H87" s="132" t="n">
        <f aca="false">IF(H110="YES",((H85+H86)-K114),(H85+H86))</f>
        <v>74035.1806635386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61435.8173969146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56.7072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49.7916878048781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41.4930731707317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2105.6856821177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1805.73611374484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1498.43457065645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2162.3928821177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1855.52780154972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1539.92764382718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284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1000.0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290</v>
      </c>
      <c r="B108" s="216"/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1805.73611374484</v>
      </c>
      <c r="H127" s="176" t="n">
        <f aca="false">IF(G105="YES",H89*H57,0)</f>
        <v>298.750126829268</v>
      </c>
      <c r="I127" s="176"/>
      <c r="J127" s="333" t="n">
        <f aca="false">H91</f>
        <v>1855.52780154972</v>
      </c>
      <c r="K127" s="215"/>
      <c r="L127" s="62"/>
      <c r="M127" s="332" t="n">
        <f aca="false">N90</f>
        <v>1498.43457065645</v>
      </c>
      <c r="N127" s="176" t="n">
        <f aca="false">IF(M105="YES",N89*N57,0)</f>
        <v>248.95843902439</v>
      </c>
      <c r="O127" s="176"/>
      <c r="P127" s="176" t="n">
        <f aca="false">N91</f>
        <v>1539.92764382718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2105.6856821177</v>
      </c>
      <c r="B128" s="320" t="n">
        <f aca="false">IF(A105="YES",B89,0)</f>
        <v>56.7072</v>
      </c>
      <c r="C128" s="324"/>
      <c r="D128" s="320" t="n">
        <f aca="false">B91</f>
        <v>2162.3928821177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2105.6856821177</v>
      </c>
      <c r="C131" s="316"/>
      <c r="D131" s="37" t="n">
        <f aca="false">IF(A105="YES",B89*B57,0)</f>
        <v>56.7072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10834.4166824691</v>
      </c>
      <c r="H133" s="102" t="n">
        <f aca="false">IF(G105="YES",H89*H57,0)</f>
        <v>298.750126829268</v>
      </c>
      <c r="I133" s="220"/>
      <c r="J133" s="183" t="n">
        <f aca="false">H91*H57</f>
        <v>11133.1668092983</v>
      </c>
      <c r="K133" s="215"/>
      <c r="L133" s="62"/>
      <c r="M133" s="184" t="n">
        <f aca="false">N90*N57</f>
        <v>8990.60742393872</v>
      </c>
      <c r="N133" s="102" t="n">
        <f aca="false">IF(M105="YES",N89*N57,0)</f>
        <v>248.95843902439</v>
      </c>
      <c r="O133" s="220"/>
      <c r="P133" s="183" t="n">
        <f aca="false">N91*N57</f>
        <v>9239.56586296311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2162.3928821177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110" t="n">
        <f aca="false">E15*0.000006</f>
        <v>0.35121</v>
      </c>
      <c r="N136" s="102" t="n">
        <f aca="false">IF(M105="YES",E15*0.000002,0)</f>
        <v>0.11707</v>
      </c>
      <c r="O136" s="102"/>
      <c r="P136" s="102" t="n">
        <f aca="false">M136+N136</f>
        <v>0.46828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2105.6856821177</v>
      </c>
      <c r="B137" s="37" t="n">
        <f aca="false">IF(A105="YES",B89,0)</f>
        <v>56.7072</v>
      </c>
      <c r="C137" s="316"/>
      <c r="D137" s="37" t="n">
        <f aca="false">B91</f>
        <v>2162.3928821177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964.75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964.75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IF(A105="YES",G18*0.000002,0)*1.2*100</f>
        <v>13.8924</v>
      </c>
      <c r="C140" s="316"/>
      <c r="D140" s="342" t="n">
        <f aca="false">A140+B140</f>
        <v>55.5696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28.3536</v>
      </c>
      <c r="H142" s="102" t="n">
        <f aca="false">G102-100</f>
        <v>99.99</v>
      </c>
      <c r="I142" s="102"/>
      <c r="J142" s="102" t="n">
        <f aca="false">(H139+J139+G142+H142)-H145</f>
        <v>1093.0936</v>
      </c>
      <c r="K142" s="104"/>
      <c r="L142" s="62"/>
      <c r="M142" s="110" t="n">
        <f aca="false">IF(M105="YES",((B36*N105)*0.1)*(M130),0)</f>
        <v>28.3536</v>
      </c>
      <c r="N142" s="102" t="n">
        <f aca="false">M102-100</f>
        <v>99.99</v>
      </c>
      <c r="O142" s="102"/>
      <c r="P142" s="102" t="n">
        <f aca="false">(N139+P139+M142+N142)-N145</f>
        <v>1093.0936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1157.7</v>
      </c>
      <c r="B148" s="37" t="n">
        <f aca="false">B102</f>
        <v>400</v>
      </c>
      <c r="C148" s="37"/>
      <c r="D148" s="37" t="n">
        <f aca="false">IF(A105="YES",(B40*B105)*B125,0)*0.1</f>
        <v>28.3536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1686.04526666667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1855.52780154972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1539.92764382718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2162.3928821177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2105.6856821177</v>
      </c>
      <c r="B177" s="354" t="n">
        <f aca="false">IF(A105="YES",B89,0)</f>
        <v>56.7072</v>
      </c>
      <c r="C177" s="356"/>
      <c r="D177" s="354" t="n">
        <f aca="false">B91</f>
        <v>2162.3928821177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2105.6856821177</v>
      </c>
      <c r="C180" s="352"/>
      <c r="D180" s="102" t="n">
        <f aca="false">IF(A105="YES",B89*B57,0)</f>
        <v>56.7072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2162.3928821177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2105.6856821177</v>
      </c>
      <c r="B186" s="102" t="n">
        <f aca="false">IF(A105="YES",B89,0)</f>
        <v>56.7072</v>
      </c>
      <c r="C186" s="352"/>
      <c r="D186" s="102" t="n">
        <f aca="false">B91</f>
        <v>2162.3928821177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IF(A105="YES",G18*0.000002,0)*1.2*100</f>
        <v>13.8924</v>
      </c>
      <c r="C189" s="352"/>
      <c r="D189" s="364" t="n">
        <f aca="false">A189+B189</f>
        <v>55.5696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1157.7</v>
      </c>
      <c r="B197" s="102" t="n">
        <f aca="false">B102</f>
        <v>400</v>
      </c>
      <c r="C197" s="102"/>
      <c r="D197" s="102" t="n">
        <f aca="false">IF(A105="YES",(B40*B105)*B125,0)*0.1</f>
        <v>28.3536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1686.04526666667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0.07</v>
      </c>
      <c r="C209" s="320" t="s">
        <v>217</v>
      </c>
      <c r="D209" s="369" t="n">
        <f aca="false">D64</f>
        <v>6077.925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1157.7</v>
      </c>
      <c r="C211" s="319" t="s">
        <v>219</v>
      </c>
      <c r="D211" s="369" t="n">
        <f aca="false">B225+E221+B221+B223</f>
        <v>623.527666666667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5543.75266666667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6077.925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1157.7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200</v>
      </c>
      <c r="C223" s="335" t="s">
        <v>220</v>
      </c>
      <c r="D223" s="316"/>
      <c r="E223" s="32" t="n">
        <f aca="false">(B217-B211+D211)</f>
        <v>5543.75266666667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283.536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531.376719300682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262" t="n">
        <v>46854.17</v>
      </c>
      <c r="C3" s="495" t="n">
        <v>0.0</v>
      </c>
      <c r="D3" s="262" t="n">
        <v>0.0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-222.667836537637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 t="n">
        <v>23125</v>
      </c>
      <c r="C9" s="482"/>
      <c r="D9" s="482"/>
      <c r="E9" s="505" t="n">
        <f aca="false">(B7+C7+D7+E3)</f>
        <v>47687.5</v>
      </c>
      <c r="F9" s="62"/>
      <c r="G9" s="450" t="n">
        <f aca="false">E9-G11</f>
        <v>-104329.166666667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550.0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 t="n">
        <v>0</v>
      </c>
      <c r="C11" s="484"/>
      <c r="D11" s="484"/>
      <c r="E11" s="299" t="n">
        <f aca="false">(E9+E10)*0.2</f>
        <v>9647.5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506" t="n">
        <f aca="false">(E9+E10+E13+E14+E11)-E12</f>
        <v>58535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390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401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5010.0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3667.3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1493.42530774817</v>
      </c>
      <c r="E33" s="215"/>
      <c r="F33" s="62"/>
      <c r="G33" s="218" t="s">
        <v>355</v>
      </c>
      <c r="H33" s="456" t="n">
        <f aca="false">E21-E11+((E16*20%)+(E19*20%)+(E20*20%))</f>
        <v>48887.5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1441.03530774817</v>
      </c>
      <c r="B36" s="102" t="n">
        <f aca="false">IF(B26="YES",H42,"")</f>
        <v>52.39</v>
      </c>
      <c r="C36" s="220"/>
      <c r="D36" s="183" t="n">
        <f aca="false">H31</f>
        <v>5010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48887.5</v>
      </c>
      <c r="I39" s="237" t="n">
        <f aca="false">(I48*H46)+H44</f>
        <v>45937.559892931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5010</v>
      </c>
      <c r="B40" s="106" t="n">
        <f aca="false">IF(B26="YES",H42,"0")</f>
        <v>52.39</v>
      </c>
      <c r="C40" s="106"/>
      <c r="D40" s="183" t="n">
        <f aca="false">I32</f>
        <v>3667.3</v>
      </c>
      <c r="E40" s="215"/>
      <c r="F40" s="62"/>
      <c r="G40" s="62" t="s">
        <v>107</v>
      </c>
      <c r="H40" s="237" t="n">
        <f aca="false">A40/1.2</f>
        <v>4175</v>
      </c>
      <c r="I40" s="237" t="n">
        <f aca="false">H39-I39</f>
        <v>2949.94010706903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52.39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3386.25464700085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50.0</v>
      </c>
      <c r="D45" s="459"/>
      <c r="E45" s="215"/>
      <c r="F45" s="62"/>
      <c r="G45" s="62" t="s">
        <v>373</v>
      </c>
      <c r="H45" s="237" t="n">
        <f aca="false">(H39-H44)</f>
        <v>45501.2453529992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31.5753854942677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1441.03530774817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1493.42530774817</v>
      </c>
      <c r="I48" s="237" t="n">
        <f aca="false">I49-H42</f>
        <v>1347.61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1493.42530774817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10000.0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5993.509375</v>
      </c>
      <c r="I64" s="214"/>
      <c r="J64" s="290" t="n">
        <f aca="false">H64-G145</f>
        <v>5993.509375</v>
      </c>
      <c r="K64" s="215"/>
      <c r="L64" s="62"/>
      <c r="M64" s="284" t="s">
        <v>91</v>
      </c>
      <c r="N64" s="132" t="n">
        <f aca="false">N61*N63</f>
        <v>5993.509375</v>
      </c>
      <c r="O64" s="214"/>
      <c r="P64" s="290" t="n">
        <f aca="false">N64-M145</f>
        <v>5993.509375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1133.58125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944.651041666667</v>
      </c>
      <c r="I67" s="214"/>
      <c r="J67" s="290"/>
      <c r="K67" s="215"/>
      <c r="L67" s="62"/>
      <c r="M67" s="284" t="s">
        <v>94</v>
      </c>
      <c r="N67" s="132" t="n">
        <f aca="false">(N61*N66)/1.2</f>
        <v>944.651041666667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229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10775</v>
      </c>
      <c r="C81" s="469"/>
      <c r="D81" s="470"/>
      <c r="E81" s="462"/>
      <c r="F81" s="62"/>
      <c r="G81" s="302" t="s">
        <v>103</v>
      </c>
      <c r="H81" s="303" t="n">
        <f aca="false">SUM(J64:J80)</f>
        <v>7041.009375</v>
      </c>
      <c r="I81" s="214"/>
      <c r="J81" s="214"/>
      <c r="K81" s="215"/>
      <c r="L81" s="62"/>
      <c r="M81" s="302" t="s">
        <v>103</v>
      </c>
      <c r="N81" s="303" t="n">
        <f aca="false">SUM(P64:P80)</f>
        <v>6711.009375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307.857142857143</v>
      </c>
      <c r="C82" s="469"/>
      <c r="D82" s="214"/>
      <c r="E82" s="462"/>
      <c r="F82" s="62"/>
      <c r="G82" s="213" t="s">
        <v>104</v>
      </c>
      <c r="H82" s="299" t="n">
        <f aca="false">H81/H29</f>
        <v>201.171696428571</v>
      </c>
      <c r="I82" s="214"/>
      <c r="J82" s="214"/>
      <c r="K82" s="215"/>
      <c r="L82" s="62"/>
      <c r="M82" s="213" t="s">
        <v>104</v>
      </c>
      <c r="N82" s="299" t="n">
        <f aca="false">N81/H29</f>
        <v>191.743125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1441.03530774817</v>
      </c>
      <c r="C83" s="469"/>
      <c r="D83" s="214"/>
      <c r="E83" s="462" t="n">
        <f aca="false">B83+E80+E77+E64</f>
        <v>1748.89245060531</v>
      </c>
      <c r="F83" s="62"/>
      <c r="G83" s="304" t="s">
        <v>105</v>
      </c>
      <c r="H83" s="305" t="n">
        <f aca="false">H47</f>
        <v>1441.03530774817</v>
      </c>
      <c r="I83" s="214"/>
      <c r="J83" s="214"/>
      <c r="K83" s="215"/>
      <c r="L83" s="62"/>
      <c r="M83" s="304" t="s">
        <v>105</v>
      </c>
      <c r="N83" s="305" t="n">
        <f aca="false">H47</f>
        <v>1441.03530774817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61211.2357711859</v>
      </c>
      <c r="C85" s="469"/>
      <c r="D85" s="469"/>
      <c r="E85" s="462" t="n">
        <f aca="false">B85/(B58+B57)</f>
        <v>1748.89245060531</v>
      </c>
      <c r="F85" s="62"/>
      <c r="G85" s="287" t="s">
        <v>115</v>
      </c>
      <c r="H85" s="130" t="n">
        <f aca="false">((H83*H29)+H81)*1.2</f>
        <v>68972.6941754231</v>
      </c>
      <c r="I85" s="214"/>
      <c r="J85" s="214"/>
      <c r="K85" s="215"/>
      <c r="L85" s="62"/>
      <c r="M85" s="287" t="s">
        <v>115</v>
      </c>
      <c r="N85" s="130" t="n">
        <f aca="false">((N83*H29)+N81)</f>
        <v>57147.2451461859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518.530032753088</v>
      </c>
      <c r="C86" s="469" t="s">
        <v>232</v>
      </c>
      <c r="D86" s="214"/>
      <c r="E86" s="462" t="n">
        <f aca="false">B86/(B58+B57)</f>
        <v>14.8151437929454</v>
      </c>
      <c r="F86" s="62"/>
      <c r="G86" s="213" t="s">
        <v>116</v>
      </c>
      <c r="H86" s="299" t="n">
        <f aca="false">((((H83*H29)+H81))/(1-H70))*H70</f>
        <v>486.898809225456</v>
      </c>
      <c r="I86" s="214"/>
      <c r="J86" s="214"/>
      <c r="K86" s="215"/>
      <c r="L86" s="62"/>
      <c r="M86" s="213" t="s">
        <v>116</v>
      </c>
      <c r="N86" s="299" t="n">
        <f aca="false">(N85/(1-N70))*N70</f>
        <v>484.103327176242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61729.765803939</v>
      </c>
      <c r="C87" s="469"/>
      <c r="D87" s="471"/>
      <c r="E87" s="462" t="n">
        <f aca="false">E86+E85</f>
        <v>1763.70759439826</v>
      </c>
      <c r="F87" s="62"/>
      <c r="G87" s="284" t="s">
        <v>117</v>
      </c>
      <c r="H87" s="132" t="n">
        <f aca="false">IF(H110="YES",((H85+H86)-K114),(H85+H86))</f>
        <v>69459.5929846486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57631.3484733622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68.107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132.0228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110.019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1763.70759439826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1736.48982461621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1440.78371183405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1831.81459439826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1868.51262461621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1550.80271183405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1000.0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1736.48982461621</v>
      </c>
      <c r="H127" s="176" t="n">
        <f aca="false">IF(G105="YES",H89*H57,0)</f>
        <v>792.1368</v>
      </c>
      <c r="I127" s="176"/>
      <c r="J127" s="333" t="n">
        <f aca="false">H91</f>
        <v>1868.51262461621</v>
      </c>
      <c r="K127" s="215"/>
      <c r="L127" s="62"/>
      <c r="M127" s="332" t="n">
        <f aca="false">N90</f>
        <v>1440.78371183405</v>
      </c>
      <c r="N127" s="176" t="n">
        <f aca="false">IF(M105="YES",N89*N57,0)</f>
        <v>660.114</v>
      </c>
      <c r="O127" s="176"/>
      <c r="P127" s="176" t="n">
        <f aca="false">N91</f>
        <v>1550.80271183405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1763.70759439826</v>
      </c>
      <c r="B128" s="320" t="n">
        <f aca="false">IF(A105="YES",B89,0)</f>
        <v>68.107</v>
      </c>
      <c r="C128" s="324"/>
      <c r="D128" s="320" t="n">
        <f aca="false">B91</f>
        <v>1831.81459439826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1763.70759439826</v>
      </c>
      <c r="C131" s="316"/>
      <c r="D131" s="37" t="n">
        <f aca="false">IF(A105="YES",B89*B57,0)</f>
        <v>68.107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10418.9389476973</v>
      </c>
      <c r="H133" s="102" t="n">
        <f aca="false">IF(G105="YES",H89*H57,0)</f>
        <v>792.1368</v>
      </c>
      <c r="I133" s="220"/>
      <c r="J133" s="183" t="n">
        <f aca="false">H91*H57</f>
        <v>11211.0757476973</v>
      </c>
      <c r="K133" s="215"/>
      <c r="L133" s="62"/>
      <c r="M133" s="184" t="n">
        <f aca="false">N90*N57</f>
        <v>8644.70227100432</v>
      </c>
      <c r="N133" s="102" t="n">
        <f aca="false">IF(M105="YES",N89*N57,0)</f>
        <v>660.114</v>
      </c>
      <c r="O133" s="220"/>
      <c r="P133" s="183" t="n">
        <f aca="false">N91*N57</f>
        <v>9304.81627100432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1831.81459439826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110" t="n">
        <f aca="false">E15*0.000006</f>
        <v>0.35121</v>
      </c>
      <c r="N136" s="102" t="n">
        <f aca="false">IF(M105="YES",E15*0.000002,0)</f>
        <v>0.11707</v>
      </c>
      <c r="O136" s="102"/>
      <c r="P136" s="102" t="n">
        <f aca="false">M136+N136</f>
        <v>0.46828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1763.70759439826</v>
      </c>
      <c r="B137" s="37" t="n">
        <f aca="false">IF(A105="YES",B89,0)</f>
        <v>68.107</v>
      </c>
      <c r="C137" s="316"/>
      <c r="D137" s="37" t="n">
        <f aca="false">B91</f>
        <v>1831.81459439826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944.651041666667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944.651041666667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IF(A105="YES",G18*0.000002,0)*1.2*100</f>
        <v>13.8924</v>
      </c>
      <c r="C140" s="316"/>
      <c r="D140" s="342" t="n">
        <f aca="false">A140+B140</f>
        <v>55.5696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36.673</v>
      </c>
      <c r="H142" s="102" t="n">
        <f aca="false">G102-100</f>
        <v>99.99</v>
      </c>
      <c r="I142" s="102"/>
      <c r="J142" s="102" t="n">
        <f aca="false">(H139+J139+G142+H142)-H145</f>
        <v>1081.31404166667</v>
      </c>
      <c r="K142" s="104"/>
      <c r="L142" s="62"/>
      <c r="M142" s="110" t="n">
        <f aca="false">IF(M105="YES",((B36*N105)*0.1)*(M130),0)</f>
        <v>36.673</v>
      </c>
      <c r="N142" s="102" t="n">
        <f aca="false">M102-100</f>
        <v>99.99</v>
      </c>
      <c r="O142" s="102"/>
      <c r="P142" s="102" t="n">
        <f aca="false">(N139+P139+M142+N142)-N145</f>
        <v>1081.31404166667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1133.58125</v>
      </c>
      <c r="B148" s="102" t="n">
        <f aca="false">B102</f>
        <v>0</v>
      </c>
      <c r="C148" s="37"/>
      <c r="D148" s="37" t="n">
        <f aca="false">IF(A105="YES",(B40*B105)*B125,0)*0.1</f>
        <v>55.0095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1288.58075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1868.51262461621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1550.80271183405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1831.81459439826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1763.70759439826</v>
      </c>
      <c r="B177" s="354" t="n">
        <f aca="false">IF(A105="YES",B89,0)</f>
        <v>68.107</v>
      </c>
      <c r="C177" s="356"/>
      <c r="D177" s="354" t="n">
        <f aca="false">B91</f>
        <v>1831.81459439826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1763.70759439826</v>
      </c>
      <c r="C180" s="352"/>
      <c r="D180" s="102" t="n">
        <f aca="false">IF(A105="YES",B89*B57,0)</f>
        <v>68.107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1831.81459439826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1763.70759439826</v>
      </c>
      <c r="B186" s="102" t="n">
        <f aca="false">IF(A105="YES",B89,0)</f>
        <v>68.107</v>
      </c>
      <c r="C186" s="352"/>
      <c r="D186" s="102" t="n">
        <f aca="false">B91</f>
        <v>1831.81459439826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IF(A105="YES",G18*0.000002,0)*1.2*100</f>
        <v>13.8924</v>
      </c>
      <c r="C189" s="352"/>
      <c r="D189" s="364" t="n">
        <f aca="false">A189+B189</f>
        <v>55.5696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1133.58125</v>
      </c>
      <c r="B197" s="102" t="n">
        <f aca="false">B102</f>
        <v>0</v>
      </c>
      <c r="C197" s="102"/>
      <c r="D197" s="102" t="n">
        <f aca="false">IF(A105="YES",(B40*B105)*B125,0)*0.1</f>
        <v>55.0095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1288.58075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0.07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1133.58125</v>
      </c>
      <c r="C211" s="319" t="s">
        <v>219</v>
      </c>
      <c r="D211" s="369" t="n">
        <f aca="false">B225+E221+B221+B223</f>
        <v>650.085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9516.50375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1133.58125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9516.50375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550.095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518.530032753088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383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274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286</v>
      </c>
      <c r="B105" s="311" t="s">
        <v>267</v>
      </c>
      <c r="C105" s="311"/>
      <c r="D105" s="418" t="n">
        <v>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183</v>
      </c>
      <c r="B130" s="171" t="n">
        <v>1200</v>
      </c>
      <c r="C130" s="171"/>
      <c r="D130" s="214"/>
      <c r="E130" s="215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343</v>
      </c>
      <c r="B135" s="327" t="s">
        <v>252</v>
      </c>
      <c r="C135" s="327"/>
      <c r="D135" s="327" t="s">
        <v>120</v>
      </c>
      <c r="E135" s="215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344</v>
      </c>
      <c r="B138" s="214" t="s">
        <v>241</v>
      </c>
      <c r="C138" s="214"/>
      <c r="D138" s="214" t="s">
        <v>245</v>
      </c>
      <c r="E138" s="215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141</v>
      </c>
      <c r="B144" s="214" t="s">
        <v>310</v>
      </c>
      <c r="C144" s="214"/>
      <c r="D144" s="214" t="s">
        <v>311</v>
      </c>
      <c r="E144" s="215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313</v>
      </c>
      <c r="B147" s="214" t="s">
        <v>314</v>
      </c>
      <c r="C147" s="214"/>
      <c r="D147" s="214" t="s">
        <v>315</v>
      </c>
      <c r="E147" s="215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317</v>
      </c>
      <c r="B150" s="214" t="s">
        <v>318</v>
      </c>
      <c r="C150" s="214"/>
      <c r="D150" s="214"/>
      <c r="E150" s="215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323</v>
      </c>
      <c r="B154" s="214"/>
      <c r="C154" s="214"/>
      <c r="D154" s="281"/>
      <c r="E154" s="282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(B3+C3+E10+D3+E3)*1.2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1.0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1464.96</v>
      </c>
      <c r="C64" s="214" t="n">
        <v>10000.0</v>
      </c>
      <c r="D64" s="290" t="n">
        <f aca="false">B64</f>
        <v>1464.96</v>
      </c>
      <c r="E64" s="215"/>
      <c r="F64" s="62"/>
      <c r="G64" s="284" t="s">
        <v>91</v>
      </c>
      <c r="H64" s="132" t="n">
        <f aca="false">H61*H63</f>
        <v>1464.96</v>
      </c>
      <c r="I64" s="214"/>
      <c r="J64" s="290" t="n">
        <f aca="false">H64</f>
        <v>1464.96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209.28</v>
      </c>
      <c r="C67" s="214"/>
      <c r="D67" s="290"/>
      <c r="E67" s="215"/>
      <c r="F67" s="62"/>
      <c r="G67" s="284" t="s">
        <v>94</v>
      </c>
      <c r="H67" s="132" t="n">
        <f aca="false">H61*H66</f>
        <v>104.64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4" t="n">
        <f aca="false">IF(G18&gt;40000,325,0)</f>
        <v>0</v>
      </c>
      <c r="D75" s="214"/>
      <c r="E75" s="215"/>
      <c r="F75" s="62"/>
      <c r="G75" s="294" t="s">
        <v>280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2791.62666666667</v>
      </c>
      <c r="C81" s="214"/>
      <c r="D81" s="214"/>
      <c r="E81" s="215"/>
      <c r="F81" s="62"/>
      <c r="G81" s="302" t="s">
        <v>103</v>
      </c>
      <c r="H81" s="303" t="n">
        <f aca="false">SUM(J64:J80)</f>
        <v>3091.46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232.635555555556</v>
      </c>
      <c r="C82" s="214"/>
      <c r="D82" s="214"/>
      <c r="E82" s="215"/>
      <c r="F82" s="62"/>
      <c r="G82" s="213" t="s">
        <v>104</v>
      </c>
      <c r="H82" s="299" t="n">
        <f aca="false">H81/H29</f>
        <v>257.621666666667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10564.352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10924.152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74.5769100443727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77.1168455022186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10638.9289100444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10901.2788455022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886.577409170364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908.439903791851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886.577409170364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908.439903791851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284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351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390</v>
      </c>
      <c r="B105" s="311" t="n">
        <v>20.0</v>
      </c>
      <c r="C105" s="311"/>
      <c r="D105" s="106" t="s">
        <v>399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/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IF(A105="YES",B89,0)</f>
        <v>0</v>
      </c>
      <c r="C128" s="325"/>
      <c r="D128" s="320" t="n">
        <f aca="false">B91</f>
        <v>886.577409170364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908.439903791851</v>
      </c>
      <c r="H130" s="176" t="n">
        <f aca="false">IF(G105="YES",H89*H57,0)</f>
        <v>0</v>
      </c>
      <c r="I130" s="176"/>
      <c r="J130" s="333" t="n">
        <f aca="false">H91</f>
        <v>908.439903791851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886.577409170364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908.439903791851</v>
      </c>
      <c r="H133" s="102" t="n">
        <f aca="false">IF(G105="YES",H89*H57,0)</f>
        <v>0</v>
      </c>
      <c r="I133" s="220"/>
      <c r="J133" s="183" t="n">
        <f aca="false">H91*H57</f>
        <v>908.439903791851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886.577409170364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886.577409170364</v>
      </c>
      <c r="B137" s="37" t="n">
        <f aca="false">IF(A105="YES",B89,0)</f>
        <v>0</v>
      </c>
      <c r="C137" s="316"/>
      <c r="D137" s="37" t="n">
        <f aca="false">B91</f>
        <v>886.577409170364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104.64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1324.628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209.28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709.27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908.439903791851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886.577409170364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IF(A105="YES",B89,0)</f>
        <v>0</v>
      </c>
      <c r="C171" s="357"/>
      <c r="D171" s="354" t="n">
        <f aca="false">B91</f>
        <v>886.577409170364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886.577409170364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886.577409170364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886.577409170364</v>
      </c>
      <c r="B180" s="102" t="n">
        <f aca="false">IF(A105="YES",B89,0)</f>
        <v>0</v>
      </c>
      <c r="C180" s="352"/>
      <c r="D180" s="102" t="n">
        <f aca="false">B91</f>
        <v>886.577409170364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G18*0.000002*1.2*100</f>
        <v>5.02272</v>
      </c>
      <c r="C183" s="352"/>
      <c r="D183" s="364" t="n">
        <f aca="false">A183+B183</f>
        <v>20.09088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209.28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709.27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B209</f>
        <v>0.065</v>
      </c>
      <c r="C203" s="320" t="s">
        <v>217</v>
      </c>
      <c r="D203" s="369" t="n">
        <f aca="false">D64</f>
        <v>1464.96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209.28</v>
      </c>
      <c r="C205" s="319" t="s">
        <v>219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1595.67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1464.96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209.28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1595.67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74.5769100443727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46854.17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58535</v>
      </c>
      <c r="F15" s="62"/>
      <c r="G15" s="273" t="n">
        <f aca="false">E15</f>
        <v>58535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(B3+C3+E10+D3+E3)*1.2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389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4051.95</v>
      </c>
      <c r="C64" s="214" t="n">
        <v>10000</v>
      </c>
      <c r="D64" s="290" t="n">
        <f aca="false">B64</f>
        <v>4051.95</v>
      </c>
      <c r="E64" s="215"/>
      <c r="F64" s="62"/>
      <c r="G64" s="284" t="s">
        <v>91</v>
      </c>
      <c r="H64" s="132" t="n">
        <f aca="false">H61*H63</f>
        <v>4051.95</v>
      </c>
      <c r="I64" s="214"/>
      <c r="J64" s="290" t="n">
        <f aca="false">H64</f>
        <v>4051.95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578.85</v>
      </c>
      <c r="C67" s="214"/>
      <c r="D67" s="290"/>
      <c r="E67" s="215"/>
      <c r="F67" s="62"/>
      <c r="G67" s="284" t="s">
        <v>94</v>
      </c>
      <c r="H67" s="132" t="n">
        <f aca="false">H61*H66</f>
        <v>289.425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4"/>
      <c r="D75" s="214"/>
      <c r="E75" s="215"/>
      <c r="F75" s="62"/>
      <c r="G75" s="294" t="s">
        <v>280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5378.61666666667</v>
      </c>
      <c r="C81" s="214"/>
      <c r="D81" s="214"/>
      <c r="E81" s="215"/>
      <c r="F81" s="62"/>
      <c r="G81" s="302" t="s">
        <v>103</v>
      </c>
      <c r="H81" s="303" t="n">
        <f aca="false">SUM(J64:J80)</f>
        <v>5705.53333333333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448.218055555556</v>
      </c>
      <c r="C82" s="214"/>
      <c r="D82" s="214"/>
      <c r="E82" s="215"/>
      <c r="F82" s="62"/>
      <c r="G82" s="213" t="s">
        <v>104</v>
      </c>
      <c r="H82" s="299" t="n">
        <f aca="false">H81/H29</f>
        <v>475.461111111111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11390.6166666667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14061.04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96.4917103670835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99.2610730133118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11487.1083770338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14060.3110730133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957.259031419479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1171.69258941778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957.259031419479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1171.69258941778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351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389</v>
      </c>
      <c r="B105" s="311" t="n">
        <v>0.0</v>
      </c>
      <c r="C105" s="311"/>
      <c r="D105" s="106" t="s">
        <v>399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/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IF(A105="YES",B89,0)</f>
        <v>0</v>
      </c>
      <c r="C128" s="325"/>
      <c r="D128" s="320" t="n">
        <f aca="false">B91</f>
        <v>957.259031419479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1171.69258941778</v>
      </c>
      <c r="H130" s="176" t="n">
        <f aca="false">IF(G105="YES",H89*H57,0)</f>
        <v>0</v>
      </c>
      <c r="I130" s="176"/>
      <c r="J130" s="333" t="n">
        <f aca="false">H91</f>
        <v>1171.69258941778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8615.33128277531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1171.69258941778</v>
      </c>
      <c r="H133" s="102" t="n">
        <f aca="false">IF(G105="YES",H89*H57,0)</f>
        <v>0</v>
      </c>
      <c r="I133" s="220"/>
      <c r="J133" s="183" t="n">
        <f aca="false">H91*H57</f>
        <v>1171.69258941778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8615.33128277531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957.259031419479</v>
      </c>
      <c r="B137" s="37" t="n">
        <f aca="false">IF(A105="YES",B89,0)</f>
        <v>0</v>
      </c>
      <c r="C137" s="316"/>
      <c r="D137" s="37" t="n">
        <f aca="false">B91</f>
        <v>957.259031419479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289.425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G18*0.000002*1.2*100</f>
        <v>13.8924</v>
      </c>
      <c r="C140" s="316"/>
      <c r="D140" s="342" t="n">
        <f aca="false">A140+B140</f>
        <v>55.5696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1509.413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578.85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1078.84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1171.69258941778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957.259031419479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IF(A105="YES",B89,0)</f>
        <v>0</v>
      </c>
      <c r="C171" s="357"/>
      <c r="D171" s="354" t="n">
        <f aca="false">B91</f>
        <v>957.259031419479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8615.33128277531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8615.33128277531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957.259031419479</v>
      </c>
      <c r="B180" s="102" t="n">
        <f aca="false">IF(A105="YES",B89,0)</f>
        <v>0</v>
      </c>
      <c r="C180" s="352"/>
      <c r="D180" s="102" t="n">
        <f aca="false">B91</f>
        <v>957.259031419479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G18*0.000002*1.2*100</f>
        <v>13.8924</v>
      </c>
      <c r="C183" s="352"/>
      <c r="D183" s="364" t="n">
        <f aca="false">A183+B183</f>
        <v>55.5696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578.85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1078.84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B209</f>
        <v>0.065</v>
      </c>
      <c r="C203" s="320" t="s">
        <v>217</v>
      </c>
      <c r="D203" s="369" t="n">
        <f aca="false">D64</f>
        <v>4051.95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578.85</v>
      </c>
      <c r="C205" s="319" t="s">
        <v>219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3813.09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4051.95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578.85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3813.09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96.4917103670835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2024-03-18T12:41:06Z</dcterms:modified>
  <cp:revision>913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