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CP (Formula 3) - PCH" sheetId="1" state="visible" r:id="rId2"/>
    <sheet name="CP (Formula 3) - BCH" sheetId="2" state="visible" r:id="rId3"/>
    <sheet name="Formula1-BCH" sheetId="3" state="visible" r:id="rId4"/>
    <sheet name="CP (Formula 2) - PCP" sheetId="4" state="visible" r:id="rId5"/>
    <sheet name="HPNR (Formula 3) - PCP" sheetId="5" state="visible" r:id="rId6"/>
    <sheet name="HPNR (Formula 3) - CP" sheetId="6" state="visible" r:id="rId7"/>
    <sheet name="HPNR (Formula 3) - HPR" sheetId="7" state="visible" r:id="rId8"/>
    <sheet name="HPNR (Formula 3) - FL" sheetId="8" state="visible" r:id="rId9"/>
    <sheet name="HPNR (Formula 3) - PCH" sheetId="9" state="visible" r:id="rId10"/>
    <sheet name="HPNR (Formula 3) - BCH" sheetId="10" state="visible" r:id="rId11"/>
    <sheet name="HPNR (Formula 3) - HPNR" sheetId="11" state="visible" r:id="rId12"/>
    <sheet name="HirePurchaseNonRegulated" sheetId="12" state="visible" r:id="rId13"/>
    <sheet name="FL (Formula 3) - FL" sheetId="13" state="visible" r:id="rId14"/>
    <sheet name="FL (Formula 3) - PCH" sheetId="14" state="visible" r:id="rId15"/>
    <sheet name="FL (Formula 3) - BCH" sheetId="15" state="visible" r:id="rId16"/>
    <sheet name="PersonalContractPurchase" sheetId="16" state="visible" r:id="rId17"/>
    <sheet name="ContractPurchase" sheetId="17" state="visible" r:id="rId18"/>
    <sheet name="HirePurchaseRegulated" sheetId="18" state="visible" r:id="rId19"/>
    <sheet name="Formula1-FL" sheetId="19" state="visible" r:id="rId20"/>
    <sheet name="Formula1-PCH" sheetId="20" state="visible" r:id="rId21"/>
    <sheet name="FL (Formula 3) - BCH, PCH, FL" sheetId="21" state="visible" r:id="rId22"/>
    <sheet name="BCH (Formula 3) - PCH" sheetId="22" state="visible" r:id="rId23"/>
    <sheet name="BCH (Formula 3) - BCH" sheetId="23" state="visible" r:id="rId24"/>
    <sheet name="CP (Formula 2) - CP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<sst xmlns="http://schemas.openxmlformats.org/spreadsheetml/2006/main" count="10339" uniqueCount="360">
  <si>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</si>
  <si>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</si>
  <si>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</si>
  <si>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</si>
  <si>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</si>
  <si>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</si>
  <si>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</si>
  <si>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</si>
  <si>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</si>
  <si>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</si>
  <si>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RFL &amp; FRF </t>
  </si>
  <si>
    <t xml:space="preserve">Subtotal after discounts         </t>
  </si>
  <si>
    <t xml:space="preserve">Manufacturer delivery charges           </t>
  </si>
  <si>
    <t xml:space="preserve">Cost price ex. VAT &amp; RFL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</si>
  <si>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</si>
  <si>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</si>
  <si>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</si>
  <si>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</si>
  <si>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</si>
  <si>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</si>
  <si>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</si>
  <si>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</si>
  <si>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</si>
  <si>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</si>
  <si>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</si>
  <si>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</si>
  <si>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</si>
  <si>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</si>
  <si>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</si>
  <si>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</si>
  <si>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</si>
  <si>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</si>
  <si>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</si>
  <si>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</si>
  <si>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</si>
  <si>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</si>
  <si>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</si>
  <si>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</si>
  <si>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</si>
  <si>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</si>
  <si>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</si>
  <si>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</si>
  <si>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</si>
  <si>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</si>
  <si>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</si>
  <si>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</si>
  <si>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Maintenance Cost (SMR) Annual Value</t>
  </si>
  <si>
    <t xml:space="preserve">12</t>
  </si>
  <si>
    <t xml:space="preserve">Cash deposit</t>
  </si>
  <si>
    <t xml:space="preserve">5000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</si>
  <si>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</si>
  <si>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</si>
  <si>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</si>
  <si>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</si>
  <si>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</si>
  <si>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</si>
  <si>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</si>
  <si>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</si>
  <si>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</si>
  <si>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</si>
  <si>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</si>
  <si>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</si>
  <si>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</si>
  <si>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</si>
  <si>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</si>
  <si>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</si>
  <si>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</si>
  <si>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</si>
  <si>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</si>
  <si>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</si>
  <si>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</si>
  <si>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</si>
  <si>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</si>
  <si>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</si>
  <si>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</si>
  <si>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</si>
  <si>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</si>
  <si>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</si>
  <si>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</si>
  <si>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</si>
  <si>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</si>
  <si>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Term (months)</t>
  </si>
  <si>
    <t xml:space="preserve">Mileage per annum</t>
  </si>
  <si>
    <t xml:space="preserve">without maintenance Holding cost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</si>
  <si>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</si>
  <si>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</si>
  <si>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</si>
  <si>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</si>
  <si>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</si>
  <si>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</si>
  <si>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</si>
  <si>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</si>
  <si>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</si>
  <si>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</si>
  <si>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</si>
  <si>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</si>
  <si>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</si>
  <si>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</si>
  <si>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</si>
  <si>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</si>
  <si>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</si>
  <si>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</si>
  <si>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</si>
  <si>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</si>
  <si>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</si>
  <si>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</si>
  <si>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</si>
  <si>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</si>
  <si>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</si>
  <si>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</si>
  <si>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</si>
  <si>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</si>
  <si>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</si>
  <si>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</si>
  <si>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</si>
  <si>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</si>
  <si>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</si>
  <si>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</si>
  <si>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</si>
  <si>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</si>
  <si>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</si>
  <si>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</si>
  <si>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 Terminal pause with 9 down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</si>
  <si>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</si>
  <si>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</si>
  <si>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</si>
  <si>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</si>
  <si>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</si>
  <si>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</si>
  <si>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</si>
  <si>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</si>
  <si>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</si>
  <si>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</si>
  <si>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</si>
  <si>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</si>
  <si>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</si>
  <si>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200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</si>
  <si>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</si>
  <si>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</si>
  <si>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</si>
  <si>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</si>
  <si>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</si>
  <si>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</si>
  <si>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</si>
  <si>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</si>
  <si>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</si>
  <si>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</si>
  <si>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</si>
  <si>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</si>
  <si>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maint. rental</t>
  </si>
  <si>
    <t xml:space="preserve">Total monthly rental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</si>
  <si>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</si>
  <si>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</si>
  <si>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</si>
  <si>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Monthly finance rental (Ex. VAT)</t>
  </si>
  <si>
    <t xml:space="preserve">Monthly maintenance rental (Ex. VAT)</t>
  </si>
  <si>
    <t xml:space="preserve">Initial finance rental</t>
  </si>
  <si>
    <t xml:space="preserve">Initial maint. rental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</si>
  <si>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</si>
  <si>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</si>
  <si>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</si>
  <si>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</si>
  <si>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</si>
  <si>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</si>
  <si>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Total initial rental</t>
  </si>
  <si>
    <t xml:space="preserve">Part exchange value</t>
  </si>
  <si>
    <t xml:space="preserve">Followed by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</si>
  <si>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</si>
  <si>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</si>
  <si>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</si>
  <si>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</si>
  <si>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</si>
  <si>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</si>
  <si>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Document fee (In. VAT)</t>
  </si>
  <si>
    <t xml:space="preserve">Default commission (Ex. VAT)</t>
  </si>
  <si>
    <t xml:space="preserve">Upsell commission (Ex. VAT)</t>
  </si>
  <si>
    <t xml:space="preserve">Document fee (Ex. VAT)</t>
  </si>
  <si>
    <t xml:space="preserve">Pence per excess mile - main.</t>
  </si>
  <si>
    <t xml:space="preserve">Pence per excess mile - total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</si>
  <si>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</si>
  <si>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</si>
  <si>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</si>
  <si>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</si>
  <si>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Requested</t>
  </si>
  <si>
    <t xml:space="preserve">Subsidy Commission Deduction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</si>
  <si>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</si>
  <si>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</si>
  <si>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</si>
  <si>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</si>
  <si>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</si>
  <si>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</si>
  <si>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</si>
  <si>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Document fee comm.</t>
  </si>
  <si>
    <t xml:space="preserve">Referrer comm.</t>
  </si>
  <si>
    <t xml:space="preserve">        Configuration</t>
  </si>
  <si>
    <t xml:space="preserve">Base interest rate</t>
  </si>
  <si>
    <t xml:space="preserve">Finance margin</t>
  </si>
  <si>
    <t xml:space="preserve">Deductions</t>
  </si>
  <si>
    <t xml:space="preserve">Additional margin</t>
  </si>
  <si>
    <t xml:space="preserve">Total margin</t>
  </si>
  <si>
    <t xml:space="preserve">Default broker margin</t>
  </si>
  <si>
    <t xml:space="preserve">Broker upsell margin</t>
  </si>
  <si>
    <t xml:space="preserve">Document fee margin</t>
  </si>
  <si>
    <t xml:space="preserve">Referrer margin</t>
  </si>
  <si>
    <t xml:space="preserve">Maintnance Margin</t>
  </si>
  <si>
    <t xml:space="preserve">            Additional items</t>
  </si>
  <si>
    <t xml:space="preserve">Tracker cost</t>
  </si>
  <si>
    <t xml:space="preserve">Tracker subs per month</t>
  </si>
  <si>
    <t xml:space="preserve">Total tracker cost</t>
  </si>
  <si>
    <t xml:space="preserve">Contingency insurance multiplier</t>
  </si>
  <si>
    <t xml:space="preserve">Insurance tax</t>
  </si>
  <si>
    <t xml:space="preserve">Contingency insurance value</t>
  </si>
  <si>
    <t xml:space="preserve">Disposal cost</t>
  </si>
  <si>
    <t xml:space="preserve">Additional RFL per annum</t>
  </si>
  <si>
    <t xml:space="preserve">Delivery &amp; collection cost</t>
  </si>
  <si>
    <t xml:space="preserve">Additional RFL (List price over 40k) per annum</t>
  </si>
  <si>
    <t xml:space="preserve">50</t>
  </si>
  <si>
    <t xml:space="preserve">Holding cost - formula - 1</t>
  </si>
  <si>
    <t xml:space="preserve">       Summary</t>
  </si>
  <si>
    <t xml:space="preserve">0</t>
  </si>
  <si>
    <t xml:space="preserve">Total monthly holding cost</t>
  </si>
  <si>
    <t xml:space="preserve">Advance for Holding Cost (Retrived From OTR Screen)</t>
  </si>
  <si>
    <t xml:space="preserve">Subsequence rental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</si>
  <si>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</si>
  <si>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</si>
  <si>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</si>
  <si>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</si>
  <si>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</si>
  <si>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</si>
  <si>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Residual</t>
  </si>
  <si>
    <t xml:space="preserve">Monthly Interest (total/12)</t>
  </si>
  <si>
    <t xml:space="preserve">Monthly Mintenance</t>
  </si>
  <si>
    <t xml:space="preserve">Finance Cost</t>
  </si>
  <si>
    <t xml:space="preserve">% CAP residual value used</t>
  </si>
  <si>
    <t xml:space="preserve">% CAP maintenance cost used</t>
  </si>
  <si>
    <t xml:space="preserve">Step 1 (Residual/(1+r)^(n+1) ))</t>
  </si>
  <si>
    <t xml:space="preserve">100</t>
  </si>
  <si>
    <t xml:space="preserve">Step 2 (Advance - (Residual/(1+r)^(n+1) )))</t>
  </si>
  <si>
    <t xml:space="preserve">Step 3 ((1-1/(1+r)^n )/r)</t>
  </si>
  <si>
    <t xml:space="preserve">Step 4 (Finance Cost)</t>
  </si>
  <si>
    <t xml:space="preserve">    Own book holding cost matrix</t>
  </si>
  <si>
    <t xml:space="preserve">Holding Cost (Monthly)
Finance Cost + Maintenance Cost</t>
  </si>
  <si>
    <t xml:space="preserve">Target Holding cost</t>
  </si>
  <si>
    <t xml:space="preserve">Select Caste</t>
  </si>
  <si>
    <t xml:space="preserve">Referrer commission (Ex. VAT)</t>
  </si>
  <si>
    <t xml:space="preserve">           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</si>
  <si>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</si>
  <si>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</si>
  <si>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</si>
  <si>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</si>
  <si>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</si>
  <si>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</si>
  <si>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</si>
  <si>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</si>
  <si>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Optional final payment</t>
  </si>
  <si>
    <t xml:space="preserve">Monthly maint. Payment</t>
  </si>
  <si>
    <t xml:space="preserve">Pence per excess mile - maint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</si>
  <si>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</si>
  <si>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</si>
  <si>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</si>
  <si>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</si>
  <si>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</si>
  <si>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</si>
  <si>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</si>
  <si>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</si>
  <si>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</si>
  <si>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</si>
  <si>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</si>
  <si>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</si>
  <si>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</si>
  <si>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</si>
  <si>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</si>
  <si>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</si>
  <si>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</si>
  <si>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</si>
  <si>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</si>
  <si>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</si>
  <si>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</si>
  <si>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</si>
  <si>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</si>
  <si>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</si>
  <si>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</si>
  <si>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</si>
  <si>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</si>
  <si>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</si>
  <si>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</si>
  <si>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</si>
  <si>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</si>
  <si>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</si>
  <si>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</si>
  <si>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</si>
  <si>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</si>
  <si>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</si>
  <si>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</si>
  <si>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</si>
  <si>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</si>
  <si>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</si>
  <si>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</si>
  <si>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</si>
  <si>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</si>
  <si>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</si>
  <si>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</si>
  <si>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</si>
  <si>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</si>
  <si>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</si>
  <si>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</si>
  <si>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</si>
  <si>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</si>
  <si>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</si>
  <si>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</si>
  <si>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</si>
  <si>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</si>
  <si>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</si>
  <si>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</si>
  <si>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</si>
  <si>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</si>
  <si>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</si>
  <si>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Initial finance rental(Ex. VAT)</t>
  </si>
  <si>
    <t xml:space="preserve">Finance Rental Monthly</t>
  </si>
  <si>
    <t xml:space="preserve">Maintenance monthly</t>
  </si>
  <si>
    <t xml:space="preserve">TOTAL CASH PURCHASE</t>
  </si>
  <si>
    <t xml:space="preserve">48877.50</t>
  </si>
  <si>
    <t xml:space="preserve">Term (months) </t>
  </si>
  <si>
    <t xml:space="preserve">Document Fee</t>
  </si>
  <si>
    <t xml:space="preserve">CASH DEPOSIT</t>
  </si>
  <si>
    <t xml:space="preserve">Total Cap Maint. Value</t>
  </si>
  <si>
    <t xml:space="preserve">470.00</t>
  </si>
  <si>
    <t xml:space="preserve">BALANCE TO FINANCE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</si>
  <si>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</si>
  <si>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</si>
  <si>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</si>
  <si>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</si>
  <si>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</si>
  <si>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</si>
  <si>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</si>
  <si>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</si>
  <si>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</si>
  <si>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199.99</t>
  </si>
  <si>
    <t xml:space="preserve">Hire purchase – Regulated</t>
  </si>
  <si>
    <t xml:space="preserve">5.28</t>
  </si>
  <si>
    <t xml:space="preserve">Step 1 (Residual/(1+r)^(n+1) ))  = X</t>
  </si>
  <si>
    <t xml:space="preserve">Step 2 (Advance - (Residual/(1+r)^(n+1) )))  Y</t>
  </si>
  <si>
    <t xml:space="preserve">Step 3 ((1-1/(1+r)^n )/r)  Z</t>
  </si>
  <si>
    <t xml:space="preserve">A1 Credit</t>
  </si>
  <si>
    <t xml:space="preserve">60</t>
  </si>
  <si>
    <t xml:space="preserve">2</t>
  </si>
  <si>
    <t xml:space="preserve">1</t>
  </si>
  <si>
    <t xml:space="preserve">Customer Quote – Finance Lease</t>
  </si>
  <si>
    <t xml:space="preserve">239.99</t>
  </si>
  <si>
    <t xml:space="preserve">RFL included?</t>
  </si>
  <si>
    <t xml:space="preserve">Upload document</t>
  </si>
  <si>
    <t xml:space="preserve">`</t>
  </si>
  <si>
    <t>YES</t>
  </si>
  <si>
    <t>NO</t>
  </si>
  <si>
    <t>0</t>
  </si>
  <si>
    <t>100</t>
  </si>
  <si>
    <t>A1 Credit</t>
  </si>
  <si>
    <t>199.99</t>
  </si>
  <si>
    <t>Limited Credit</t>
  </si>
  <si>
    <t>239.99</t>
  </si>
</sst>
</file>

<file path=xl/styles.xml><?xml version="1.0" encoding="utf-8"?>
<styleSheet xmlns="http://schemas.openxmlformats.org/spreadsheetml/2006/main">
  <numFmts count="24">
    <numFmt numFmtId="164" formatCode="General"/>
    <numFmt numFmtId="165" formatCode="\£#,##0.00"/>
    <numFmt numFmtId="166" formatCode="0.00%"/>
    <numFmt numFmtId="167" formatCode="General"/>
    <numFmt numFmtId="168" formatCode="[$-409]m/d/yyyy"/>
    <numFmt numFmtId="169" formatCode="0%"/>
    <numFmt numFmtId="170" formatCode="0.00"/>
    <numFmt numFmtId="171" formatCode="#,##0.00"/>
    <numFmt numFmtId="172" formatCode="#,##0.0000000"/>
    <numFmt numFmtId="173" formatCode="_(* #,##0.00_);_(* \(#,##0.00\);_(* \-??_);_(@_)"/>
    <numFmt numFmtId="174" formatCode="_(* #,##0_);_(* \(#,##0\);_(* \-??_);_(@_)"/>
    <numFmt numFmtId="175" formatCode="\£#,##0.00000"/>
    <numFmt numFmtId="176" formatCode="\£#,##0.0000"/>
    <numFmt numFmtId="177" formatCode="0.0000%"/>
    <numFmt numFmtId="178" formatCode="&quot;TRUE&quot;;&quot;TRUE&quot;;&quot;FALSE&quot;"/>
    <numFmt numFmtId="179" formatCode="#,##0.000000000"/>
    <numFmt numFmtId="180" formatCode="#,##0.0"/>
    <numFmt numFmtId="181" formatCode="0.0000000000000"/>
    <numFmt numFmtId="182" formatCode="0.0000"/>
    <numFmt numFmtId="183" formatCode="0.000%"/>
    <numFmt numFmtId="184" formatCode="#,##0.00000"/>
    <numFmt numFmtId="185" formatCode="#,##0.000"/>
    <numFmt numFmtId="186" formatCode="#,##0.0000000000"/>
    <numFmt numFmtId="187" formatCode="#,##0.0000"/>
  </numFmts>
  <fonts count="2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4"/>
      <color rgb="FFC9211E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C9211E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EBEB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70AD47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FFEBEB"/>
        <bgColor rgb="FFE7E6E6"/>
      </patternFill>
    </fill>
    <fill>
      <patternFill patternType="solid">
        <fgColor rgb="FFD0CECE"/>
        <bgColor rgb="FFD8D8D8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2A6099"/>
        <bgColor rgb="FF666699"/>
      </patternFill>
    </fill>
    <fill>
      <patternFill patternType="solid">
        <fgColor rgb="FFAFD095"/>
        <bgColor rgb="FFA9D18E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9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6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3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17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EBEB"/>
      <rgbColor rgb="FFE7E6E6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9D9D9"/>
      <rgbColor rgb="FFA8D08D"/>
      <rgbColor rgb="FFAFD095"/>
      <rgbColor rgb="FFFF99CC"/>
      <rgbColor rgb="FFCC99FF"/>
      <rgbColor rgb="FFD8D8D8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96" colorId="64" zoomScale="75" zoomScaleNormal="75" zoomScalePageLayoutView="100" workbookViewId="0">
      <selection pane="topLeft" activeCell="B225" activeCellId="0" sqref="B225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44944</v>
      </c>
      <c r="E29" s="41"/>
      <c r="F29" s="2"/>
      <c r="G29" s="33" t="s">
        <v>40</v>
      </c>
      <c r="H29" s="42" t="n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47</v>
      </c>
      <c r="B34" s="51" t="s">
        <v>48</v>
      </c>
      <c r="C34" s="48" t="s">
        <v>49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51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57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n">
        <f aca="false">IF(D41="Yes",A44, 0)</f>
        <v>0</v>
      </c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65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n">
        <v>0</v>
      </c>
      <c r="B44" s="45" t="s">
        <v>71</v>
      </c>
      <c r="C44" s="45"/>
      <c r="D44" s="45" t="n">
        <v>0</v>
      </c>
      <c r="E44" s="45"/>
      <c r="F44" s="2"/>
      <c r="G44" s="53" t="s">
        <v>72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73</v>
      </c>
      <c r="H45" s="53" t="n">
        <f aca="false">(H39-H44)+H41</f>
        <v>-220.625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74</v>
      </c>
      <c r="B46" s="48" t="s">
        <v>75</v>
      </c>
      <c r="C46" s="48" t="s">
        <v>76</v>
      </c>
      <c r="D46" s="48"/>
      <c r="E46" s="64"/>
      <c r="F46" s="2" t="n">
        <v>0</v>
      </c>
      <c r="G46" s="53" t="s">
        <v>77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74</v>
      </c>
      <c r="B47" s="48"/>
      <c r="C47" s="48"/>
      <c r="D47" s="48"/>
      <c r="E47" s="64"/>
      <c r="F47" s="2"/>
      <c r="G47" s="53" t="s">
        <v>78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79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80</v>
      </c>
      <c r="H49" s="53" t="n">
        <f aca="false">H45+H48+H47</f>
        <v>-217.958333333333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48"/>
      <c r="E50" s="64"/>
      <c r="F50" s="2"/>
      <c r="G50" s="53" t="s">
        <v>83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H49</f>
        <v>-217.958333333333</v>
      </c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74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-217.958333333333</v>
      </c>
      <c r="C58" s="71"/>
      <c r="D58" s="31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84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84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84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85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85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85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86</v>
      </c>
      <c r="B68" s="84" t="n">
        <v>0.07</v>
      </c>
      <c r="C68" s="13"/>
      <c r="D68" s="13"/>
      <c r="E68" s="14"/>
      <c r="F68" s="2"/>
      <c r="G68" s="83" t="s">
        <v>86</v>
      </c>
      <c r="H68" s="84" t="n">
        <v>0.07</v>
      </c>
      <c r="I68" s="13"/>
      <c r="J68" s="13"/>
      <c r="K68" s="14"/>
      <c r="L68" s="2"/>
      <c r="M68" s="83" t="s">
        <v>86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87</v>
      </c>
      <c r="B69" s="10" t="n">
        <f aca="false">B68+(B68*0.25*(H29/12-1))</f>
        <v>0.07</v>
      </c>
      <c r="C69" s="13"/>
      <c r="D69" s="13"/>
      <c r="E69" s="14"/>
      <c r="F69" s="2"/>
      <c r="G69" s="6" t="s">
        <v>87</v>
      </c>
      <c r="H69" s="10" t="n">
        <f aca="false">H68+(H68*0.25*(H29/12-1))</f>
        <v>0.07</v>
      </c>
      <c r="I69" s="13"/>
      <c r="J69" s="13"/>
      <c r="K69" s="14"/>
      <c r="L69" s="2"/>
      <c r="M69" s="6" t="s">
        <v>87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88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88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88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89</v>
      </c>
      <c r="B71" s="84" t="n">
        <v>0.01</v>
      </c>
      <c r="C71" s="13"/>
      <c r="D71" s="13"/>
      <c r="E71" s="14"/>
      <c r="F71" s="2"/>
      <c r="G71" s="83" t="s">
        <v>89</v>
      </c>
      <c r="H71" s="84" t="n">
        <v>0.005</v>
      </c>
      <c r="I71" s="13"/>
      <c r="J71" s="13"/>
      <c r="K71" s="14"/>
      <c r="L71" s="2"/>
      <c r="M71" s="83" t="s">
        <v>89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90</v>
      </c>
      <c r="B72" s="10" t="n">
        <f aca="false">B71+(B71*0.5*(H29/12-1))</f>
        <v>0.01</v>
      </c>
      <c r="C72" s="13"/>
      <c r="D72" s="13"/>
      <c r="E72" s="14"/>
      <c r="F72" s="2"/>
      <c r="G72" s="6" t="s">
        <v>90</v>
      </c>
      <c r="H72" s="10" t="n">
        <f aca="false">H71+(H71*0.5*(H29/12-1))</f>
        <v>0.005</v>
      </c>
      <c r="I72" s="13"/>
      <c r="J72" s="13"/>
      <c r="K72" s="14"/>
      <c r="L72" s="2"/>
      <c r="M72" s="6" t="s">
        <v>90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91</v>
      </c>
      <c r="B73" s="85" t="n">
        <f aca="false">B67*B72</f>
        <v>578.85</v>
      </c>
      <c r="C73" s="13"/>
      <c r="D73" s="12"/>
      <c r="E73" s="14"/>
      <c r="F73" s="2"/>
      <c r="G73" s="77" t="s">
        <v>91</v>
      </c>
      <c r="H73" s="85" t="n">
        <f aca="false">H67*H72</f>
        <v>289.425</v>
      </c>
      <c r="I73" s="13"/>
      <c r="J73" s="12"/>
      <c r="K73" s="14"/>
      <c r="L73" s="2"/>
      <c r="M73" s="77" t="s">
        <v>91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92</v>
      </c>
      <c r="B74" s="84" t="n">
        <v>0.0075</v>
      </c>
      <c r="C74" s="13"/>
      <c r="D74" s="13"/>
      <c r="E74" s="14"/>
      <c r="F74" s="2"/>
      <c r="G74" s="83" t="s">
        <v>92</v>
      </c>
      <c r="H74" s="84" t="n">
        <v>0.0075</v>
      </c>
      <c r="I74" s="13"/>
      <c r="J74" s="13"/>
      <c r="K74" s="14"/>
      <c r="L74" s="2"/>
      <c r="M74" s="83" t="s">
        <v>92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93</v>
      </c>
      <c r="B75" s="86" t="n">
        <v>0.12</v>
      </c>
      <c r="C75" s="13"/>
      <c r="D75" s="13"/>
      <c r="E75" s="14"/>
      <c r="F75" s="2"/>
      <c r="G75" s="3" t="s">
        <v>93</v>
      </c>
      <c r="H75" s="86" t="n">
        <v>0.12</v>
      </c>
      <c r="I75" s="13"/>
      <c r="J75" s="13"/>
      <c r="K75" s="14"/>
      <c r="L75" s="2"/>
      <c r="M75" s="3" t="s">
        <v>93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94</v>
      </c>
      <c r="B76" s="87" t="n">
        <f aca="false">B74*(1+B75)</f>
        <v>0.0084</v>
      </c>
      <c r="C76" s="13"/>
      <c r="D76" s="13"/>
      <c r="E76" s="14"/>
      <c r="F76" s="2"/>
      <c r="G76" s="77" t="s">
        <v>94</v>
      </c>
      <c r="H76" s="87" t="n">
        <f aca="false">H74*(1+H75)</f>
        <v>0.0084</v>
      </c>
      <c r="I76" s="13"/>
      <c r="J76" s="13"/>
      <c r="K76" s="14"/>
      <c r="L76" s="2"/>
      <c r="M76" s="77" t="s">
        <v>94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95</v>
      </c>
      <c r="B77" s="88" t="n">
        <v>200</v>
      </c>
      <c r="C77" s="13"/>
      <c r="D77" s="13"/>
      <c r="E77" s="14"/>
      <c r="F77" s="2"/>
      <c r="G77" s="83" t="s">
        <v>95</v>
      </c>
      <c r="H77" s="88" t="n">
        <v>160</v>
      </c>
      <c r="I77" s="13"/>
      <c r="J77" s="13"/>
      <c r="K77" s="14"/>
      <c r="L77" s="2"/>
      <c r="M77" s="83" t="s">
        <v>95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96</v>
      </c>
      <c r="B78" s="89" t="n">
        <v>5</v>
      </c>
      <c r="C78" s="13"/>
      <c r="D78" s="13"/>
      <c r="E78" s="14"/>
      <c r="F78" s="2"/>
      <c r="G78" s="3" t="s">
        <v>96</v>
      </c>
      <c r="H78" s="89" t="n">
        <v>4.5</v>
      </c>
      <c r="I78" s="13"/>
      <c r="J78" s="13"/>
      <c r="K78" s="14"/>
      <c r="L78" s="2"/>
      <c r="M78" s="3" t="s">
        <v>96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97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97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97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98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98</v>
      </c>
      <c r="H80" s="88" t="n">
        <v>150</v>
      </c>
      <c r="I80" s="13"/>
      <c r="J80" s="13"/>
      <c r="K80" s="14"/>
      <c r="L80" s="2"/>
      <c r="M80" s="91" t="s">
        <v>98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99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99</v>
      </c>
      <c r="H81" s="89" t="n">
        <f aca="false">IF(G18&gt;40000, 325, 0)</f>
        <v>325</v>
      </c>
      <c r="I81" s="13"/>
      <c r="J81" s="13"/>
      <c r="K81" s="14"/>
      <c r="L81" s="2"/>
      <c r="M81" s="93" t="s">
        <v>99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100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100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100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101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101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101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102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103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103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104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104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104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105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105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105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106</v>
      </c>
      <c r="B87" s="100" t="n">
        <f aca="false">SUM(D70:D86)</f>
        <v>4755.28333333333</v>
      </c>
      <c r="C87" s="13"/>
      <c r="D87" s="13"/>
      <c r="E87" s="14"/>
      <c r="F87" s="2"/>
      <c r="G87" s="99" t="s">
        <v>106</v>
      </c>
      <c r="H87" s="100" t="n">
        <f aca="false">SUM(J70:J86)</f>
        <v>7205.53333333333</v>
      </c>
      <c r="I87" s="13"/>
      <c r="J87" s="13"/>
      <c r="K87" s="14"/>
      <c r="L87" s="2"/>
      <c r="M87" s="99" t="s">
        <v>106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107</v>
      </c>
      <c r="B88" s="11" t="n">
        <f aca="false">B87/H29</f>
        <v>396.273611111111</v>
      </c>
      <c r="C88" s="13"/>
      <c r="D88" s="13"/>
      <c r="E88" s="14"/>
      <c r="F88" s="2"/>
      <c r="G88" s="6" t="s">
        <v>107</v>
      </c>
      <c r="H88" s="11" t="n">
        <f aca="false">H87/H29</f>
        <v>600.461111111111</v>
      </c>
      <c r="I88" s="13"/>
      <c r="J88" s="13"/>
      <c r="K88" s="14"/>
      <c r="L88" s="2"/>
      <c r="M88" s="6" t="s">
        <v>107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108</v>
      </c>
      <c r="B89" s="102" t="n">
        <f aca="false">H50</f>
        <v>-217.958333333333</v>
      </c>
      <c r="C89" s="13"/>
      <c r="D89" s="13"/>
      <c r="E89" s="14"/>
      <c r="F89" s="2"/>
      <c r="G89" s="101" t="s">
        <v>108</v>
      </c>
      <c r="H89" s="102" t="n">
        <f aca="false">H46</f>
        <v>0</v>
      </c>
      <c r="I89" s="13"/>
      <c r="J89" s="13"/>
      <c r="K89" s="14"/>
      <c r="L89" s="2"/>
      <c r="M89" s="101" t="s">
        <v>108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109</v>
      </c>
      <c r="B91" s="103" t="n">
        <f aca="false">((B89*H29)+B87)*1.2</f>
        <v>2567.74</v>
      </c>
      <c r="C91" s="13"/>
      <c r="D91" s="13"/>
      <c r="E91" s="14"/>
      <c r="F91" s="2"/>
      <c r="G91" s="80" t="s">
        <v>109</v>
      </c>
      <c r="H91" s="103" t="n">
        <f aca="false">((H89*H29)+H87)*1.2</f>
        <v>8646.64</v>
      </c>
      <c r="I91" s="13"/>
      <c r="J91" s="13"/>
      <c r="K91" s="14"/>
      <c r="L91" s="2"/>
      <c r="M91" s="80" t="s">
        <v>109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110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110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110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111</v>
      </c>
      <c r="B93" s="85" t="n">
        <f aca="false">IF(B116="YES",((B91+B92)-E120),(B91+B92))</f>
        <v>-1414.13355788624</v>
      </c>
      <c r="C93" s="13"/>
      <c r="D93" s="13"/>
      <c r="E93" s="14"/>
      <c r="F93" s="2"/>
      <c r="G93" s="77" t="s">
        <v>111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111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IF(B105=Z104,(((H41*A32)+(H41*A32)*(B111/100))/(B64)),(((H41*A32)+(H41*A32)*(B111/100))/(B63+B64)))*1.2</f>
        <v>0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112</v>
      </c>
      <c r="B96" s="106" t="n">
        <f aca="false">IF(B105=Z104, (B93-D111)/(B64), B93/(B63+B64))</f>
        <v>-117.844463157187</v>
      </c>
      <c r="C96" s="13"/>
      <c r="D96" s="13"/>
      <c r="E96" s="14"/>
      <c r="F96" s="2"/>
      <c r="G96" s="105" t="s">
        <v>112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112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113</v>
      </c>
      <c r="B97" s="108" t="n">
        <f aca="false">IF(A111="YES", B96+B95, B96)</f>
        <v>-117.844463157187</v>
      </c>
      <c r="C97" s="13"/>
      <c r="D97" s="109"/>
      <c r="E97" s="14"/>
      <c r="F97" s="2"/>
      <c r="G97" s="107" t="s">
        <v>113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113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2"/>
      <c r="G100" s="30" t="s">
        <v>115</v>
      </c>
      <c r="H100" s="30"/>
      <c r="I100" s="30"/>
      <c r="J100" s="30"/>
      <c r="K100" s="30"/>
      <c r="L100" s="2"/>
      <c r="M100" s="30" t="s">
        <v>116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2"/>
      <c r="G102" s="32" t="s">
        <v>117</v>
      </c>
      <c r="H102" s="32"/>
      <c r="I102" s="32"/>
      <c r="J102" s="32"/>
      <c r="K102" s="32"/>
      <c r="L102" s="2"/>
      <c r="M102" s="32" t="s">
        <v>117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118</v>
      </c>
    </row>
    <row r="104" customFormat="false" ht="18.75" hidden="false" customHeight="true" outlineLevel="0" collapsed="false">
      <c r="A104" s="6" t="s">
        <v>119</v>
      </c>
      <c r="B104" s="13" t="s">
        <v>32</v>
      </c>
      <c r="C104" s="13"/>
      <c r="D104" s="13" t="s">
        <v>120</v>
      </c>
      <c r="E104" s="14"/>
      <c r="F104" s="2"/>
      <c r="G104" s="6" t="s">
        <v>119</v>
      </c>
      <c r="H104" s="13" t="s">
        <v>32</v>
      </c>
      <c r="I104" s="13"/>
      <c r="J104" s="13" t="s">
        <v>120</v>
      </c>
      <c r="K104" s="14"/>
      <c r="L104" s="2"/>
      <c r="M104" s="6" t="s">
        <v>119</v>
      </c>
      <c r="N104" s="13" t="s">
        <v>32</v>
      </c>
      <c r="O104" s="13"/>
      <c r="P104" s="13" t="s">
        <v>120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121</v>
      </c>
    </row>
    <row r="105" customFormat="false" ht="18.75" hidden="false" customHeight="true" outlineLevel="0" collapsed="false">
      <c r="A105" s="37"/>
      <c r="B105" s="110" t="s">
        <v>122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28</v>
      </c>
      <c r="B111" s="110" t="n">
        <v>0</v>
      </c>
      <c r="C111" s="110"/>
      <c r="D111" s="113" t="s">
        <v>136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137</v>
      </c>
    </row>
    <row r="112" customFormat="false" ht="18.75" hidden="false" customHeight="true" outlineLevel="0" collapsed="false">
      <c r="A112" s="6"/>
      <c r="B112" s="13"/>
      <c r="C112" s="13"/>
      <c r="D112" s="13" t="s">
        <v>76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138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2"/>
      <c r="G114" s="32" t="s">
        <v>139</v>
      </c>
      <c r="H114" s="32"/>
      <c r="I114" s="32"/>
      <c r="J114" s="32"/>
      <c r="K114" s="32"/>
      <c r="L114" s="2"/>
      <c r="M114" s="32" t="s">
        <v>139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140</v>
      </c>
      <c r="B116" s="39" t="s">
        <v>27</v>
      </c>
      <c r="C116" s="13"/>
      <c r="D116" s="13"/>
      <c r="E116" s="14"/>
      <c r="F116" s="2"/>
      <c r="G116" s="6" t="s">
        <v>140</v>
      </c>
      <c r="H116" s="39" t="s">
        <v>27</v>
      </c>
      <c r="I116" s="13"/>
      <c r="J116" s="13"/>
      <c r="K116" s="14"/>
      <c r="L116" s="2"/>
      <c r="M116" s="6" t="s">
        <v>140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141</v>
      </c>
      <c r="B118" s="13"/>
      <c r="C118" s="13"/>
      <c r="D118" s="112" t="n">
        <v>10000</v>
      </c>
      <c r="E118" s="113" t="n">
        <v>6000</v>
      </c>
      <c r="F118" s="2"/>
      <c r="G118" s="6" t="s">
        <v>141</v>
      </c>
      <c r="H118" s="13"/>
      <c r="I118" s="13"/>
      <c r="J118" s="112" t="n">
        <v>10000</v>
      </c>
      <c r="K118" s="113" t="n">
        <v>5000</v>
      </c>
      <c r="L118" s="2"/>
      <c r="M118" s="6" t="s">
        <v>141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142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142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142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143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143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143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144</v>
      </c>
      <c r="B121" s="13"/>
      <c r="C121" s="13"/>
      <c r="D121" s="115" t="n">
        <f aca="false">D120-E120</f>
        <v>4000</v>
      </c>
      <c r="E121" s="14"/>
      <c r="F121" s="2"/>
      <c r="G121" s="6" t="s">
        <v>144</v>
      </c>
      <c r="H121" s="13"/>
      <c r="I121" s="13"/>
      <c r="J121" s="115" t="n">
        <f aca="false">J120-K120</f>
        <v>5000</v>
      </c>
      <c r="K121" s="14"/>
      <c r="L121" s="2"/>
      <c r="M121" s="6" t="s">
        <v>144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145</v>
      </c>
      <c r="B123" s="81"/>
      <c r="C123" s="81"/>
      <c r="D123" s="81"/>
      <c r="E123" s="103" t="n">
        <f aca="false">D105</f>
        <v>1000</v>
      </c>
      <c r="F123" s="2"/>
      <c r="G123" s="80" t="s">
        <v>145</v>
      </c>
      <c r="H123" s="81"/>
      <c r="I123" s="81"/>
      <c r="J123" s="81"/>
      <c r="K123" s="103" t="n">
        <f aca="false">J105</f>
        <v>5000</v>
      </c>
      <c r="L123" s="2"/>
      <c r="M123" s="80" t="s">
        <v>145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239.99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146</v>
      </c>
      <c r="B125" s="78"/>
      <c r="C125" s="78"/>
      <c r="D125" s="78"/>
      <c r="E125" s="85" t="n">
        <f aca="false">(E124+E123)-E120</f>
        <v>-2760.01</v>
      </c>
      <c r="F125" s="2"/>
      <c r="G125" s="117" t="s">
        <v>146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146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2"/>
      <c r="G128" s="32" t="s">
        <v>147</v>
      </c>
      <c r="H128" s="32"/>
      <c r="I128" s="32"/>
      <c r="J128" s="32"/>
      <c r="K128" s="32"/>
      <c r="L128" s="2"/>
      <c r="M128" s="32" t="s">
        <v>147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2"/>
      <c r="G130" s="6" t="s">
        <v>148</v>
      </c>
      <c r="H130" s="122" t="n">
        <v>0</v>
      </c>
      <c r="I130" s="122"/>
      <c r="J130" s="13"/>
      <c r="K130" s="14"/>
      <c r="L130" s="2"/>
      <c r="M130" s="6" t="s">
        <v>148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81</v>
      </c>
      <c r="H132" s="13" t="s">
        <v>82</v>
      </c>
      <c r="I132" s="13"/>
      <c r="J132" s="13" t="s">
        <v>85</v>
      </c>
      <c r="K132" s="14"/>
      <c r="L132" s="2"/>
      <c r="M132" s="6" t="s">
        <v>81</v>
      </c>
      <c r="N132" s="13" t="s">
        <v>82</v>
      </c>
      <c r="O132" s="13"/>
      <c r="P132" s="13" t="s">
        <v>85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3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-117.844463157187</v>
      </c>
      <c r="B134" s="120" t="n">
        <f aca="false">IF(A111="YES", B95, 0)</f>
        <v>0</v>
      </c>
      <c r="C134" s="125"/>
      <c r="D134" s="120" t="n">
        <f aca="false">B97</f>
        <v>-117.844463157187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151</v>
      </c>
      <c r="H135" s="129" t="s">
        <v>152</v>
      </c>
      <c r="I135" s="129"/>
      <c r="J135" s="129" t="s">
        <v>153</v>
      </c>
      <c r="K135" s="14"/>
      <c r="L135" s="2"/>
      <c r="M135" s="128" t="s">
        <v>154</v>
      </c>
      <c r="N135" s="129" t="s">
        <v>155</v>
      </c>
      <c r="O135" s="129"/>
      <c r="P135" s="129" t="s">
        <v>113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Terminal pause with 9 down</v>
      </c>
      <c r="B137" s="136" t="n">
        <f aca="false">B96*B63</f>
        <v>-1060.60016841468</v>
      </c>
      <c r="C137" s="13"/>
      <c r="D137" s="136" t="n">
        <f aca="false">IF(A111="YES", B95*B63, 0)</f>
        <v>0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158</v>
      </c>
      <c r="H138" s="13" t="s">
        <v>159</v>
      </c>
      <c r="I138" s="13"/>
      <c r="J138" s="13" t="s">
        <v>160</v>
      </c>
      <c r="K138" s="14"/>
      <c r="L138" s="2"/>
      <c r="M138" s="6" t="s">
        <v>161</v>
      </c>
      <c r="N138" s="13" t="s">
        <v>162</v>
      </c>
      <c r="O138" s="13"/>
      <c r="P138" s="13" t="s">
        <v>163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-1060.60016841468</v>
      </c>
      <c r="B140" s="136" t="n">
        <f aca="false">E120</f>
        <v>4000</v>
      </c>
      <c r="C140" s="13"/>
      <c r="D140" s="142" t="n">
        <f aca="false">B64</f>
        <v>3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167</v>
      </c>
      <c r="H141" s="13" t="s">
        <v>168</v>
      </c>
      <c r="I141" s="13"/>
      <c r="J141" s="13" t="s">
        <v>169</v>
      </c>
      <c r="K141" s="14"/>
      <c r="L141" s="2"/>
      <c r="M141" s="6" t="s">
        <v>170</v>
      </c>
      <c r="N141" s="13" t="s">
        <v>171</v>
      </c>
      <c r="O141" s="13"/>
      <c r="P141" s="13" t="s">
        <v>172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-117.844463157187</v>
      </c>
      <c r="B143" s="136" t="n">
        <f aca="false">IF(A111="YES", B95, 0)</f>
        <v>0</v>
      </c>
      <c r="C143" s="13"/>
      <c r="D143" s="136" t="n">
        <f aca="false">B97</f>
        <v>-117.844463157187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173</v>
      </c>
      <c r="H144" s="13" t="s">
        <v>174</v>
      </c>
      <c r="I144" s="13"/>
      <c r="J144" s="13" t="s">
        <v>175</v>
      </c>
      <c r="K144" s="14"/>
      <c r="L144" s="2"/>
      <c r="M144" s="6" t="s">
        <v>176</v>
      </c>
      <c r="N144" s="13" t="s">
        <v>174</v>
      </c>
      <c r="O144" s="13"/>
      <c r="P144" s="13" t="s">
        <v>175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179</v>
      </c>
      <c r="H147" s="13" t="s">
        <v>180</v>
      </c>
      <c r="I147" s="13"/>
      <c r="J147" s="13" t="s">
        <v>181</v>
      </c>
      <c r="K147" s="14"/>
      <c r="L147" s="2"/>
      <c r="M147" s="6" t="s">
        <v>179</v>
      </c>
      <c r="N147" s="13" t="s">
        <v>180</v>
      </c>
      <c r="O147" s="13"/>
      <c r="P147" s="13" t="s">
        <v>181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183</v>
      </c>
      <c r="H150" s="13" t="s">
        <v>184</v>
      </c>
      <c r="I150" s="13"/>
      <c r="J150" s="13"/>
      <c r="K150" s="14"/>
      <c r="L150" s="2"/>
      <c r="M150" s="6" t="s">
        <v>183</v>
      </c>
      <c r="N150" s="13" t="s">
        <v>184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2"/>
      <c r="G153" s="6"/>
      <c r="H153" s="13"/>
      <c r="I153" s="13"/>
      <c r="J153" s="13"/>
      <c r="K153" s="14"/>
      <c r="L153" s="2"/>
      <c r="M153" s="144" t="s">
        <v>189</v>
      </c>
      <c r="N153" s="115" t="s">
        <v>190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0</v>
      </c>
      <c r="E154" s="146"/>
      <c r="F154" s="2"/>
      <c r="G154" s="72" t="s">
        <v>191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2"/>
      <c r="G156" s="67" t="s">
        <v>81</v>
      </c>
      <c r="H156" s="68" t="s">
        <v>82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139.99</v>
      </c>
      <c r="B157" s="136" t="n">
        <f aca="false">(A154+B154+D154+A157)*(A149/B70)</f>
        <v>0</v>
      </c>
      <c r="C157" s="136"/>
      <c r="D157" s="136" t="n">
        <f aca="false">(A154+B154+D154+A157)-B157</f>
        <v>718.84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191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81</v>
      </c>
      <c r="N159" s="68" t="s">
        <v>82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-117.844463157187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-117.844463157187</v>
      </c>
      <c r="B177" s="160" t="n">
        <f aca="false">IF(A111="YES", B95, 0)</f>
        <v>0</v>
      </c>
      <c r="C177" s="162"/>
      <c r="D177" s="160" t="n">
        <f aca="false">A177+B177</f>
        <v>-117.844463157187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Terminal pause with 9 down</v>
      </c>
      <c r="B180" s="164" t="n">
        <f aca="false">B96*B63</f>
        <v>-1060.60016841468</v>
      </c>
      <c r="C180" s="31"/>
      <c r="D180" s="164" t="n">
        <f aca="false">IF(A111="YES", B95*B63, 0)</f>
        <v>0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-1060.60016841468</v>
      </c>
      <c r="B183" s="164" t="n">
        <f aca="false">E120</f>
        <v>4000</v>
      </c>
      <c r="C183" s="31"/>
      <c r="D183" s="166" t="n">
        <f aca="false">B64</f>
        <v>3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-117.844463157187</v>
      </c>
      <c r="B186" s="164" t="n">
        <f aca="false">IF(A111="YES", B95, 0)</f>
        <v>0</v>
      </c>
      <c r="C186" s="31"/>
      <c r="D186" s="164" t="n">
        <f aca="false">B97</f>
        <v>-117.844463157187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718.84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D70</f>
        <v>4051.95</v>
      </c>
      <c r="E209" s="12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197</v>
      </c>
      <c r="B211" s="120" t="n">
        <f aca="false">B219</f>
        <v>694.62</v>
      </c>
      <c r="C211" s="119" t="s">
        <v>198</v>
      </c>
      <c r="D211" s="173" t="n">
        <f aca="false">B225+E221+B221+B223</f>
        <v>99.9916666666667</v>
      </c>
      <c r="E211" s="12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199</v>
      </c>
      <c r="B213" s="120" t="n">
        <f aca="false">E223</f>
        <v>3457.32166666667</v>
      </c>
      <c r="C213" s="125"/>
      <c r="D213" s="120"/>
      <c r="E213" s="12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200</v>
      </c>
      <c r="B219" s="45" t="n">
        <f aca="false">B73*1.2</f>
        <v>694.62</v>
      </c>
      <c r="C219" s="137" t="s">
        <v>201</v>
      </c>
      <c r="D219" s="177"/>
      <c r="E219" s="178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3457.32166666667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18.1264421137556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0:A51"/>
    <mergeCell ref="B50:C50"/>
    <mergeCell ref="B51:C51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B70" activeCellId="0" sqref="B70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44944</v>
      </c>
      <c r="E29" s="41"/>
      <c r="F29" s="2"/>
      <c r="G29" s="33" t="s">
        <v>40</v>
      </c>
      <c r="H29" s="42" t="n">
        <f aca="false">A32</f>
        <v>12</v>
      </c>
      <c r="I29" s="189" t="n">
        <f aca="false">ISNUMBER(I31)</f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74</v>
      </c>
      <c r="B34" s="51" t="s">
        <v>48</v>
      </c>
      <c r="C34" s="48" t="s">
        <v>76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76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76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str">
        <f aca="false">IF(D41="Yes",A44, 0)</f>
        <v>50</v>
      </c>
      <c r="I41" s="53" t="s">
        <v>76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76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s">
        <v>216</v>
      </c>
      <c r="B44" s="45" t="s">
        <v>71</v>
      </c>
      <c r="C44" s="45"/>
      <c r="D44" s="45" t="s">
        <v>71</v>
      </c>
      <c r="E44" s="45"/>
      <c r="F44" s="2"/>
      <c r="G44" s="53" t="s">
        <v>72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73</v>
      </c>
      <c r="H45" s="53" t="n">
        <f aca="false">(H39-H44)+H41</f>
        <v>-170.625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74</v>
      </c>
      <c r="B46" s="48" t="s">
        <v>75</v>
      </c>
      <c r="C46" s="48" t="s">
        <v>76</v>
      </c>
      <c r="D46" s="48"/>
      <c r="E46" s="64"/>
      <c r="F46" s="2" t="n">
        <v>0</v>
      </c>
      <c r="G46" s="53" t="s">
        <v>77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74</v>
      </c>
      <c r="B47" s="48"/>
      <c r="C47" s="48"/>
      <c r="D47" s="48"/>
      <c r="E47" s="64"/>
      <c r="F47" s="2"/>
      <c r="G47" s="53" t="s">
        <v>78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79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80</v>
      </c>
      <c r="H49" s="53" t="n">
        <f aca="false">H45+H48+H47</f>
        <v>-167.958333333333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54"/>
      <c r="B50" s="48"/>
      <c r="C50" s="48"/>
      <c r="D50" s="48"/>
      <c r="E50" s="64"/>
      <c r="F50" s="2"/>
      <c r="G50" s="53" t="s">
        <v>83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/>
      <c r="B52" s="71"/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74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-167.958333333333</v>
      </c>
      <c r="C58" s="71"/>
      <c r="D58" s="190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84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84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84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85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 t="s">
        <v>76</v>
      </c>
      <c r="D64" s="13"/>
      <c r="E64" s="14"/>
      <c r="F64" s="2"/>
      <c r="G64" s="6" t="s">
        <v>85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85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86</v>
      </c>
      <c r="B68" s="84" t="n">
        <v>0.07</v>
      </c>
      <c r="C68" s="13"/>
      <c r="D68" s="13"/>
      <c r="E68" s="14"/>
      <c r="F68" s="2"/>
      <c r="G68" s="83" t="s">
        <v>86</v>
      </c>
      <c r="H68" s="84" t="n">
        <v>0.07</v>
      </c>
      <c r="I68" s="13"/>
      <c r="J68" s="13"/>
      <c r="K68" s="14"/>
      <c r="L68" s="2"/>
      <c r="M68" s="83" t="s">
        <v>86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87</v>
      </c>
      <c r="B69" s="10" t="n">
        <f aca="false">B68+(B68*0.25*(H29/12-1))</f>
        <v>0.07</v>
      </c>
      <c r="C69" s="13"/>
      <c r="D69" s="13"/>
      <c r="E69" s="14"/>
      <c r="F69" s="2"/>
      <c r="G69" s="6" t="s">
        <v>87</v>
      </c>
      <c r="H69" s="10" t="n">
        <f aca="false">H68+(H68*0.25*(H29/12-1))</f>
        <v>0.07</v>
      </c>
      <c r="I69" s="13"/>
      <c r="J69" s="13"/>
      <c r="K69" s="14"/>
      <c r="L69" s="2"/>
      <c r="M69" s="6" t="s">
        <v>87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88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88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88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89</v>
      </c>
      <c r="B71" s="84" t="n">
        <v>0.01</v>
      </c>
      <c r="C71" s="13"/>
      <c r="D71" s="13"/>
      <c r="E71" s="14"/>
      <c r="F71" s="2"/>
      <c r="G71" s="83" t="s">
        <v>89</v>
      </c>
      <c r="H71" s="84" t="n">
        <v>0.005</v>
      </c>
      <c r="I71" s="13"/>
      <c r="J71" s="13"/>
      <c r="K71" s="14"/>
      <c r="L71" s="2"/>
      <c r="M71" s="83" t="s">
        <v>89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90</v>
      </c>
      <c r="B72" s="10" t="n">
        <f aca="false">B71+(B71*0.5*(H29/12-1))</f>
        <v>0.01</v>
      </c>
      <c r="C72" s="13"/>
      <c r="D72" s="13"/>
      <c r="E72" s="14"/>
      <c r="F72" s="2"/>
      <c r="G72" s="6" t="s">
        <v>90</v>
      </c>
      <c r="H72" s="10" t="n">
        <f aca="false">H71+(H71*0.5*(H29/12-1))</f>
        <v>0.005</v>
      </c>
      <c r="I72" s="13"/>
      <c r="J72" s="13"/>
      <c r="K72" s="14"/>
      <c r="L72" s="2"/>
      <c r="M72" s="6" t="s">
        <v>90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91</v>
      </c>
      <c r="B73" s="85" t="n">
        <f aca="false">B67*B72</f>
        <v>578.85</v>
      </c>
      <c r="C73" s="13"/>
      <c r="D73" s="12"/>
      <c r="E73" s="14"/>
      <c r="F73" s="2"/>
      <c r="G73" s="77" t="s">
        <v>91</v>
      </c>
      <c r="H73" s="85" t="n">
        <f aca="false">H67*H72</f>
        <v>289.425</v>
      </c>
      <c r="I73" s="13"/>
      <c r="J73" s="12"/>
      <c r="K73" s="14"/>
      <c r="L73" s="2"/>
      <c r="M73" s="77" t="s">
        <v>91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92</v>
      </c>
      <c r="B74" s="84" t="n">
        <v>0.0075</v>
      </c>
      <c r="C74" s="13"/>
      <c r="D74" s="13"/>
      <c r="E74" s="14"/>
      <c r="F74" s="2"/>
      <c r="G74" s="83" t="s">
        <v>92</v>
      </c>
      <c r="H74" s="84" t="n">
        <v>0.0075</v>
      </c>
      <c r="I74" s="13"/>
      <c r="J74" s="13"/>
      <c r="K74" s="14"/>
      <c r="L74" s="2"/>
      <c r="M74" s="83" t="s">
        <v>92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93</v>
      </c>
      <c r="B75" s="86" t="n">
        <v>0.12</v>
      </c>
      <c r="C75" s="13"/>
      <c r="D75" s="13"/>
      <c r="E75" s="14"/>
      <c r="F75" s="2"/>
      <c r="G75" s="3" t="s">
        <v>93</v>
      </c>
      <c r="H75" s="86" t="n">
        <v>0.12</v>
      </c>
      <c r="I75" s="13"/>
      <c r="J75" s="13"/>
      <c r="K75" s="14"/>
      <c r="L75" s="2"/>
      <c r="M75" s="3" t="s">
        <v>93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94</v>
      </c>
      <c r="B76" s="87" t="n">
        <f aca="false">B74*(1+B75)</f>
        <v>0.0084</v>
      </c>
      <c r="C76" s="13"/>
      <c r="D76" s="13"/>
      <c r="E76" s="14"/>
      <c r="F76" s="2"/>
      <c r="G76" s="77" t="s">
        <v>94</v>
      </c>
      <c r="H76" s="87" t="n">
        <f aca="false">H74*(1+H75)</f>
        <v>0.0084</v>
      </c>
      <c r="I76" s="13"/>
      <c r="J76" s="13"/>
      <c r="K76" s="14"/>
      <c r="L76" s="2"/>
      <c r="M76" s="77" t="s">
        <v>94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95</v>
      </c>
      <c r="B77" s="88" t="n">
        <v>200</v>
      </c>
      <c r="C77" s="13"/>
      <c r="D77" s="13"/>
      <c r="E77" s="14"/>
      <c r="F77" s="2"/>
      <c r="G77" s="83" t="s">
        <v>95</v>
      </c>
      <c r="H77" s="88" t="n">
        <v>160</v>
      </c>
      <c r="I77" s="13"/>
      <c r="J77" s="13"/>
      <c r="K77" s="14"/>
      <c r="L77" s="2"/>
      <c r="M77" s="83" t="s">
        <v>95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96</v>
      </c>
      <c r="B78" s="89" t="n">
        <v>5</v>
      </c>
      <c r="C78" s="13"/>
      <c r="D78" s="13"/>
      <c r="E78" s="14"/>
      <c r="F78" s="2"/>
      <c r="G78" s="3" t="s">
        <v>96</v>
      </c>
      <c r="H78" s="89" t="n">
        <v>4.5</v>
      </c>
      <c r="I78" s="13"/>
      <c r="J78" s="13"/>
      <c r="K78" s="14"/>
      <c r="L78" s="2"/>
      <c r="M78" s="3" t="s">
        <v>96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97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97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97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98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98</v>
      </c>
      <c r="H80" s="88" t="n">
        <v>150</v>
      </c>
      <c r="I80" s="13"/>
      <c r="J80" s="13"/>
      <c r="K80" s="14"/>
      <c r="L80" s="2"/>
      <c r="M80" s="91" t="s">
        <v>98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99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99</v>
      </c>
      <c r="H81" s="89" t="n">
        <f aca="false">IF(G18&gt;40000, 325, 0)</f>
        <v>325</v>
      </c>
      <c r="I81" s="13"/>
      <c r="J81" s="13"/>
      <c r="K81" s="14"/>
      <c r="L81" s="2"/>
      <c r="M81" s="93" t="s">
        <v>99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100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100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100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101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101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101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102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103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103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104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104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104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105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105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105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106</v>
      </c>
      <c r="B87" s="100" t="n">
        <f aca="false">SUM(D70:D86)</f>
        <v>4755.28333333333</v>
      </c>
      <c r="C87" s="13"/>
      <c r="D87" s="13"/>
      <c r="E87" s="14"/>
      <c r="F87" s="2"/>
      <c r="G87" s="99" t="s">
        <v>106</v>
      </c>
      <c r="H87" s="100" t="n">
        <f aca="false">SUM(J70:J86)</f>
        <v>7205.53333333333</v>
      </c>
      <c r="I87" s="13"/>
      <c r="J87" s="13"/>
      <c r="K87" s="14"/>
      <c r="L87" s="2"/>
      <c r="M87" s="99" t="s">
        <v>106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107</v>
      </c>
      <c r="B88" s="11" t="n">
        <f aca="false">B87/H29</f>
        <v>396.273611111111</v>
      </c>
      <c r="C88" s="13"/>
      <c r="D88" s="13"/>
      <c r="E88" s="14"/>
      <c r="F88" s="2"/>
      <c r="G88" s="6" t="s">
        <v>107</v>
      </c>
      <c r="H88" s="11" t="n">
        <f aca="false">H87/H29</f>
        <v>600.461111111111</v>
      </c>
      <c r="I88" s="13"/>
      <c r="J88" s="13"/>
      <c r="K88" s="14"/>
      <c r="L88" s="2"/>
      <c r="M88" s="6" t="s">
        <v>107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108</v>
      </c>
      <c r="B89" s="102" t="n">
        <f aca="false">H50</f>
        <v>-217.958333333333</v>
      </c>
      <c r="C89" s="13"/>
      <c r="D89" s="13"/>
      <c r="E89" s="14"/>
      <c r="F89" s="2"/>
      <c r="G89" s="101" t="s">
        <v>108</v>
      </c>
      <c r="H89" s="102" t="n">
        <f aca="false">H46</f>
        <v>0</v>
      </c>
      <c r="I89" s="13"/>
      <c r="J89" s="13"/>
      <c r="K89" s="14"/>
      <c r="L89" s="2"/>
      <c r="M89" s="101" t="s">
        <v>108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109</v>
      </c>
      <c r="B91" s="103" t="n">
        <f aca="false">((B89*H29)+B87)</f>
        <v>2139.78333333333</v>
      </c>
      <c r="C91" s="13"/>
      <c r="D91" s="13"/>
      <c r="E91" s="14"/>
      <c r="F91" s="2"/>
      <c r="G91" s="80" t="s">
        <v>109</v>
      </c>
      <c r="H91" s="103" t="n">
        <f aca="false">((H89*H29)+H87)*1.2</f>
        <v>8646.64</v>
      </c>
      <c r="I91" s="13"/>
      <c r="J91" s="13"/>
      <c r="K91" s="14"/>
      <c r="L91" s="2"/>
      <c r="M91" s="80" t="s">
        <v>109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110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110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110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111</v>
      </c>
      <c r="B93" s="85" t="n">
        <f aca="false">IF(B116="YES",((B91+B92)-E120),(B91+B92))</f>
        <v>-1842.09022455291</v>
      </c>
      <c r="C93" s="13"/>
      <c r="D93" s="13"/>
      <c r="E93" s="14"/>
      <c r="F93" s="2"/>
      <c r="G93" s="77" t="s">
        <v>111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111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</f>
        <v>60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112</v>
      </c>
      <c r="B96" s="106" t="n">
        <f aca="false">IF(B105=Z104, (B93-D111)/(B64), B93/(B63+B64))</f>
        <v>-153.507518712743</v>
      </c>
      <c r="C96" s="13" t="s">
        <v>76</v>
      </c>
      <c r="D96" s="13"/>
      <c r="E96" s="14"/>
      <c r="F96" s="2"/>
      <c r="G96" s="105" t="s">
        <v>112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112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113</v>
      </c>
      <c r="B97" s="108" t="n">
        <f aca="false">IF(A111="YES", B96+B95, B96)</f>
        <v>-93.5075187127426</v>
      </c>
      <c r="C97" s="13"/>
      <c r="D97" s="109"/>
      <c r="E97" s="14"/>
      <c r="F97" s="2"/>
      <c r="G97" s="107" t="s">
        <v>113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113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2"/>
      <c r="G100" s="30" t="s">
        <v>115</v>
      </c>
      <c r="H100" s="30"/>
      <c r="I100" s="30"/>
      <c r="J100" s="30"/>
      <c r="K100" s="30"/>
      <c r="L100" s="2"/>
      <c r="M100" s="30" t="s">
        <v>116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2"/>
      <c r="G102" s="32" t="s">
        <v>117</v>
      </c>
      <c r="H102" s="32"/>
      <c r="I102" s="32"/>
      <c r="J102" s="32"/>
      <c r="K102" s="32"/>
      <c r="L102" s="2"/>
      <c r="M102" s="32" t="s">
        <v>117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118</v>
      </c>
    </row>
    <row r="104" customFormat="false" ht="18.75" hidden="false" customHeight="true" outlineLevel="0" collapsed="false">
      <c r="A104" s="6" t="s">
        <v>119</v>
      </c>
      <c r="B104" s="13" t="s">
        <v>32</v>
      </c>
      <c r="C104" s="13"/>
      <c r="D104" s="13" t="s">
        <v>120</v>
      </c>
      <c r="E104" s="14"/>
      <c r="F104" s="2"/>
      <c r="G104" s="6" t="s">
        <v>119</v>
      </c>
      <c r="H104" s="13" t="s">
        <v>32</v>
      </c>
      <c r="I104" s="13"/>
      <c r="J104" s="13" t="s">
        <v>120</v>
      </c>
      <c r="K104" s="14"/>
      <c r="L104" s="2"/>
      <c r="M104" s="6" t="s">
        <v>119</v>
      </c>
      <c r="N104" s="13" t="s">
        <v>32</v>
      </c>
      <c r="O104" s="13"/>
      <c r="P104" s="13" t="s">
        <v>120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121</v>
      </c>
    </row>
    <row r="105" customFormat="false" ht="18.75" hidden="false" customHeight="true" outlineLevel="0" collapsed="false">
      <c r="A105" s="37"/>
      <c r="B105" s="110" t="s">
        <v>118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27</v>
      </c>
      <c r="B111" s="110" t="n">
        <v>20</v>
      </c>
      <c r="C111" s="110"/>
      <c r="D111" s="113" t="n">
        <v>200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137</v>
      </c>
    </row>
    <row r="112" customFormat="false" ht="18.75" hidden="false" customHeight="true" outlineLevel="0" collapsed="false">
      <c r="A112" s="6"/>
      <c r="B112" s="13"/>
      <c r="C112" s="13"/>
      <c r="D112" s="13" t="s">
        <v>76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138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2"/>
      <c r="G114" s="32" t="s">
        <v>139</v>
      </c>
      <c r="H114" s="32"/>
      <c r="I114" s="32"/>
      <c r="J114" s="32"/>
      <c r="K114" s="32"/>
      <c r="L114" s="2"/>
      <c r="M114" s="32" t="s">
        <v>139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140</v>
      </c>
      <c r="B116" s="39" t="s">
        <v>27</v>
      </c>
      <c r="C116" s="13"/>
      <c r="D116" s="13"/>
      <c r="E116" s="14"/>
      <c r="F116" s="2"/>
      <c r="G116" s="6" t="s">
        <v>140</v>
      </c>
      <c r="H116" s="39" t="s">
        <v>27</v>
      </c>
      <c r="I116" s="13"/>
      <c r="J116" s="13"/>
      <c r="K116" s="14"/>
      <c r="L116" s="2"/>
      <c r="M116" s="6" t="s">
        <v>140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141</v>
      </c>
      <c r="B118" s="13"/>
      <c r="C118" s="13"/>
      <c r="D118" s="112" t="n">
        <v>10000</v>
      </c>
      <c r="E118" s="113" t="n">
        <v>6000</v>
      </c>
      <c r="F118" s="2"/>
      <c r="G118" s="6" t="s">
        <v>141</v>
      </c>
      <c r="H118" s="13"/>
      <c r="I118" s="13"/>
      <c r="J118" s="112" t="n">
        <v>10000</v>
      </c>
      <c r="K118" s="113" t="n">
        <v>5000</v>
      </c>
      <c r="L118" s="2"/>
      <c r="M118" s="6" t="s">
        <v>141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142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142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142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143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143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143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144</v>
      </c>
      <c r="B121" s="13"/>
      <c r="C121" s="13"/>
      <c r="D121" s="115" t="n">
        <f aca="false">D120-E120</f>
        <v>4000</v>
      </c>
      <c r="E121" s="14"/>
      <c r="F121" s="2"/>
      <c r="G121" s="6" t="s">
        <v>144</v>
      </c>
      <c r="H121" s="13"/>
      <c r="I121" s="13"/>
      <c r="J121" s="115" t="n">
        <f aca="false">J120-K120</f>
        <v>5000</v>
      </c>
      <c r="K121" s="14"/>
      <c r="L121" s="2"/>
      <c r="M121" s="6" t="s">
        <v>144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145</v>
      </c>
      <c r="B123" s="81"/>
      <c r="C123" s="81"/>
      <c r="D123" s="81"/>
      <c r="E123" s="103" t="n">
        <f aca="false">D105</f>
        <v>1000</v>
      </c>
      <c r="F123" s="2"/>
      <c r="G123" s="80" t="s">
        <v>145</v>
      </c>
      <c r="H123" s="81"/>
      <c r="I123" s="81"/>
      <c r="J123" s="81"/>
      <c r="K123" s="103" t="n">
        <f aca="false">J105</f>
        <v>5000</v>
      </c>
      <c r="L123" s="2"/>
      <c r="M123" s="80" t="s">
        <v>145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199.99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146</v>
      </c>
      <c r="B125" s="78"/>
      <c r="C125" s="78"/>
      <c r="D125" s="78"/>
      <c r="E125" s="85" t="n">
        <f aca="false">(E124+E123)-E120</f>
        <v>-2800.01</v>
      </c>
      <c r="F125" s="2"/>
      <c r="G125" s="117" t="s">
        <v>146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146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2"/>
      <c r="G128" s="32" t="s">
        <v>147</v>
      </c>
      <c r="H128" s="32"/>
      <c r="I128" s="32"/>
      <c r="J128" s="32"/>
      <c r="K128" s="32"/>
      <c r="L128" s="2"/>
      <c r="M128" s="32" t="s">
        <v>147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2"/>
      <c r="G130" s="6" t="s">
        <v>148</v>
      </c>
      <c r="H130" s="122" t="n">
        <v>0</v>
      </c>
      <c r="I130" s="122"/>
      <c r="J130" s="13"/>
      <c r="K130" s="14"/>
      <c r="L130" s="2"/>
      <c r="M130" s="6" t="s">
        <v>148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81</v>
      </c>
      <c r="H132" s="13" t="s">
        <v>82</v>
      </c>
      <c r="I132" s="13"/>
      <c r="J132" s="13" t="s">
        <v>85</v>
      </c>
      <c r="K132" s="14"/>
      <c r="L132" s="2"/>
      <c r="M132" s="6" t="s">
        <v>81</v>
      </c>
      <c r="N132" s="13" t="s">
        <v>82</v>
      </c>
      <c r="O132" s="13"/>
      <c r="P132" s="13" t="s">
        <v>85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11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-153.507518712743</v>
      </c>
      <c r="B134" s="120" t="n">
        <f aca="false">IF(A111="YES", B95, 0)</f>
        <v>60</v>
      </c>
      <c r="C134" s="191"/>
      <c r="D134" s="120" t="n">
        <f aca="false">B97</f>
        <v>-93.5075187127426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151</v>
      </c>
      <c r="H135" s="129" t="s">
        <v>152</v>
      </c>
      <c r="I135" s="129"/>
      <c r="J135" s="129" t="s">
        <v>153</v>
      </c>
      <c r="K135" s="14"/>
      <c r="L135" s="2"/>
      <c r="M135" s="128" t="s">
        <v>154</v>
      </c>
      <c r="N135" s="129" t="s">
        <v>155</v>
      </c>
      <c r="O135" s="129"/>
      <c r="P135" s="129" t="s">
        <v>113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-153.507518712743</v>
      </c>
      <c r="C137" s="13"/>
      <c r="D137" s="136" t="n">
        <f aca="false">IF(A111="YES", B95*B63, 0)</f>
        <v>60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158</v>
      </c>
      <c r="H138" s="13" t="s">
        <v>159</v>
      </c>
      <c r="I138" s="13"/>
      <c r="J138" s="13" t="s">
        <v>160</v>
      </c>
      <c r="K138" s="14"/>
      <c r="L138" s="2"/>
      <c r="M138" s="6" t="s">
        <v>161</v>
      </c>
      <c r="N138" s="13" t="s">
        <v>162</v>
      </c>
      <c r="O138" s="13"/>
      <c r="P138" s="13" t="s">
        <v>163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-93.5075187127426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167</v>
      </c>
      <c r="H141" s="13" t="s">
        <v>168</v>
      </c>
      <c r="I141" s="13"/>
      <c r="J141" s="13" t="s">
        <v>169</v>
      </c>
      <c r="K141" s="14"/>
      <c r="L141" s="2"/>
      <c r="M141" s="6" t="s">
        <v>170</v>
      </c>
      <c r="N141" s="13" t="s">
        <v>171</v>
      </c>
      <c r="O141" s="13"/>
      <c r="P141" s="13" t="s">
        <v>172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-153.507518712743</v>
      </c>
      <c r="B143" s="136" t="n">
        <f aca="false">IF(A111="YES", B95, 0)</f>
        <v>60</v>
      </c>
      <c r="C143" s="13"/>
      <c r="D143" s="136" t="n">
        <f aca="false">B97</f>
        <v>-93.5075187127426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173</v>
      </c>
      <c r="H144" s="13" t="s">
        <v>174</v>
      </c>
      <c r="I144" s="13"/>
      <c r="J144" s="13" t="s">
        <v>175</v>
      </c>
      <c r="K144" s="14"/>
      <c r="L144" s="2"/>
      <c r="M144" s="6" t="s">
        <v>176</v>
      </c>
      <c r="N144" s="13" t="s">
        <v>174</v>
      </c>
      <c r="O144" s="13"/>
      <c r="P144" s="13" t="s">
        <v>175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179</v>
      </c>
      <c r="H147" s="13" t="s">
        <v>180</v>
      </c>
      <c r="I147" s="13"/>
      <c r="J147" s="13" t="s">
        <v>181</v>
      </c>
      <c r="K147" s="14"/>
      <c r="L147" s="2"/>
      <c r="M147" s="6" t="s">
        <v>179</v>
      </c>
      <c r="N147" s="13" t="s">
        <v>180</v>
      </c>
      <c r="O147" s="13"/>
      <c r="P147" s="13" t="s">
        <v>181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183</v>
      </c>
      <c r="H150" s="13" t="s">
        <v>184</v>
      </c>
      <c r="I150" s="13"/>
      <c r="J150" s="13"/>
      <c r="K150" s="14"/>
      <c r="L150" s="2"/>
      <c r="M150" s="6" t="s">
        <v>183</v>
      </c>
      <c r="N150" s="13" t="s">
        <v>184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2"/>
      <c r="G153" s="6"/>
      <c r="H153" s="13"/>
      <c r="I153" s="13"/>
      <c r="J153" s="13"/>
      <c r="K153" s="14"/>
      <c r="L153" s="2"/>
      <c r="M153" s="144" t="s">
        <v>189</v>
      </c>
      <c r="N153" s="115" t="s">
        <v>190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120</v>
      </c>
      <c r="E154" s="146"/>
      <c r="F154" s="2"/>
      <c r="G154" s="72" t="s">
        <v>191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2"/>
      <c r="G156" s="67" t="s">
        <v>81</v>
      </c>
      <c r="H156" s="68" t="s">
        <v>82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798.84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191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81</v>
      </c>
      <c r="N159" s="68" t="s">
        <v>82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-93.5075187127426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189" t="n">
        <f aca="false">ISNUMBER(B183)</f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-153.507518712743</v>
      </c>
      <c r="B177" s="160" t="n">
        <f aca="false">IF(A111="YES", B95, 0)</f>
        <v>60</v>
      </c>
      <c r="C177" s="192"/>
      <c r="D177" s="160" t="n">
        <f aca="false">B91</f>
        <v>2139.78333333333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-153.507518712743</v>
      </c>
      <c r="C180" s="31"/>
      <c r="D180" s="164" t="n">
        <f aca="false">IF(A111="YES", B95*B63, 0)</f>
        <v>60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-93.5075187127426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-153.507518712743</v>
      </c>
      <c r="B186" s="164" t="n">
        <f aca="false">IF(A111="YES", B95, 0)</f>
        <v>60</v>
      </c>
      <c r="C186" s="31"/>
      <c r="D186" s="164" t="n">
        <f aca="false">B97</f>
        <v>-93.5075187127426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12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798.84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D70</f>
        <v>4051.95</v>
      </c>
      <c r="E209" s="121"/>
      <c r="F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219.99</v>
      </c>
      <c r="E211" s="121"/>
      <c r="F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199</v>
      </c>
      <c r="B213" s="120" t="n">
        <f aca="false">E223</f>
        <v>3693.09</v>
      </c>
      <c r="C213" s="125"/>
      <c r="D213" s="120"/>
      <c r="E213" s="121"/>
      <c r="F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3693.09</v>
      </c>
      <c r="F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204</v>
      </c>
      <c r="B225" s="148" t="n">
        <f aca="false">D197/0.1</f>
        <v>120</v>
      </c>
      <c r="C225" s="136"/>
      <c r="D225" s="148"/>
      <c r="E225" s="116"/>
      <c r="F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18.1264421137556</v>
      </c>
      <c r="F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6"/>
      <c r="B243" s="13"/>
      <c r="C243" s="13"/>
      <c r="D243" s="13"/>
      <c r="E243" s="14"/>
      <c r="F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141"/>
      <c r="B244" s="136"/>
      <c r="C244" s="136"/>
      <c r="D244" s="136"/>
      <c r="E244" s="146"/>
      <c r="F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6"/>
      <c r="B245" s="13"/>
      <c r="C245" s="13"/>
      <c r="D245" s="13"/>
      <c r="E245" s="14"/>
      <c r="F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6"/>
      <c r="B246" s="13"/>
      <c r="C246" s="13"/>
      <c r="D246" s="13"/>
      <c r="E246" s="14"/>
      <c r="F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141"/>
      <c r="B247" s="136"/>
      <c r="C247" s="13"/>
      <c r="D247" s="13"/>
      <c r="E247" s="14"/>
      <c r="F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77"/>
      <c r="B248" s="78"/>
      <c r="C248" s="78"/>
      <c r="D248" s="78"/>
      <c r="E248" s="79"/>
      <c r="F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false" showOutlineSymbols="true" defaultGridColor="true" view="normal" topLeftCell="A22" colorId="64" zoomScale="75" zoomScaleNormal="75" zoomScalePageLayoutView="100" workbookViewId="0">
      <selection pane="topLeft" activeCell="B64" activeCellId="0" sqref="B64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 t="s">
        <v>76</v>
      </c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 t="s">
        <v>76</v>
      </c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 t="s">
        <v>76</v>
      </c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7.35" hidden="false" customHeight="fals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217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1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35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B62+(B62*0.25*((H29/12)-1))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46" t="n">
        <v>10000</v>
      </c>
      <c r="D64" s="201" t="n">
        <f aca="false">B64</f>
        <v>6077.925</v>
      </c>
      <c r="E64" s="247" t="n">
        <f aca="false">D64/(B58+B57)</f>
        <v>168.83125</v>
      </c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1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48" t="s">
        <v>200</v>
      </c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</f>
        <v>1157.7</v>
      </c>
      <c r="C67" s="249" t="s">
        <v>200</v>
      </c>
      <c r="D67" s="250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51"/>
      <c r="D68" s="201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57" t="n">
        <f aca="false">B73+B71</f>
        <v>380</v>
      </c>
      <c r="E73" s="204" t="s">
        <v>208</v>
      </c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165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355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28" t="s">
        <v>101</v>
      </c>
      <c r="B77" s="264" t="n">
        <f aca="false">B102/(1-0.1)</f>
        <v>0</v>
      </c>
      <c r="C77" s="265"/>
      <c r="D77" s="201" t="n">
        <f aca="false">B77</f>
        <v>0</v>
      </c>
      <c r="E77" s="247" t="n">
        <f aca="false">D77/(B58+B57)</f>
        <v>0</v>
      </c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65"/>
      <c r="D78" s="201" t="n">
        <f aca="false">B78</f>
        <v>0</v>
      </c>
      <c r="E78" s="247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65"/>
      <c r="D79" s="201" t="n">
        <f aca="false">B79</f>
        <v>200</v>
      </c>
      <c r="E79" s="247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65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7941.25833333333</v>
      </c>
      <c r="C81" s="265"/>
      <c r="D81" s="270"/>
      <c r="E81" s="247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220.590509259259</v>
      </c>
      <c r="C82" s="265"/>
      <c r="D82" s="203"/>
      <c r="E82" s="247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65"/>
      <c r="D83" s="203"/>
      <c r="E83" s="247" t="n">
        <f aca="false">B83+E80+E77+E64</f>
        <v>1143.51137382028</v>
      </c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65"/>
      <c r="D84" s="265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</f>
        <v>41166.4094575303</v>
      </c>
      <c r="C85" s="265"/>
      <c r="D85" s="265"/>
      <c r="E85" s="247" t="n">
        <f aca="false">B85/(B58+B57)</f>
        <v>1143.51137382028</v>
      </c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(((B83*H29)+B81)/(1-B70))*B70</f>
        <v>348.727147482104</v>
      </c>
      <c r="C86" s="265" t="s">
        <v>211</v>
      </c>
      <c r="D86" s="203"/>
      <c r="E86" s="247" t="n">
        <f aca="false">B86/(B58+B57)</f>
        <v>9.68686520783622</v>
      </c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41515.1366050124</v>
      </c>
      <c r="C87" s="265"/>
      <c r="D87" s="273"/>
      <c r="E87" s="247" t="n">
        <f aca="false">E86+E85</f>
        <v>1153.19823902812</v>
      </c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65"/>
      <c r="D88" s="203"/>
      <c r="E88" s="247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(I32+(I32*B105))/(B58), (I32+(I32*B105))/(B57+B58))</f>
        <v>37.1944444444444</v>
      </c>
      <c r="C89" s="265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1153.19823902812</v>
      </c>
      <c r="C90" s="265"/>
      <c r="D90" s="203"/>
      <c r="E90" s="276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1190.39268347257</v>
      </c>
      <c r="C91" s="265"/>
      <c r="D91" s="279"/>
      <c r="E91" s="280"/>
      <c r="F91" s="171"/>
      <c r="G91" s="277" t="s">
        <v>113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81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114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 t="s">
        <v>243</v>
      </c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82"/>
      <c r="C97" s="282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244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n">
        <v>199.99</v>
      </c>
      <c r="B108" s="32" t="n">
        <v>0</v>
      </c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 t="s">
        <v>28</v>
      </c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IF(B110="YES",((E118*1.2)+E117)-E114,((E118*1.2)+E117))</f>
        <v>1239.988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1153.19823902812</v>
      </c>
      <c r="B128" s="120" t="n">
        <f aca="false">IF(A105="YES", B89, 0)</f>
        <v>37.1944444444444</v>
      </c>
      <c r="C128" s="125"/>
      <c r="D128" s="120" t="n">
        <f aca="false">B91</f>
        <v>1190.39268347257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Monthly in advance</v>
      </c>
      <c r="B131" s="136" t="n">
        <f aca="false">B90*B57</f>
        <v>1153.19823902812</v>
      </c>
      <c r="C131" s="13"/>
      <c r="D131" s="136" t="n">
        <f aca="false">IF(A105="YES", B89*B57, 0)</f>
        <v>37.1944444444444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1190.39268347257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1153.19823902812</v>
      </c>
      <c r="B137" s="136" t="n">
        <f aca="false">IF(A105="YES", B89, 0)</f>
        <v>37.1944444444444</v>
      </c>
      <c r="C137" s="13"/>
      <c r="D137" s="136" t="n">
        <f aca="false">B91</f>
        <v>1190.39268347257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1157.7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1288.59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1190.39268347257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217" t="s">
        <v>245</v>
      </c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1153.19823902812</v>
      </c>
      <c r="B177" s="160" t="n">
        <f aca="false">IF(A105="YES", B89, 0)</f>
        <v>37.1944444444444</v>
      </c>
      <c r="C177" s="162"/>
      <c r="D177" s="160" t="n">
        <f aca="false">B91</f>
        <v>1190.39268347257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Monthly in advance</v>
      </c>
      <c r="B180" s="164" t="n">
        <f aca="false">B90*B57</f>
        <v>1153.19823902812</v>
      </c>
      <c r="C180" s="31"/>
      <c r="D180" s="164" t="n">
        <f aca="false">IF(A105="YES", B89*B57, 0)</f>
        <v>37.1944444444444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1190.39268347257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1153.19823902812</v>
      </c>
      <c r="B186" s="164" t="n">
        <f aca="false">IF(A105="YES", B89, 0)</f>
        <v>37.1944444444444</v>
      </c>
      <c r="C186" s="31"/>
      <c r="D186" s="164" t="n">
        <f aca="false">B91</f>
        <v>1190.39268347257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1157.7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1288.59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1157.7</v>
      </c>
      <c r="C211" s="119" t="s">
        <v>198</v>
      </c>
      <c r="D211" s="173" t="n">
        <f aca="false">B225+E221+B221+B223</f>
        <v>408.99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5329.215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1157.7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(B77-(B77*(E219*100)))*0.1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5329.215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s="287" customFormat="tru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7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  <dataValidation allowBlank="true" errorStyle="stop" operator="between" showDropDown="false" showErrorMessage="true" showInputMessage="false" sqref="B26" type="list">
      <formula1>'Formula1-BCH'!$I$3:$I$4</formula1>
      <formula2>0</formula2>
    </dataValidation>
    <dataValidation allowBlank="true" errorStyle="stop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06" colorId="64" zoomScale="75" zoomScaleNormal="75" zoomScalePageLayoutView="100" workbookViewId="0">
      <selection pane="topLeft" activeCell="B104" activeCellId="0" sqref="B104"/>
    </sheetView>
  </sheetViews>
  <sheetFormatPr defaultColWidth="8.320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3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3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3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72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73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314" t="n">
        <v>0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77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78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178</v>
      </c>
      <c r="B48" s="316"/>
      <c r="C48" s="316"/>
      <c r="D48" s="316"/>
      <c r="E48" s="316"/>
      <c r="F48" s="316"/>
      <c r="G48" s="316"/>
      <c r="H48" s="318"/>
      <c r="J48" s="66" t="s">
        <v>79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80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81</v>
      </c>
      <c r="B58" s="331" t="s">
        <v>82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84</v>
      </c>
      <c r="B67" s="12" t="n">
        <v>1</v>
      </c>
      <c r="C67" s="12"/>
      <c r="D67" s="12"/>
      <c r="E67" s="308"/>
      <c r="F67" s="308"/>
      <c r="G67" s="308"/>
      <c r="H67" s="11"/>
      <c r="J67" s="293" t="s">
        <v>84</v>
      </c>
      <c r="K67" s="12" t="n">
        <v>1</v>
      </c>
      <c r="L67" s="12"/>
      <c r="M67" s="12"/>
      <c r="N67" s="308"/>
      <c r="O67" s="308"/>
      <c r="P67" s="308"/>
      <c r="Q67" s="11"/>
      <c r="S67" s="293" t="s">
        <v>84</v>
      </c>
      <c r="T67" s="12" t="n">
        <v>1</v>
      </c>
      <c r="U67" s="12"/>
      <c r="V67" s="12"/>
      <c r="W67" s="308"/>
      <c r="X67" s="308"/>
      <c r="Y67" s="308"/>
      <c r="Z67" s="11"/>
      <c r="AB67" s="293" t="s">
        <v>84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85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85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85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85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88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88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88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88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89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89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89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89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90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90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90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90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91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91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91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91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92</v>
      </c>
      <c r="B78" s="337" t="n">
        <v>0</v>
      </c>
      <c r="C78" s="12"/>
      <c r="D78" s="12"/>
      <c r="E78" s="308"/>
      <c r="F78" s="308"/>
      <c r="G78" s="308"/>
      <c r="H78" s="11"/>
      <c r="J78" s="336" t="s">
        <v>92</v>
      </c>
      <c r="K78" s="337" t="n">
        <v>0</v>
      </c>
      <c r="L78" s="12"/>
      <c r="M78" s="12"/>
      <c r="N78" s="308"/>
      <c r="O78" s="308"/>
      <c r="P78" s="308"/>
      <c r="Q78" s="11"/>
      <c r="S78" s="336" t="s">
        <v>92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92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93</v>
      </c>
      <c r="B79" s="338" t="n">
        <v>0</v>
      </c>
      <c r="C79" s="12"/>
      <c r="D79" s="12"/>
      <c r="E79" s="308"/>
      <c r="F79" s="308"/>
      <c r="G79" s="308"/>
      <c r="H79" s="11"/>
      <c r="J79" s="290" t="s">
        <v>93</v>
      </c>
      <c r="K79" s="338" t="n">
        <v>0</v>
      </c>
      <c r="L79" s="12"/>
      <c r="M79" s="12"/>
      <c r="N79" s="308"/>
      <c r="O79" s="308"/>
      <c r="P79" s="308"/>
      <c r="Q79" s="11"/>
      <c r="S79" s="290" t="s">
        <v>93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93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94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94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94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94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95</v>
      </c>
      <c r="B81" s="88" t="n">
        <v>0</v>
      </c>
      <c r="C81" s="12"/>
      <c r="D81" s="12"/>
      <c r="E81" s="308"/>
      <c r="F81" s="308"/>
      <c r="G81" s="308"/>
      <c r="H81" s="11"/>
      <c r="J81" s="336" t="s">
        <v>95</v>
      </c>
      <c r="K81" s="88" t="n">
        <v>0</v>
      </c>
      <c r="L81" s="12"/>
      <c r="M81" s="12"/>
      <c r="N81" s="308"/>
      <c r="O81" s="308"/>
      <c r="P81" s="308"/>
      <c r="Q81" s="11"/>
      <c r="S81" s="336" t="s">
        <v>95</v>
      </c>
      <c r="T81" s="88" t="n">
        <v>0</v>
      </c>
      <c r="U81" s="12"/>
      <c r="V81" s="12"/>
      <c r="W81" s="308"/>
      <c r="X81" s="308"/>
      <c r="Y81" s="308"/>
      <c r="Z81" s="11"/>
      <c r="AB81" s="336" t="s">
        <v>95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96</v>
      </c>
      <c r="B82" s="89" t="n">
        <v>0</v>
      </c>
      <c r="C82" s="12"/>
      <c r="D82" s="12"/>
      <c r="E82" s="308"/>
      <c r="F82" s="308"/>
      <c r="G82" s="308"/>
      <c r="H82" s="11"/>
      <c r="J82" s="290" t="s">
        <v>96</v>
      </c>
      <c r="K82" s="89" t="n">
        <v>0</v>
      </c>
      <c r="L82" s="12"/>
      <c r="M82" s="12"/>
      <c r="N82" s="308"/>
      <c r="O82" s="308"/>
      <c r="P82" s="308"/>
      <c r="Q82" s="11"/>
      <c r="S82" s="290" t="s">
        <v>96</v>
      </c>
      <c r="T82" s="89" t="n">
        <v>0</v>
      </c>
      <c r="U82" s="12"/>
      <c r="V82" s="12"/>
      <c r="W82" s="308"/>
      <c r="X82" s="308"/>
      <c r="Y82" s="308"/>
      <c r="Z82" s="11"/>
      <c r="AB82" s="290" t="s">
        <v>96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97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97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97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97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104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104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104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104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105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105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105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105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106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106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106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106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107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107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107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107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108</v>
      </c>
      <c r="B88" s="102" t="n">
        <f aca="false">K49</f>
        <v>238.924242424242</v>
      </c>
      <c r="C88" s="12"/>
      <c r="D88" s="12"/>
      <c r="E88" s="308"/>
      <c r="F88" s="308"/>
      <c r="G88" s="308"/>
      <c r="H88" s="11"/>
      <c r="J88" s="345" t="s">
        <v>108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108</v>
      </c>
      <c r="T88" s="102" t="n">
        <f aca="false">B60</f>
        <v>238.924242424242</v>
      </c>
      <c r="U88" s="12"/>
      <c r="V88" s="12"/>
      <c r="W88" s="308"/>
      <c r="X88" s="308"/>
      <c r="Y88" s="308"/>
      <c r="Z88" s="11"/>
      <c r="AB88" s="345" t="s">
        <v>108</v>
      </c>
      <c r="AC88" s="102" t="n">
        <f aca="false">B60</f>
        <v>238.924242424242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109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109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109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109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110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110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110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110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111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111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111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111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A34)*A117))/(B68)*1.2</f>
        <v>0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112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112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112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112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113</v>
      </c>
      <c r="B105" s="349" t="n">
        <f aca="false">B103+B104</f>
        <v>1639.88541555755</v>
      </c>
      <c r="C105" s="12"/>
      <c r="D105" s="12"/>
      <c r="E105" s="308" t="s">
        <v>28</v>
      </c>
      <c r="F105" s="308"/>
      <c r="G105" s="308"/>
      <c r="H105" s="11"/>
      <c r="J105" s="348" t="s">
        <v>113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113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113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117</v>
      </c>
      <c r="K111" s="312"/>
      <c r="L111" s="312"/>
      <c r="M111" s="312"/>
      <c r="N111" s="312"/>
      <c r="O111" s="312"/>
      <c r="P111" s="312"/>
      <c r="Q111" s="312"/>
      <c r="S111" s="312" t="s">
        <v>117</v>
      </c>
      <c r="T111" s="312"/>
      <c r="U111" s="312"/>
      <c r="V111" s="312"/>
      <c r="W111" s="312"/>
      <c r="X111" s="312"/>
      <c r="Y111" s="312"/>
      <c r="Z111" s="312"/>
      <c r="AB111" s="312" t="s">
        <v>117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119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293" t="s">
        <v>119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293" t="s">
        <v>119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293" t="s">
        <v>119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118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118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118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118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133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133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133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133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145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145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145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145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176</v>
      </c>
      <c r="C122" s="12"/>
      <c r="D122" s="12"/>
      <c r="E122" s="12" t="s">
        <v>134</v>
      </c>
      <c r="F122" s="12"/>
      <c r="G122" s="308"/>
      <c r="H122" s="352"/>
      <c r="J122" s="54" t="s">
        <v>282</v>
      </c>
      <c r="K122" s="12" t="s">
        <v>176</v>
      </c>
      <c r="L122" s="12"/>
      <c r="M122" s="12"/>
      <c r="N122" s="12" t="s">
        <v>134</v>
      </c>
      <c r="O122" s="12"/>
      <c r="P122" s="308"/>
      <c r="Q122" s="352"/>
      <c r="S122" s="54" t="s">
        <v>282</v>
      </c>
      <c r="T122" s="12" t="s">
        <v>176</v>
      </c>
      <c r="U122" s="12"/>
      <c r="V122" s="12"/>
      <c r="W122" s="12" t="s">
        <v>134</v>
      </c>
      <c r="X122" s="12"/>
      <c r="Y122" s="308"/>
      <c r="Z122" s="352"/>
      <c r="AB122" s="54" t="s">
        <v>282</v>
      </c>
      <c r="AC122" s="12" t="s">
        <v>176</v>
      </c>
      <c r="AD122" s="12"/>
      <c r="AE122" s="12"/>
      <c r="AF122" s="12" t="s">
        <v>134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141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141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141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141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142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142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142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142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143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143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143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143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144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144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144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144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148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148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148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148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0</v>
      </c>
      <c r="C176" s="392"/>
      <c r="D176" s="392"/>
      <c r="E176" s="133" t="n">
        <f aca="false">B105</f>
        <v>1639.88541555755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81</v>
      </c>
      <c r="B178" s="12" t="s">
        <v>82</v>
      </c>
      <c r="C178" s="12"/>
      <c r="D178" s="308"/>
      <c r="E178" s="12" t="s">
        <v>300</v>
      </c>
      <c r="F178" s="308"/>
      <c r="G178" s="308"/>
      <c r="H178" s="11"/>
      <c r="J178" s="293" t="s">
        <v>81</v>
      </c>
      <c r="K178" s="12" t="s">
        <v>82</v>
      </c>
      <c r="L178" s="12"/>
      <c r="M178" s="308"/>
      <c r="N178" s="12" t="s">
        <v>300</v>
      </c>
      <c r="O178" s="308"/>
      <c r="P178" s="308"/>
      <c r="Q178" s="11"/>
      <c r="S178" s="293" t="s">
        <v>81</v>
      </c>
      <c r="T178" s="12" t="s">
        <v>82</v>
      </c>
      <c r="U178" s="12"/>
      <c r="V178" s="308"/>
      <c r="W178" s="12" t="s">
        <v>300</v>
      </c>
      <c r="X178" s="308"/>
      <c r="Y178" s="308"/>
      <c r="Z178" s="11"/>
      <c r="AB178" s="293" t="s">
        <v>81</v>
      </c>
      <c r="AC178" s="12" t="s">
        <v>82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145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145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145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145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141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141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141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141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81</v>
      </c>
      <c r="B204" s="331" t="s">
        <v>82</v>
      </c>
      <c r="C204" s="331"/>
      <c r="D204" s="331"/>
      <c r="E204" s="308"/>
      <c r="F204" s="308"/>
      <c r="G204" s="308"/>
      <c r="H204" s="11"/>
      <c r="J204" s="397" t="s">
        <v>81</v>
      </c>
      <c r="K204" s="398" t="s">
        <v>82</v>
      </c>
      <c r="L204" s="398"/>
      <c r="M204" s="398"/>
      <c r="N204" s="308"/>
      <c r="O204" s="308"/>
      <c r="P204" s="308"/>
      <c r="Q204" s="11"/>
      <c r="S204" s="397" t="s">
        <v>81</v>
      </c>
      <c r="T204" s="331" t="s">
        <v>82</v>
      </c>
      <c r="U204" s="331"/>
      <c r="V204" s="331"/>
      <c r="W204" s="308"/>
      <c r="X204" s="308"/>
      <c r="Y204" s="308"/>
      <c r="Z204" s="11"/>
      <c r="AB204" s="397" t="s">
        <v>81</v>
      </c>
      <c r="AC204" s="331" t="s">
        <v>82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1639.88541555755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78" colorId="64" zoomScale="75" zoomScaleNormal="75" zoomScalePageLayoutView="100" workbookViewId="0">
      <selection pane="topLeft" activeCell="B82" activeCellId="0" sqref="B82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6" customWidth="true" hidden="false" style="288" width="18.88" collapsed="false" outlineLevel="0"/>
    <col min="7" max="7" customWidth="true" hidden="false" style="288" width="23.13" collapsed="false" outlineLevel="0"/>
    <col min="8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21.15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1661.03541555755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21.15</v>
      </c>
      <c r="C167" s="439"/>
      <c r="D167" s="439"/>
      <c r="E167" s="286" t="n">
        <f aca="false">B96</f>
        <v>1661.03541555755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1661.03541555755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1" colorId="64" zoomScale="75" zoomScaleNormal="75" zoomScalePageLayoutView="100" workbookViewId="0">
      <selection pane="topLeft" activeCell="H36" activeCellId="0" sqref="H36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6" customWidth="true" hidden="false" style="288" width="18.88" collapsed="false" outlineLevel="0"/>
    <col min="7" max="7" customWidth="true" hidden="false" style="288" width="23.13" collapsed="false" outlineLevel="0"/>
    <col min="8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17.625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1657.51041555755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17.625</v>
      </c>
      <c r="C167" s="439"/>
      <c r="D167" s="439"/>
      <c r="E167" s="286" t="n">
        <f aca="false">B96</f>
        <v>1657.51041555755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1657.51041555755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B83" activeCellId="0" sqref="B83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6" customWidth="true" hidden="false" style="288" width="18.88" collapsed="false" outlineLevel="0"/>
    <col min="7" max="7" customWidth="true" hidden="false" style="288" width="23.13" collapsed="false" outlineLevel="0"/>
    <col min="8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5.28</v>
      </c>
      <c r="E32" s="407"/>
      <c r="F32" s="171"/>
      <c r="G32" s="408" t="s">
        <v>319</v>
      </c>
      <c r="H32" s="406" t="n">
        <f aca="false">A41</f>
        <v>5.28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505.28</v>
      </c>
      <c r="B35" s="40" t="n">
        <v>12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n">
        <v>63.33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v>5.28</v>
      </c>
      <c r="B41" s="58" t="n">
        <f aca="false">IF(B38="YES", D38+A41, D38)</f>
        <v>505.28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5.28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506.28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n">
        <f aca="false">H29</f>
        <v>12</v>
      </c>
      <c r="B53" s="71" t="n">
        <f aca="false">H45</f>
        <v>506.28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11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0.0105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45782.5956230768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501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 0,0)</f>
        <v>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0.0995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0.00829166666666667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12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 t="n">
        <f aca="false">(B82/((1+B84)^(B85+1)))</f>
        <v>0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11.3775176629575</v>
      </c>
      <c r="C87" s="402" t="n">
        <f aca="false">((1-(1/((1+B84)^B85)))/B84)</f>
        <v>11.3775176629575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47877.5</v>
      </c>
      <c r="C88" s="402" t="n">
        <f aca="false">B81-B86</f>
        <v>47877.5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4208.07960209789</v>
      </c>
      <c r="C89" s="402" t="n">
        <f aca="false">(B88/B87)</f>
        <v>4208.07960209789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50496.9552251747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50496.9552251747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7.5996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4208.07960209789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4215.67920209789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338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0.0995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28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4208.07960209789</v>
      </c>
      <c r="B167" s="286" t="n">
        <f aca="false">B94</f>
        <v>7.5996</v>
      </c>
      <c r="C167" s="439"/>
      <c r="D167" s="439"/>
      <c r="E167" s="286" t="n">
        <f aca="false">B96</f>
        <v>4215.67920209789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n">
        <f aca="false">IF(A111="YES", A40, 0)</f>
        <v>0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10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4215.67920209789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9" colorId="64" zoomScale="75" zoomScaleNormal="75" zoomScalePageLayoutView="100" workbookViewId="0">
      <selection pane="topLeft" activeCell="A128" activeCellId="0" sqref="A12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5.28</v>
      </c>
      <c r="E32" s="407"/>
      <c r="F32" s="171"/>
      <c r="G32" s="408" t="s">
        <v>319</v>
      </c>
      <c r="H32" s="406" t="str">
        <f aca="false">A41</f>
        <v>5.28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505.28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339</v>
      </c>
      <c r="B41" s="58" t="n">
        <f aca="false">IF(B38="YES", D38+A41, D38)</f>
        <v>505.28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str">
        <f aca="false">H32</f>
        <v>5.28</v>
      </c>
      <c r="I44" s="65" t="n">
        <f aca="false">((A41*(B35-1))+D32)/B35</f>
        <v>5.28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506.28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506.28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98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99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6.864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574.763522656985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6.864</v>
      </c>
      <c r="C134" s="191"/>
      <c r="D134" s="120" t="n">
        <f aca="false">B97</f>
        <v>574.763522656985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567.899522656985</v>
      </c>
      <c r="C137" s="13"/>
      <c r="D137" s="136" t="n">
        <f aca="false">IF(A111="YES", B95*B63, 0)</f>
        <v>6.864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574.763522656985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6.864</v>
      </c>
      <c r="C143" s="13"/>
      <c r="D143" s="136" t="n">
        <f aca="false">B97</f>
        <v>574.763522656985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1.2672</v>
      </c>
      <c r="H148" s="164" t="n">
        <f aca="false">G108-100</f>
        <v>139.988</v>
      </c>
      <c r="I148" s="164"/>
      <c r="J148" s="164" t="n">
        <f aca="false">(H145+J145+G148+H148)-H151</f>
        <v>1462.4427</v>
      </c>
      <c r="K148" s="146"/>
      <c r="L148" s="171"/>
      <c r="M148" s="141" t="n">
        <f aca="false">IF(M111="YES", ((A41*N111)*0.1)*(M133), 0)</f>
        <v>1.2672</v>
      </c>
      <c r="N148" s="164" t="n">
        <f aca="false">M108-100</f>
        <v>99.99</v>
      </c>
      <c r="O148" s="164"/>
      <c r="P148" s="164" t="n">
        <f aca="false">(N145+P145+M148+N148)-N151</f>
        <v>1422.4447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574.763522656985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6.864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567.899522656985</v>
      </c>
      <c r="C180" s="31"/>
      <c r="D180" s="164" t="n">
        <f aca="false">IF(A111="YES", B95*B63, 0)</f>
        <v>6.864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574.763522656985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6.864</v>
      </c>
      <c r="C186" s="31"/>
      <c r="D186" s="164" t="n">
        <f aca="false">B97</f>
        <v>574.763522656985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B32" activeCellId="0" sqref="B3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750.995946282103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0</v>
      </c>
      <c r="C134" s="191"/>
      <c r="D134" s="120" t="n">
        <f aca="false">B97</f>
        <v>750.995946282103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750.995946282103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750.995946282103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0</v>
      </c>
      <c r="C143" s="13"/>
      <c r="D143" s="136" t="n">
        <f aca="false">B97</f>
        <v>750.995946282103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678.841666666667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750.995946282103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0</v>
      </c>
      <c r="C177" s="192"/>
      <c r="D177" s="160" t="n">
        <f aca="false">B91</f>
        <v>12920.74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750.995946282103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750.995946282103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0</v>
      </c>
      <c r="C186" s="31"/>
      <c r="D186" s="164" t="n">
        <f aca="false">B97</f>
        <v>750.995946282103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678.841666666667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99.9916666666667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567.899522656985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0</v>
      </c>
      <c r="C134" s="191"/>
      <c r="D134" s="120" t="n">
        <f aca="false">B97</f>
        <v>567.899522656985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567.899522656985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567.899522656985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0</v>
      </c>
      <c r="C143" s="13"/>
      <c r="D143" s="136" t="n">
        <f aca="false">B97</f>
        <v>567.899522656985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678.84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567.899522656985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0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567.899522656985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567.899522656985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0</v>
      </c>
      <c r="C186" s="31"/>
      <c r="D186" s="164" t="n">
        <f aca="false">B97</f>
        <v>567.899522656985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678.84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76" colorId="64" zoomScale="75" zoomScaleNormal="75" zoomScalePageLayoutView="100" workbookViewId="0">
      <selection pane="topLeft" activeCell="A111" activeCellId="0" sqref="A111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6" customWidth="true" hidden="false" style="288" width="18.88" collapsed="false" outlineLevel="0"/>
    <col min="7" max="7" customWidth="true" hidden="false" style="288" width="23.13" collapsed="false" outlineLevel="0"/>
    <col min="8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5.2775</v>
      </c>
      <c r="E32" s="407"/>
      <c r="F32" s="171"/>
      <c r="G32" s="408" t="s">
        <v>319</v>
      </c>
      <c r="H32" s="406" t="n">
        <f aca="false">A41</f>
        <v>5.2775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505.2775</v>
      </c>
      <c r="B35" s="40" t="n">
        <v>12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n">
        <v>63.33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5.2775</v>
      </c>
      <c r="B41" s="58" t="n">
        <f aca="false">IF(B38="YES", D38+A41, D38)</f>
        <v>505.2775</v>
      </c>
      <c r="C41" s="58"/>
      <c r="D41" s="45" t="n">
        <v>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5.2775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506.2775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n">
        <f aca="false">H29</f>
        <v>12</v>
      </c>
      <c r="B53" s="71" t="n">
        <f aca="false">H45</f>
        <v>506.2775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11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0.0105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46966.3826358018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501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 0,0)</f>
        <v>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0.1475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0.0122916666666667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12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 t="n">
        <f aca="false">(B82/((1+B84)^(B85+1)))</f>
        <v>0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11.0938063823144</v>
      </c>
      <c r="C87" s="402" t="n">
        <f aca="false">((1-(1/((1+B84)^B85)))/B84)</f>
        <v>11.0938063823144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47877.5</v>
      </c>
      <c r="C88" s="402" t="n">
        <f aca="false">B81-B86</f>
        <v>47877.5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4315.69637598198</v>
      </c>
      <c r="C89" s="402" t="n">
        <f aca="false">(B88/B87)</f>
        <v>4315.69637598198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51788.3565117837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51788.3565117837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6.333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4315.69637598198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4322.02937598198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0.1475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28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4315.69637598198</v>
      </c>
      <c r="B167" s="286" t="n">
        <f aca="false">B94</f>
        <v>6.333</v>
      </c>
      <c r="C167" s="439"/>
      <c r="D167" s="439"/>
      <c r="E167" s="286" t="n">
        <f aca="false">B96</f>
        <v>4322.02937598198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n">
        <f aca="false">IF(A111="YES", A40, 0)</f>
        <v>0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10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4322.02937598198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8" colorId="64" zoomScale="75" zoomScaleNormal="75" zoomScalePageLayoutView="100" workbookViewId="0">
      <selection pane="topLeft" activeCell="E105" activeCellId="0" sqref="E105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K9" s="288" t="s">
        <v>27</v>
      </c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  <c r="K10" s="288" t="s">
        <v>28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28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/>
      <c r="J32" s="33" t="s">
        <v>46</v>
      </c>
      <c r="K32" s="218" t="n">
        <v>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922.920864561026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44866.9008605665</v>
      </c>
      <c r="N39" s="288" t="n">
        <f aca="false">K39-L39</f>
        <v>4010.59913943349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str">
        <f aca="false">IF(B26="YES",K42,"0")</f>
        <v>0</v>
      </c>
      <c r="C40" s="113"/>
      <c r="D40" s="113"/>
      <c r="E40" s="63" t="n">
        <f aca="false">K32</f>
        <v>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288" t="n">
        <f aca="false">N38-N39</f>
        <v>-1098.91913943349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(K32/K36)*C45/100</f>
        <v>0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49" t="s">
        <v>236</v>
      </c>
      <c r="B45" s="402"/>
      <c r="C45" s="325" t="s">
        <v>236</v>
      </c>
      <c r="D45" s="325"/>
      <c r="E45" s="325"/>
      <c r="F45" s="402"/>
      <c r="G45" s="402"/>
      <c r="H45" s="11"/>
      <c r="J45" s="53" t="s">
        <v>341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288" t="n">
        <f aca="false">K47-L47</f>
        <v>122.920864561025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922.920864561026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922.920864561026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9431.52556441513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-756.0974340266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0.01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(G158*B67)</f>
        <v>585.25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B73*K29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02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922.920864561026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922.920864561026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58525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45468.749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21076.7652577131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30.7264493562845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37448.2347422869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26865.8831902377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1218.7621911032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927.687248290581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42656.676688612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32469.0536901703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42656.676688612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32469.0536901703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429" t="str">
        <f aca="false">IF(B26="YES",((E40/B85)*(1+A108)),"0")</f>
        <v>0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0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0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0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1218.7621911032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927.687248290581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B94+B95</f>
        <v>1218.7621911032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1477.31306457009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927.687248290581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927.687248290581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0" t="s">
        <v>28</v>
      </c>
      <c r="F105" s="450"/>
      <c r="G105" s="450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343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(U121*U122)+U123</f>
        <v>11713.5425</v>
      </c>
      <c r="V124" s="435" t="n">
        <f aca="false">(V121*V122)+V123</f>
        <v>0</v>
      </c>
      <c r="W124" s="264" t="n">
        <f aca="false">(W121*W122)+W123</f>
        <v>0</v>
      </c>
      <c r="X124" s="435" t="n">
        <f aca="false">(X121*X122)+X123</f>
        <v>0</v>
      </c>
      <c r="Y124" s="264" t="n">
        <f aca="false">(Y121*Y122)+Y123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35140.6275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47687.5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35973.9575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9647.5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7304.7915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58525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44468.749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58525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44468.749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0</v>
      </c>
      <c r="I148" s="288" t="n">
        <f aca="false">(H148-G81)/1.2</f>
        <v>0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-14056.251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58525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45468.749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1218.7621911032</v>
      </c>
      <c r="B167" s="286" t="str">
        <f aca="false">B94</f>
        <v>0</v>
      </c>
      <c r="C167" s="439"/>
      <c r="D167" s="439"/>
      <c r="E167" s="286" t="n">
        <f aca="false">B96</f>
        <v>1218.7621911032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0</v>
      </c>
      <c r="L167" s="439"/>
      <c r="M167" s="439"/>
      <c r="N167" s="286" t="n">
        <f aca="false">K96</f>
        <v>1477.31306457009</v>
      </c>
      <c r="O167" s="308"/>
      <c r="P167" s="308"/>
      <c r="Q167" s="11"/>
      <c r="S167" s="393" t="n">
        <f aca="false">T95</f>
        <v>927.687248290581</v>
      </c>
      <c r="T167" s="286" t="n">
        <f aca="false">T94</f>
        <v>0</v>
      </c>
      <c r="U167" s="439"/>
      <c r="V167" s="439"/>
      <c r="W167" s="286" t="n">
        <f aca="false">T96</f>
        <v>927.687248290581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0</v>
      </c>
      <c r="AD167" s="439"/>
      <c r="AE167" s="439"/>
      <c r="AF167" s="286" t="n">
        <f aca="false">AC96</f>
        <v>927.687248290581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K29</f>
        <v>36</v>
      </c>
      <c r="B170" s="126" t="n">
        <f aca="false">K30</f>
        <v>10000</v>
      </c>
      <c r="C170" s="440"/>
      <c r="D170" s="308"/>
      <c r="E170" s="63" t="n">
        <f aca="false">IF(A111="YES", 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36523.9575</v>
      </c>
      <c r="T173" s="164" t="n">
        <f aca="false">Z137</f>
        <v>7304.7915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H147</f>
        <v>58525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44468.749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58525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45468.749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11631.676688612</v>
      </c>
      <c r="B182" s="164" t="str">
        <f aca="false">B114</f>
        <v>199.99</v>
      </c>
      <c r="C182" s="164"/>
      <c r="D182" s="308"/>
      <c r="E182" s="164" t="n">
        <f aca="false">E179+A182+B182+A185</f>
        <v>70366.6666886121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14500.3046901703</v>
      </c>
      <c r="T182" s="164" t="n">
        <f aca="false">T114</f>
        <v>199.99</v>
      </c>
      <c r="U182" s="164"/>
      <c r="V182" s="308"/>
      <c r="W182" s="164" t="n">
        <f aca="false">W179+S182+T182+S185</f>
        <v>60179.0436901703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585.25</v>
      </c>
      <c r="C188" s="402"/>
      <c r="D188" s="402"/>
      <c r="E188" s="164" t="n">
        <f aca="false">(E40*A108)*0.1</f>
        <v>0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0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378.906241666667</v>
      </c>
      <c r="U188" s="402"/>
      <c r="V188" s="402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685.24</v>
      </c>
      <c r="C191" s="402"/>
      <c r="D191" s="402"/>
      <c r="E191" s="164" t="n">
        <f aca="false">H148</f>
        <v>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3493.4275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1478.89624166667</v>
      </c>
      <c r="U191" s="402"/>
      <c r="V191" s="402"/>
      <c r="W191" s="164" t="n">
        <f aca="false">Z148</f>
        <v>-14056.251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1218.7621911032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1477.31306457009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927.687248290581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927.687248290581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J111 S111 AB111" type="list">
      <formula1>#ref!</formula1>
      <formula2>0</formula2>
    </dataValidation>
    <dataValidation allowBlank="true" errorStyle="stop" operator="between" showDropDown="false" showErrorMessage="true" showInputMessage="true" sqref="B26 E105 A111" type="list">
      <formula1>HirePurchaseNonRegulated!$K$9:$K$10</formula1>
      <formula2>0</formula2>
    </dataValidation>
    <dataValidation allowBlank="true" errorStyle="stop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60</v>
      </c>
      <c r="E32" s="407"/>
      <c r="F32" s="171"/>
      <c r="G32" s="408" t="s">
        <v>319</v>
      </c>
      <c r="H32" s="406" t="str">
        <f aca="false">A41</f>
        <v>60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560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344</v>
      </c>
      <c r="B41" s="58" t="n">
        <f aca="false">IF(B38="YES", D38+A41, D38)</f>
        <v>560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345</v>
      </c>
      <c r="E44" s="45"/>
      <c r="F44" s="171"/>
      <c r="G44" s="171" t="s">
        <v>332</v>
      </c>
      <c r="H44" s="226" t="str">
        <f aca="false">H32</f>
        <v>60</v>
      </c>
      <c r="I44" s="65" t="n">
        <f aca="false">((A41*(B35-1))+D32)/B35</f>
        <v>60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561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561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75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98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99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78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645.899522656985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347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30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78</v>
      </c>
      <c r="C134" s="191"/>
      <c r="D134" s="120" t="n">
        <f aca="false">B97</f>
        <v>645.899522656985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567.899522656985</v>
      </c>
      <c r="C137" s="13"/>
      <c r="D137" s="136" t="n">
        <f aca="false">IF(A111="YES", B95*B63, 0)</f>
        <v>78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645.899522656985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78</v>
      </c>
      <c r="C143" s="13"/>
      <c r="D143" s="136" t="n">
        <f aca="false">B97</f>
        <v>645.899522656985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14.4</v>
      </c>
      <c r="H148" s="164" t="n">
        <f aca="false">G108-100</f>
        <v>139.988</v>
      </c>
      <c r="I148" s="164"/>
      <c r="J148" s="164" t="n">
        <f aca="false">(H145+J145+G148+H148)-H151</f>
        <v>1475.5755</v>
      </c>
      <c r="K148" s="146"/>
      <c r="L148" s="171"/>
      <c r="M148" s="141" t="n">
        <f aca="false">IF(M111="YES", ((A41*N111)*0.1)*(M133), 0)</f>
        <v>14.4</v>
      </c>
      <c r="N148" s="164" t="n">
        <f aca="false">M108-100</f>
        <v>99.99</v>
      </c>
      <c r="O148" s="164"/>
      <c r="P148" s="164" t="n">
        <f aca="false">(N145+P145+M148+N148)-N151</f>
        <v>1435.5775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645.899522656985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78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567.899522656985</v>
      </c>
      <c r="C180" s="31"/>
      <c r="D180" s="164" t="n">
        <f aca="false">IF(A111="YES", B95*B63, 0)</f>
        <v>78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645.899522656985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78</v>
      </c>
      <c r="C186" s="31"/>
      <c r="D186" s="164" t="n">
        <f aca="false">B97</f>
        <v>645.899522656985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9" colorId="64" zoomScale="75" zoomScaleNormal="75" zoomScalePageLayoutView="100" workbookViewId="0">
      <selection pane="topLeft" activeCell="A128" activeCellId="0" sqref="A12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str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219</v>
      </c>
      <c r="B41" s="58" t="str">
        <f aca="false">IF(B38="YES", D38+A41, D38)</f>
        <v>500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219</v>
      </c>
      <c r="E44" s="45"/>
      <c r="F44" s="171"/>
      <c r="G44" s="171" t="s">
        <v>332</v>
      </c>
      <c r="H44" s="226" t="str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76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750.995946282103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0</v>
      </c>
      <c r="C134" s="191"/>
      <c r="D134" s="120" t="n">
        <f aca="false">B97</f>
        <v>750.995946282103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750.995946282103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750.995946282103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0</v>
      </c>
      <c r="C143" s="13"/>
      <c r="D143" s="136" t="n">
        <f aca="false">B97</f>
        <v>750.995946282103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678.841666666667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750.995946282103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0</v>
      </c>
      <c r="C177" s="192"/>
      <c r="D177" s="160" t="n">
        <f aca="false">B97</f>
        <v>750.995946282103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750.995946282103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750.995946282103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0</v>
      </c>
      <c r="C186" s="31"/>
      <c r="D186" s="164" t="n">
        <f aca="false">B97</f>
        <v>750.995946282103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678.841666666667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99.9916666666667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216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346</v>
      </c>
      <c r="E44" s="45"/>
      <c r="F44" s="171"/>
      <c r="G44" s="171" t="s">
        <v>332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631.541224059881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20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60</v>
      </c>
      <c r="C134" s="191"/>
      <c r="D134" s="120" t="n">
        <f aca="false">B97</f>
        <v>631.541224059881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571.541224059881</v>
      </c>
      <c r="C137" s="13"/>
      <c r="D137" s="136" t="n">
        <f aca="false">IF(A111="YES", B95*B63, 0)</f>
        <v>60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631.541224059881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60</v>
      </c>
      <c r="C143" s="13"/>
      <c r="D143" s="136" t="n">
        <f aca="false">B97</f>
        <v>631.541224059881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28.8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707.64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631.541224059881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60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571.541224059881</v>
      </c>
      <c r="C180" s="31"/>
      <c r="D180" s="164" t="n">
        <f aca="false">IF(A111="YES", B95*B63, 0)</f>
        <v>60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631.541224059881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60</v>
      </c>
      <c r="C186" s="31"/>
      <c r="D186" s="164" t="n">
        <f aca="false">B97</f>
        <v>631.541224059881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2.88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707.64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128.79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3601.89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3601.89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28.8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B94" activeCellId="0" sqref="B94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0.0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0.0</v>
      </c>
      <c r="C4" s="400" t="n">
        <v>0</v>
      </c>
      <c r="D4" s="400" t="n">
        <v>0.0</v>
      </c>
      <c r="E4" s="400"/>
      <c r="F4" s="400" t="n">
        <v>0.0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0.0</v>
      </c>
      <c r="C5" s="294" t="n">
        <v>0</v>
      </c>
      <c r="D5" s="294" t="n">
        <v>0.0</v>
      </c>
      <c r="E5" s="294"/>
      <c r="F5" s="294" t="n">
        <v>0.0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550</v>
      </c>
      <c r="F10" s="301"/>
      <c r="G10" s="43"/>
      <c r="H10" s="8" t="n">
        <v>550.0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555</v>
      </c>
      <c r="F13" s="301"/>
      <c r="G13" s="43"/>
      <c r="H13" s="8" t="n">
        <v>585.0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0</v>
      </c>
      <c r="F16" s="301"/>
      <c r="G16" s="43"/>
      <c r="H16" s="8" t="n">
        <v>0.0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352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36.0</v>
      </c>
      <c r="P29" s="404"/>
    </row>
    <row r="30" customFormat="false" ht="17.9" hidden="false" customHeight="false" outlineLevel="0" collapsed="false">
      <c r="A30" s="293" t="s">
        <v>148</v>
      </c>
      <c r="B30" s="45" t="s">
        <v>354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10000.0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27500.0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1030.0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922.920864561026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44866.9008605665</v>
      </c>
      <c r="N39" s="288" t="n">
        <f aca="false">K39-L39</f>
        <v>4010.59913943349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288" t="n">
        <f aca="false">N38-N39</f>
        <v>-1098.91913943349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0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2" t="s">
        <v>355</v>
      </c>
      <c r="B45" s="402"/>
      <c r="C45" s="453" t="s">
        <v>355</v>
      </c>
      <c r="D45" s="453"/>
      <c r="E45" s="453"/>
      <c r="F45" s="402"/>
      <c r="G45" s="402"/>
      <c r="H45" s="11"/>
      <c r="J45" s="53" t="s">
        <v>341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288" t="n">
        <f aca="false">K47-L47</f>
        <v>122.920864561025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922.920864561026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922.920864561026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10.0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0.0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15827.3446084403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B66+(B66*0.25*(B29/12-1))</f>
        <v>0.00375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B61*B67</f>
        <v>214.59375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922.920864561026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922.920864561026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58525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0.137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18274.642159497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28.719487222345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40250.357840503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1401.49987807535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49052.4957326372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49052.4957326372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str">
        <f aca="false">IF(B26="YES",((E40/B85)*(1+A108)*1.2),"0")</f>
        <v>0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0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0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0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1401.49987807535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1401.49987807535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1477.31306457009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1408.20027188803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927.687248290581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273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352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356</v>
      </c>
      <c r="C108" s="113"/>
      <c r="D108" s="113"/>
      <c r="E108" s="354" t="n">
        <f aca="false">B83</f>
        <v>0.137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352</v>
      </c>
      <c r="B111" s="113" t="n">
        <v>200.0</v>
      </c>
      <c r="C111" s="113"/>
      <c r="D111" s="113"/>
      <c r="E111" s="113" t="n">
        <v>200.0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0</v>
      </c>
      <c r="B114" s="113" t="s">
        <v>359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0.0</v>
      </c>
      <c r="D122" s="433" t="n">
        <f aca="false">D4</f>
        <v>0</v>
      </c>
      <c r="E122" s="400" t="n">
        <f aca="false">D122</f>
        <v>0.0</v>
      </c>
      <c r="F122" s="433" t="n">
        <f aca="false">F4</f>
        <v>0</v>
      </c>
      <c r="G122" s="434" t="n">
        <f aca="false">F122</f>
        <v>0.0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-1000.0</v>
      </c>
      <c r="D123" s="435" t="n">
        <f aca="false">D5</f>
        <v>0</v>
      </c>
      <c r="E123" s="432" t="n">
        <f aca="false">D123</f>
        <v>0.0</v>
      </c>
      <c r="F123" s="435" t="n">
        <f aca="false">F5</f>
        <v>0</v>
      </c>
      <c r="G123" s="432" t="n">
        <f aca="false">F123</f>
        <v>0.0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47687.5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9647.5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58525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58525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Q147-P147</f>
        <v>-21870</v>
      </c>
      <c r="I148" s="288" t="n">
        <f aca="false">(H148-G81)/1.2</f>
        <v>-18225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2000.0</v>
      </c>
      <c r="F152" s="113"/>
      <c r="G152" s="113" t="n">
        <v>1000.0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500.0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58525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1401.49987807535</v>
      </c>
      <c r="B167" s="286" t="str">
        <f aca="false">B94</f>
        <v>0</v>
      </c>
      <c r="C167" s="439"/>
      <c r="D167" s="439"/>
      <c r="E167" s="286" t="n">
        <f aca="false">B96</f>
        <v>1401.49987807535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0</v>
      </c>
      <c r="L167" s="439"/>
      <c r="M167" s="439"/>
      <c r="N167" s="286" t="n">
        <f aca="false">K96</f>
        <v>1477.31306457009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0</v>
      </c>
      <c r="U167" s="439"/>
      <c r="V167" s="439"/>
      <c r="W167" s="286" t="n">
        <f aca="false">T96</f>
        <v>1408.20027188803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0</v>
      </c>
      <c r="AD167" s="439"/>
      <c r="AE167" s="439"/>
      <c r="AF167" s="286" t="n">
        <f aca="false">AC96</f>
        <v>927.687248290581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58525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58525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18027.4957326372</v>
      </c>
      <c r="B182" s="164" t="str">
        <f aca="false">B114</f>
        <v>239.99</v>
      </c>
      <c r="C182" s="164"/>
      <c r="D182" s="308"/>
      <c r="E182" s="164" t="n">
        <f aca="false">E179+A182+B182+A185</f>
        <v>76802.4857326372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239.99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182.890625</v>
      </c>
      <c r="C188" s="402"/>
      <c r="D188" s="402"/>
      <c r="E188" s="164" t="n">
        <f aca="false">(E40*A108)*0.1</f>
        <v>0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0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139.99</v>
      </c>
      <c r="B191" s="164" t="n">
        <f aca="false">B188+E188+A191</f>
        <v>322.880625</v>
      </c>
      <c r="C191" s="402"/>
      <c r="D191" s="402"/>
      <c r="E191" s="164" t="n">
        <f aca="false">H148</f>
        <v>-21870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3493.4275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1594.86031241667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str">
        <f aca="false">B30</f>
        <v>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B29</f>
        <v>0</v>
      </c>
      <c r="B197" s="71" t="n">
        <f aca="false">B96</f>
        <v>1401.49987807535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1477.31306457009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1408.20027188803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927.687248290581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I3" activeCellId="0" sqref="I3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0.0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0.0</v>
      </c>
      <c r="C4" s="400" t="n">
        <v>0</v>
      </c>
      <c r="D4" s="400" t="n">
        <v>0.0</v>
      </c>
      <c r="E4" s="400"/>
      <c r="F4" s="400" t="n">
        <v>0.0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0.0</v>
      </c>
      <c r="C5" s="294" t="n">
        <v>0</v>
      </c>
      <c r="D5" s="294" t="n">
        <v>0.0</v>
      </c>
      <c r="E5" s="294"/>
      <c r="F5" s="294" t="n">
        <v>0.0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550.0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585.0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55.0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0.0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353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36.0</v>
      </c>
      <c r="P29" s="404"/>
    </row>
    <row r="30" customFormat="false" ht="17.9" hidden="false" customHeight="false" outlineLevel="0" collapsed="false">
      <c r="A30" s="293" t="s">
        <v>148</v>
      </c>
      <c r="B30" s="45" t="s">
        <v>354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10000.0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27500.0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0.0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922.920864561026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44866.9008605665</v>
      </c>
      <c r="N39" s="288" t="n">
        <f aca="false">K39-L39</f>
        <v>4010.59913943349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288" t="n">
        <f aca="false">N38-N39</f>
        <v>-1098.91913943349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0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2" t="s">
        <v>355</v>
      </c>
      <c r="B45" s="402"/>
      <c r="C45" s="453" t="s">
        <v>355</v>
      </c>
      <c r="D45" s="453"/>
      <c r="E45" s="453"/>
      <c r="F45" s="402"/>
      <c r="G45" s="402"/>
      <c r="H45" s="11"/>
      <c r="J45" s="53" t="s">
        <v>341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288" t="n">
        <f aca="false">K47-L47</f>
        <v>122.920864561025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922.920864561026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922.920864561026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10.0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0.0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15827.3446084403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B66+(B66*0.25*(B29/12-1))</f>
        <v>0.00375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B61*B67</f>
        <v>214.59375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922.920864561026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922.920864561026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58525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0.137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18274.642159497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28.719487222345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40250.357840503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1401.49987807535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49052.4957326372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49052.4957326372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str">
        <f aca="false">IF(B26="YES",((E40/B85)*(1+A108)),"0")</f>
        <v>0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0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0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0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1401.49987807535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1401.49987807535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1477.31306457009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1408.20027188803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927.687248290581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353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358</v>
      </c>
      <c r="C108" s="113"/>
      <c r="D108" s="113"/>
      <c r="E108" s="354" t="n">
        <f aca="false">B83</f>
        <v>0.137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352</v>
      </c>
      <c r="B111" s="113" t="n">
        <v>1000.0</v>
      </c>
      <c r="C111" s="113"/>
      <c r="D111" s="113"/>
      <c r="E111" s="113" t="n">
        <v>1000.0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0</v>
      </c>
      <c r="B114" s="113" t="s">
        <v>357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0.0</v>
      </c>
      <c r="D122" s="433" t="n">
        <f aca="false">D4</f>
        <v>0</v>
      </c>
      <c r="E122" s="400" t="n">
        <f aca="false">D122</f>
        <v>0.0</v>
      </c>
      <c r="F122" s="433" t="n">
        <f aca="false">F4</f>
        <v>0</v>
      </c>
      <c r="G122" s="434" t="n">
        <f aca="false">F122</f>
        <v>0.0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-1000.0</v>
      </c>
      <c r="D123" s="435" t="n">
        <f aca="false">D5</f>
        <v>0</v>
      </c>
      <c r="E123" s="432" t="n">
        <f aca="false">D123</f>
        <v>0.0</v>
      </c>
      <c r="F123" s="435" t="n">
        <f aca="false">F5</f>
        <v>0</v>
      </c>
      <c r="G123" s="432" t="n">
        <f aca="false">F123</f>
        <v>0.0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47687.5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9647.5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58525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58525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Q147-P147</f>
        <v>-21870</v>
      </c>
      <c r="I148" s="288" t="n">
        <f aca="false">(H148-G81)/1.2</f>
        <v>-18225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2000.0</v>
      </c>
      <c r="F152" s="113"/>
      <c r="G152" s="113" t="n">
        <v>1000.0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500.0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58525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1401.49987807535</v>
      </c>
      <c r="B167" s="286" t="str">
        <f aca="false">B94</f>
        <v>0</v>
      </c>
      <c r="C167" s="439"/>
      <c r="D167" s="439"/>
      <c r="E167" s="286" t="n">
        <f aca="false">B96</f>
        <v>1401.49987807535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0</v>
      </c>
      <c r="L167" s="439"/>
      <c r="M167" s="439"/>
      <c r="N167" s="286" t="n">
        <f aca="false">K96</f>
        <v>1477.31306457009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0</v>
      </c>
      <c r="U167" s="439"/>
      <c r="V167" s="439"/>
      <c r="W167" s="286" t="n">
        <f aca="false">T96</f>
        <v>1408.20027188803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0</v>
      </c>
      <c r="AD167" s="439"/>
      <c r="AE167" s="439"/>
      <c r="AF167" s="286" t="n">
        <f aca="false">AC96</f>
        <v>927.687248290581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58525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58525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18027.4957326372</v>
      </c>
      <c r="B182" s="164" t="str">
        <f aca="false">B114</f>
        <v>199.99</v>
      </c>
      <c r="C182" s="164"/>
      <c r="D182" s="308"/>
      <c r="E182" s="164" t="n">
        <f aca="false">E179+A182+B182+A185</f>
        <v>76762.4857326372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182.890625</v>
      </c>
      <c r="C188" s="402"/>
      <c r="D188" s="402"/>
      <c r="E188" s="164" t="n">
        <f aca="false">(E40*A108)*0.1</f>
        <v>0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0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282.880625</v>
      </c>
      <c r="C191" s="402"/>
      <c r="D191" s="402"/>
      <c r="E191" s="164" t="n">
        <f aca="false">H148</f>
        <v>-21870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3493.4275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1594.86031241667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str">
        <f aca="false">B30</f>
        <v>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B29</f>
        <v>0</v>
      </c>
      <c r="B197" s="71" t="n">
        <f aca="false">B96</f>
        <v>1401.49987807535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1477.31306457009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1408.20027188803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927.687248290581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K108" activeCellId="0" sqref="K108"/>
    </sheetView>
  </sheetViews>
  <sheetFormatPr defaultColWidth="8.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2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2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2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27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1030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n">
        <f aca="false">IF(B26="YES", K42, "0.00")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4" t="s">
        <v>236</v>
      </c>
      <c r="B45" s="402"/>
      <c r="C45" s="453" t="s">
        <v>236</v>
      </c>
      <c r="D45" s="453"/>
      <c r="E45" s="453"/>
      <c r="F45" s="402"/>
      <c r="G45" s="402"/>
      <c r="H45" s="11"/>
      <c r="J45" s="53" t="s">
        <v>341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9431.52556441513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B66+(B66*0.25*(B29/12-1))</f>
        <v>0.00375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B61*B67</f>
        <v>214.59375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58525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21076.7652577131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30.7264493562845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37448.2347422869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1218.7621911032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42656.676688612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42656.676688612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n">
        <f aca="false">IF(B26="YES",((E40/B85)*(1+A108)*1.2),"0")</f>
        <v>42.3771428571428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1218.7621911032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1261.13933396034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1443.51455760232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271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343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0</v>
      </c>
      <c r="B114" s="113" t="s">
        <v>348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47687.5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9647.5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58525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58525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Q147-P147</f>
        <v>-21870</v>
      </c>
      <c r="I148" s="288" t="n">
        <f aca="false">(H148-G81)/1.2</f>
        <v>-18225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58525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1218.7621911032</v>
      </c>
      <c r="B167" s="286" t="n">
        <f aca="false">B94</f>
        <v>42.3771428571428</v>
      </c>
      <c r="C167" s="439"/>
      <c r="D167" s="439"/>
      <c r="E167" s="286" t="n">
        <f aca="false">B96</f>
        <v>1261.13933396034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35.3142857142857</v>
      </c>
      <c r="U167" s="439"/>
      <c r="V167" s="439"/>
      <c r="W167" s="286" t="n">
        <f aca="false">T96</f>
        <v>1443.51455760232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48237.5</v>
      </c>
      <c r="B173" s="164" t="n">
        <f aca="false">H137</f>
        <v>9647.5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58525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58525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11631.676688612</v>
      </c>
      <c r="B182" s="164" t="str">
        <f aca="false">B114</f>
        <v>239.99</v>
      </c>
      <c r="C182" s="164"/>
      <c r="D182" s="308"/>
      <c r="E182" s="164" t="n">
        <f aca="false">E179+A182+B182+A185</f>
        <v>70406.6666886121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239.99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(G158*B67)/1.2</f>
        <v>182.890625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139.99</v>
      </c>
      <c r="B191" s="164" t="n">
        <f aca="false">B188+E188+A191</f>
        <v>343.480625</v>
      </c>
      <c r="C191" s="402"/>
      <c r="D191" s="402"/>
      <c r="E191" s="164" t="n">
        <f aca="false">H148</f>
        <v>-21870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1615.46031241667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1261.13933396034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1443.51455760232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93" colorId="64" zoomScale="75" zoomScaleNormal="75" zoomScalePageLayoutView="100" workbookViewId="0">
      <selection pane="topLeft" activeCell="B237" activeCellId="0" sqref="B237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 t="s">
        <v>27</v>
      </c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28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28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226" t="n">
        <f aca="false">IF(C107="YES",H31,0)</f>
        <v>27500</v>
      </c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922.920864561026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str">
        <f aca="false">IF(B26="YES", H42, "")</f>
        <v/>
      </c>
      <c r="C36" s="224"/>
      <c r="D36" s="140" t="n">
        <f aca="false">I31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64443.3941780653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str">
        <f aca="false">IF(B26="YES",H42,"0")</f>
        <v>0</v>
      </c>
      <c r="C40" s="113"/>
      <c r="D40" s="140" t="n">
        <f aca="false">I32</f>
        <v>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-15565.8941780653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0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922.920864561026</v>
      </c>
      <c r="I48" s="226" t="n">
        <f aca="false">I49-H42</f>
        <v>1400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922.920864561026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1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35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04"/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(B61*B66)/1.2</f>
        <v>964.75</v>
      </c>
      <c r="C67" s="203"/>
      <c r="D67" s="201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4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58" t="s">
        <v>98</v>
      </c>
      <c r="B74" s="259" t="n">
        <v>0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260" t="s">
        <v>99</v>
      </c>
      <c r="B75" s="261" t="n">
        <v>0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62" t="s">
        <v>100</v>
      </c>
      <c r="B76" s="263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64" t="n">
        <f aca="false">B102/(1-0.1)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6857.925</v>
      </c>
      <c r="C81" s="203"/>
      <c r="D81" s="203"/>
      <c r="E81" s="204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190.497916666667</v>
      </c>
      <c r="C82" s="203"/>
      <c r="D82" s="203"/>
      <c r="E82" s="204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03"/>
      <c r="D83" s="203"/>
      <c r="E83" s="204"/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</f>
        <v>40083.0761241969</v>
      </c>
      <c r="C85" s="203"/>
      <c r="D85" s="203"/>
      <c r="E85" s="204"/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(B85/(1-B70))*B70</f>
        <v>339.550059946807</v>
      </c>
      <c r="C86" s="203"/>
      <c r="D86" s="203"/>
      <c r="E86" s="204"/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IF(B110="YES",((B85+B86)-E114),(B85+B86))</f>
        <v>40422.6261841437</v>
      </c>
      <c r="C87" s="203"/>
      <c r="D87" s="203"/>
      <c r="E87" s="204"/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</f>
        <v>0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0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0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1122.85072733733</v>
      </c>
      <c r="C90" s="203"/>
      <c r="D90" s="203"/>
      <c r="E90" s="204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1122.85072733733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1189.86736688544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984.491094073066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28</v>
      </c>
      <c r="B105" s="114" t="n">
        <v>0</v>
      </c>
      <c r="C105" s="114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 t="s">
        <v>138</v>
      </c>
      <c r="C107" s="213" t="s">
        <v>27</v>
      </c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0</v>
      </c>
      <c r="I127" s="286"/>
      <c r="J127" s="134" t="n">
        <f aca="false">H91</f>
        <v>1189.86736688544</v>
      </c>
      <c r="K127" s="204"/>
      <c r="L127" s="171"/>
      <c r="M127" s="132" t="n">
        <f aca="false">N90</f>
        <v>984.491094073066</v>
      </c>
      <c r="N127" s="286" t="n">
        <f aca="false">IF(M105="YES", N89*N57, 0)</f>
        <v>0</v>
      </c>
      <c r="O127" s="286"/>
      <c r="P127" s="286" t="n">
        <f aca="false">N91</f>
        <v>984.491094073066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1122.85072733733</v>
      </c>
      <c r="B128" s="120" t="n">
        <f aca="false">IF(A105="YES", B89, 0)</f>
        <v>0</v>
      </c>
      <c r="C128" s="125"/>
      <c r="D128" s="120" t="n">
        <f aca="false">B91</f>
        <v>1122.85072733733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Monthly in advance</v>
      </c>
      <c r="B131" s="136" t="n">
        <f aca="false">B90*B57</f>
        <v>1122.85072733733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0</v>
      </c>
      <c r="I133" s="224"/>
      <c r="J133" s="140" t="n">
        <f aca="false">H91*H57</f>
        <v>7139.20420131264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0</v>
      </c>
      <c r="O133" s="224"/>
      <c r="P133" s="140" t="n">
        <f aca="false">N91*N57</f>
        <v>5906.94656443839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1122.85072733733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1122.85072733733</v>
      </c>
      <c r="B137" s="136" t="n">
        <f aca="false">IF(A105="YES", B89, 0)</f>
        <v>0</v>
      </c>
      <c r="C137" s="13"/>
      <c r="D137" s="136" t="n">
        <f aca="false">B91</f>
        <v>1122.85072733733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0</v>
      </c>
      <c r="C140" s="13"/>
      <c r="D140" s="150" t="n">
        <f aca="false">A140+B140</f>
        <v>41.6772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e">
        <f aca="false">IF(G105="YES", ((B36*H105)*0.1)*(G130), 0)</f>
        <v>#VALUE!</v>
      </c>
      <c r="H142" s="164" t="n">
        <f aca="false">G102-100</f>
        <v>99.99</v>
      </c>
      <c r="I142" s="164"/>
      <c r="J142" s="164" t="e">
        <f aca="false">(H139+J139+G142+H142)-H145</f>
        <v>#VALUE!</v>
      </c>
      <c r="K142" s="146"/>
      <c r="L142" s="171"/>
      <c r="M142" s="141" t="e">
        <f aca="false">IF(M105="YES", ((B36*N105)*0.1)*(M130), 0)</f>
        <v>#VALUE!</v>
      </c>
      <c r="N142" s="164" t="n">
        <f aca="false">M102-100</f>
        <v>99.99</v>
      </c>
      <c r="O142" s="164"/>
      <c r="P142" s="164" t="e">
        <f aca="false">(N139+P139+M142+N142)-N145</f>
        <v>#VALUE!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e">
        <f aca="false">(H139+J139+G142+H142)*(G145/H64)</f>
        <v>#VALUE!</v>
      </c>
      <c r="I145" s="203"/>
      <c r="J145" s="203"/>
      <c r="K145" s="204"/>
      <c r="L145" s="171"/>
      <c r="M145" s="141" t="n">
        <v>0</v>
      </c>
      <c r="N145" s="164" t="e">
        <f aca="false">(N139+P139+M142+N142)*(M145/N64)</f>
        <v>#VALUE!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964.75</v>
      </c>
      <c r="B148" s="136" t="n">
        <f aca="false">B102</f>
        <v>0</v>
      </c>
      <c r="C148" s="136"/>
      <c r="D148" s="136" t="n">
        <f aca="false">IF(A105="YES", (B40*B105)*B125, 0)*0.1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1064.74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1189.86736688544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984.491094073066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1122.85072733733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1122.85072733733</v>
      </c>
      <c r="B177" s="160" t="n">
        <f aca="false">IF(A105="YES", B89, 0)</f>
        <v>0</v>
      </c>
      <c r="C177" s="162"/>
      <c r="D177" s="160" t="n">
        <f aca="false">B91</f>
        <v>1122.85072733733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Monthly in advance</v>
      </c>
      <c r="B180" s="164" t="n">
        <f aca="false">B90*B57</f>
        <v>1122.85072733733</v>
      </c>
      <c r="C180" s="31"/>
      <c r="D180" s="164" t="n">
        <f aca="false">IF(A105="YES", B89*B57,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1122.85072733733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1122.85072733733</v>
      </c>
      <c r="B186" s="164" t="n">
        <f aca="false">IF(A105="YES", B89, 0)</f>
        <v>0</v>
      </c>
      <c r="C186" s="31"/>
      <c r="D186" s="164" t="n">
        <f aca="false">B91</f>
        <v>1122.85072733733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0</v>
      </c>
      <c r="C189" s="31"/>
      <c r="D189" s="170" t="n">
        <f aca="false">A189+B189</f>
        <v>41.6772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964.75</v>
      </c>
      <c r="B197" s="164" t="n">
        <f aca="false">B102</f>
        <v>0</v>
      </c>
      <c r="C197" s="164"/>
      <c r="D197" s="164" t="n">
        <f aca="false">IF(A105="YES", (B40*B105)*B125,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1064.74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964.75</v>
      </c>
      <c r="C211" s="119" t="s">
        <v>198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5213.165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964.75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B77-(B77*(E219*100))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5213.165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339.550059946807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8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  <dataValidation allowBlank="true" errorStyle="stop" operator="between" showDropDown="false" showErrorMessage="true" showInputMessage="false" sqref="B26" type="list">
      <formula1>'Formula1-FL'!$I$2:$I$3</formula1>
      <formula2>0</formula2>
    </dataValidation>
    <dataValidation allowBlank="true" errorStyle="stop" operator="between" showDropDown="false" showErrorMessage="true" showInputMessage="false" sqref="A105" type="list">
      <formula1>'Formula1-FL'!$I$2:$I$3</formula1>
      <formula2>0</formula2>
    </dataValidation>
    <dataValidation allowBlank="true" errorStyle="stop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96" colorId="64" zoomScale="75" zoomScaleNormal="75" zoomScalePageLayoutView="100" workbookViewId="0">
      <selection pane="topLeft" activeCell="D211" activeCellId="0" sqref="D211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455" t="s">
        <v>236</v>
      </c>
      <c r="D45" s="455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1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35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47" t="n">
        <f aca="false">D64/(B58+B57)</f>
        <v>168.83125</v>
      </c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(B61*B66)/1.2</f>
        <v>964.75</v>
      </c>
      <c r="C67" s="203"/>
      <c r="D67" s="201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165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355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64" t="n">
        <f aca="false">B102/(1-0.1)</f>
        <v>0</v>
      </c>
      <c r="C77" s="203"/>
      <c r="D77" s="201" t="n">
        <f aca="false">B77</f>
        <v>0</v>
      </c>
      <c r="E77" s="247" t="n">
        <f aca="false">D77/(B58+B57)</f>
        <v>0</v>
      </c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03"/>
      <c r="D78" s="201" t="n">
        <f aca="false">B78</f>
        <v>0</v>
      </c>
      <c r="E78" s="247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47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7941.25833333333</v>
      </c>
      <c r="C81" s="203"/>
      <c r="D81" s="203"/>
      <c r="E81" s="247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220.590509259259</v>
      </c>
      <c r="C82" s="203"/>
      <c r="D82" s="203"/>
      <c r="E82" s="247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03"/>
      <c r="D83" s="203"/>
      <c r="E83" s="247" t="n">
        <f aca="false">B83+E80+E77+E64</f>
        <v>1143.51137382028</v>
      </c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((B83*H29)+B81)*1.2</f>
        <v>49399.6913490363</v>
      </c>
      <c r="C85" s="203"/>
      <c r="D85" s="203"/>
      <c r="E85" s="247" t="n">
        <f aca="false">B85/(B58+B57)</f>
        <v>1372.21364858434</v>
      </c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((((B83*H29)+B81))/(1-B70))*B70</f>
        <v>348.727147482104</v>
      </c>
      <c r="C86" s="203"/>
      <c r="D86" s="203"/>
      <c r="E86" s="247" t="n">
        <f aca="false">B86/(B58+B57)</f>
        <v>9.68686520783622</v>
      </c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IF(B110="YES",((B85+B86)-E114),(B85+B86))</f>
        <v>49748.4184965184</v>
      </c>
      <c r="C87" s="203"/>
      <c r="D87" s="203"/>
      <c r="E87" s="247" t="n">
        <f aca="false">E86+E85</f>
        <v>1381.90051379218</v>
      </c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(D40+(D40*B105))/(B57+B58))*1.2</f>
        <v>44.6333333333333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1381.90051379218</v>
      </c>
      <c r="C90" s="203"/>
      <c r="D90" s="203"/>
      <c r="E90" s="204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1426.53384712551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239.99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((E118/1.2)+E117)-(D115-E113)</f>
        <v>-800.008333333333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1381.90051379218</v>
      </c>
      <c r="B128" s="120" t="n">
        <f aca="false">IF(A105="YES", B89, 0)</f>
        <v>44.6333333333333</v>
      </c>
      <c r="C128" s="125"/>
      <c r="D128" s="120" t="n">
        <f aca="false">B91</f>
        <v>1426.53384712551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Monthly in advance</v>
      </c>
      <c r="B131" s="136" t="n">
        <f aca="false">B90*B57</f>
        <v>1381.90051379218</v>
      </c>
      <c r="C131" s="13"/>
      <c r="D131" s="136" t="n">
        <f aca="false">IF(A105="YES", B89*B57, 0)</f>
        <v>44.6333333333333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1426.53384712551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1381.90051379218</v>
      </c>
      <c r="B137" s="136" t="n">
        <f aca="false">IF(A105="YES", B89, 0)</f>
        <v>44.6333333333333</v>
      </c>
      <c r="C137" s="13"/>
      <c r="D137" s="136" t="n">
        <f aca="false">B91</f>
        <v>1426.53384712551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964.75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139.99</v>
      </c>
      <c r="B151" s="136" t="n">
        <f aca="false">(A148+B148+D148+A151)*(A143/B64)</f>
        <v>0</v>
      </c>
      <c r="C151" s="136"/>
      <c r="D151" s="136" t="n">
        <f aca="false">(A148+B148+D148+A151)-B151</f>
        <v>1135.64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1426.53384712551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1381.90051379218</v>
      </c>
      <c r="B177" s="160" t="n">
        <f aca="false">IF(A105="YES", B89, 0)</f>
        <v>44.6333333333333</v>
      </c>
      <c r="C177" s="162"/>
      <c r="D177" s="160" t="n">
        <f aca="false">B91</f>
        <v>1426.53384712551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Monthly in advance</v>
      </c>
      <c r="B180" s="164" t="n">
        <f aca="false">B90*B57</f>
        <v>1381.90051379218</v>
      </c>
      <c r="C180" s="31"/>
      <c r="D180" s="164" t="n">
        <f aca="false">IF(A105="YES", B89*B57, 0)</f>
        <v>44.6333333333333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1426.53384712551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1381.90051379218</v>
      </c>
      <c r="B186" s="164" t="n">
        <f aca="false">IF(A105="YES", B89, 0)</f>
        <v>44.6333333333333</v>
      </c>
      <c r="C186" s="31"/>
      <c r="D186" s="164" t="n">
        <f aca="false">B91</f>
        <v>1426.53384712551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239.99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964.75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(E118/1.2)-100</f>
        <v>99.9916666666667</v>
      </c>
      <c r="B200" s="164" t="n">
        <f aca="false">(A148+B148+D148+A151)*(A143/B64)</f>
        <v>0</v>
      </c>
      <c r="C200" s="164"/>
      <c r="D200" s="164" t="n">
        <f aca="false">(A148+B148+D148+A151)-B151</f>
        <v>1135.64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1157.7</v>
      </c>
      <c r="C211" s="119" t="s">
        <v>198</v>
      </c>
      <c r="D211" s="173" t="n">
        <f aca="false">B225+E221+B221+B223</f>
        <v>408.991666666667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5329.21666666667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B67*1.2</f>
        <v>1157.7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B77-(B77*(E219*100))*0.1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5329.21666666667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  <dataValidation allowBlank="true" errorStyle="stop" operator="between" showDropDown="false" showErrorMessage="true" showInputMessage="false" sqref="B26" type="list">
      <formula1>'Formula1-PCH'!$I$3:$I$4</formula1>
      <formula2>0</formula2>
    </dataValidation>
    <dataValidation allowBlank="true" errorStyle="stop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4" colorId="64" zoomScale="75" zoomScaleNormal="75" zoomScalePageLayoutView="100" workbookViewId="0">
      <selection pane="topLeft" activeCell="B97" activeCellId="0" sqref="B97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18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6000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12</v>
      </c>
      <c r="B44" s="45" t="n">
        <v>1</v>
      </c>
      <c r="C44" s="45"/>
      <c r="D44" s="45" t="n">
        <v>1</v>
      </c>
      <c r="E44" s="45"/>
      <c r="F44" s="171"/>
      <c r="G44" s="171" t="s">
        <v>332</v>
      </c>
      <c r="H44" s="226" t="n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n">
        <v>0.01</v>
      </c>
      <c r="C47" s="451"/>
      <c r="D47" s="45" t="n">
        <v>1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 t="s">
        <v>349</v>
      </c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213" t="s">
        <v>28</v>
      </c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350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240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12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10814.7942718838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((H44*B35)+((H44*B35)*B111))/(B63+B64)</f>
        <v>31.304347826087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IF(B105=Y104, (B93-D111)/(B64), B93/(B63+B64))</f>
        <v>470.208446603645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501.512794429732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 t="s">
        <v>123</v>
      </c>
      <c r="B105" s="110" t="s">
        <v>125</v>
      </c>
      <c r="C105" s="110"/>
      <c r="D105" s="111" t="n">
        <v>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0.2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/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28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0</v>
      </c>
      <c r="E118" s="113" t="n">
        <v>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0</v>
      </c>
      <c r="E119" s="113" t="n">
        <v>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0</v>
      </c>
      <c r="E120" s="116" t="n">
        <f aca="false">E118-E119</f>
        <v>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199.99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148</v>
      </c>
      <c r="B130" s="122" t="n">
        <v>1200</v>
      </c>
      <c r="C130" s="122"/>
      <c r="D130" s="203"/>
      <c r="E130" s="204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81</v>
      </c>
      <c r="B132" s="203" t="s">
        <v>82</v>
      </c>
      <c r="C132" s="203"/>
      <c r="D132" s="203" t="s">
        <v>85</v>
      </c>
      <c r="E132" s="204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n">
        <f aca="false">A158</f>
        <v>12</v>
      </c>
      <c r="B133" s="126" t="n">
        <f aca="false">B157</f>
        <v>5000</v>
      </c>
      <c r="C133" s="48"/>
      <c r="D133" s="126" t="n">
        <f aca="false">B64</f>
        <v>11</v>
      </c>
      <c r="E133" s="204"/>
      <c r="F133" s="171"/>
      <c r="G133" s="46" t="n">
        <f aca="false">G158</f>
        <v>12</v>
      </c>
      <c r="H133" s="126" t="n">
        <f aca="false">B157</f>
        <v>5000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5000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154</v>
      </c>
      <c r="B135" s="285" t="s">
        <v>155</v>
      </c>
      <c r="C135" s="285"/>
      <c r="D135" s="285" t="s">
        <v>113</v>
      </c>
      <c r="E135" s="20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470.208446603645</v>
      </c>
      <c r="B136" s="286" t="n">
        <f aca="false">IF(A111="YES", B95*B63, 0)</f>
        <v>375.652173913043</v>
      </c>
      <c r="C136" s="286"/>
      <c r="D136" s="286" t="n">
        <f aca="false">B97</f>
        <v>501.512794429732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161</v>
      </c>
      <c r="B138" s="203" t="s">
        <v>162</v>
      </c>
      <c r="C138" s="203"/>
      <c r="D138" s="203" t="s">
        <v>163</v>
      </c>
      <c r="E138" s="20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5642.50135924373</v>
      </c>
      <c r="B139" s="164" t="n">
        <f aca="false">IF(A111="YES", B95*B63, 0)</f>
        <v>375.652173913043</v>
      </c>
      <c r="C139" s="224"/>
      <c r="D139" s="140" t="n">
        <f aca="false">B97*B63</f>
        <v>6018.15353315678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170</v>
      </c>
      <c r="B141" s="203" t="s">
        <v>171</v>
      </c>
      <c r="C141" s="203"/>
      <c r="D141" s="203" t="s">
        <v>172</v>
      </c>
      <c r="E141" s="20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176</v>
      </c>
      <c r="B144" s="203" t="s">
        <v>174</v>
      </c>
      <c r="C144" s="203"/>
      <c r="D144" s="203" t="s">
        <v>175</v>
      </c>
      <c r="E144" s="20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179</v>
      </c>
      <c r="B147" s="203" t="s">
        <v>180</v>
      </c>
      <c r="C147" s="203"/>
      <c r="D147" s="203" t="s">
        <v>181</v>
      </c>
      <c r="E147" s="20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12</v>
      </c>
      <c r="B148" s="164" t="n">
        <f aca="false">A108-100</f>
        <v>99.99</v>
      </c>
      <c r="C148" s="164"/>
      <c r="D148" s="164" t="n">
        <f aca="false">(B145+D145+A148+B148)-B151</f>
        <v>594.365</v>
      </c>
      <c r="E148" s="146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183</v>
      </c>
      <c r="B150" s="203" t="s">
        <v>184</v>
      </c>
      <c r="C150" s="203"/>
      <c r="D150" s="203"/>
      <c r="E150" s="20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191</v>
      </c>
      <c r="B154" s="203"/>
      <c r="C154" s="203"/>
      <c r="D154" s="238"/>
      <c r="E154" s="239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81</v>
      </c>
      <c r="B156" s="68" t="s">
        <v>82</v>
      </c>
      <c r="C156" s="68"/>
      <c r="D156" s="203"/>
      <c r="E156" s="20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n">
        <f aca="false">B57</f>
        <v>5000</v>
      </c>
      <c r="C157" s="69"/>
      <c r="D157" s="203"/>
      <c r="E157" s="204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n">
        <f aca="false">A58</f>
        <v>12</v>
      </c>
      <c r="B158" s="71" t="n">
        <f aca="false">B97</f>
        <v>501.512794429732</v>
      </c>
      <c r="C158" s="71"/>
      <c r="D158" s="203"/>
      <c r="E158" s="20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208" colorId="64" zoomScale="75" zoomScaleNormal="75" zoomScalePageLayoutView="100" workbookViewId="0">
      <selection pane="topLeft" activeCell="B184" activeCellId="0" sqref="B184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0.0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56" t="n">
        <v>0.0</v>
      </c>
      <c r="C4" s="456" t="n">
        <v>0.0</v>
      </c>
      <c r="D4" s="456" t="n">
        <v>0.0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0.0</v>
      </c>
      <c r="C5" s="197" t="n">
        <v>0.0</v>
      </c>
      <c r="D5" s="197" t="n">
        <v>0.0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(B3*B4)+B5</f>
        <v>0</v>
      </c>
      <c r="C6" s="201" t="n">
        <f aca="false">(C3*C4)+C5</f>
        <v>0</v>
      </c>
      <c r="D6" s="201" t="n">
        <f aca="false">(D3*D4)+D5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550.0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585.0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0.0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12.0</v>
      </c>
      <c r="C35" s="40"/>
      <c r="D35" s="40" t="n">
        <v>5000.0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353</v>
      </c>
      <c r="C38" s="40"/>
      <c r="D38" s="45" t="n">
        <v>500.0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176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0.0</v>
      </c>
      <c r="B41" s="58" t="n">
        <f aca="false">IF(B38="YES", D38+A41, D38)</f>
        <v>500</v>
      </c>
      <c r="C41" s="58"/>
      <c r="D41" s="45" t="n">
        <v>12.0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170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1.0</v>
      </c>
      <c r="B44" s="45" t="n">
        <v>0.0</v>
      </c>
      <c r="C44" s="45"/>
      <c r="D44" s="55" t="n">
        <f aca="false">A44+B44</f>
        <v>1</v>
      </c>
      <c r="E44" s="55"/>
      <c r="F44" s="171"/>
      <c r="G44" s="171" t="s">
        <v>332</v>
      </c>
      <c r="H44" s="226" t="n">
        <f aca="false">((A41*(B35-1))+D32)/B35</f>
        <v>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45" t="s">
        <v>350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 t="s">
        <v>76</v>
      </c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IF(B99=Z101,1,IF(B99=Z102,1,IF(B99=Z103,3,IF(B99=Z104,6,IF(B99=Z105,9,IF(B99=Z106,12,IF(B99=Z107,3,IF(B99=Z108,6,IF(B99=Z109,9,0)))))))))</f>
        <v>1</v>
      </c>
      <c r="C57" s="203"/>
      <c r="D57" s="203"/>
      <c r="E57" s="204"/>
      <c r="F57" s="171"/>
      <c r="G57" s="195" t="s">
        <v>84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IF(B99=Z101,H29-B57,IF(B99=Z102,H29-B57,IF(B99=Z103,H29-1,IF(B99=Z104,H29-1,IF(B99=Z105,H29-1,IF(B99=Z106,H29-1,IF(B99=Z107,H29-B57,IF(B99=Z108,H29-B57,IF(B99=Z109,H29-B57,0)))))))))</f>
        <v>11</v>
      </c>
      <c r="C58" s="203" t="s">
        <v>351</v>
      </c>
      <c r="D58" s="203"/>
      <c r="E58" s="204"/>
      <c r="F58" s="171"/>
      <c r="G58" s="195" t="s">
        <v>85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4051.95</v>
      </c>
      <c r="C64" s="203" t="n">
        <v>10000.0</v>
      </c>
      <c r="D64" s="201" t="n">
        <f aca="false">B64</f>
        <v>4051.95</v>
      </c>
      <c r="E64" s="204"/>
      <c r="F64" s="171"/>
      <c r="G64" s="234" t="s">
        <v>88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B61*B66</f>
        <v>578.85</v>
      </c>
      <c r="C67" s="203"/>
      <c r="D67" s="201"/>
      <c r="E67" s="204"/>
      <c r="F67" s="171"/>
      <c r="G67" s="234" t="s">
        <v>91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200.0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5.0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97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0.0</v>
      </c>
      <c r="C74" s="203"/>
      <c r="D74" s="203"/>
      <c r="E74" s="204"/>
      <c r="F74" s="171"/>
      <c r="G74" s="243" t="s">
        <v>98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0.0</v>
      </c>
      <c r="C75" s="203" t="n">
        <f aca="false">IF(G18&gt;40000, 325, 0)</f>
        <v>325</v>
      </c>
      <c r="D75" s="203"/>
      <c r="E75" s="204"/>
      <c r="F75" s="171"/>
      <c r="G75" s="193" t="s">
        <v>99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55" t="n">
        <f aca="false">B102</f>
        <v>0.0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200.0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200.0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4711.95</v>
      </c>
      <c r="C81" s="203"/>
      <c r="D81" s="203"/>
      <c r="E81" s="204"/>
      <c r="F81" s="171"/>
      <c r="G81" s="268" t="s">
        <v>106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392.6625</v>
      </c>
      <c r="C82" s="203"/>
      <c r="D82" s="203"/>
      <c r="E82" s="204"/>
      <c r="F82" s="171"/>
      <c r="G82" s="195" t="s">
        <v>107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H46</f>
        <v>501</v>
      </c>
      <c r="C83" s="203"/>
      <c r="D83" s="203"/>
      <c r="E83" s="204"/>
      <c r="F83" s="171"/>
      <c r="G83" s="271" t="s">
        <v>108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((B83*(H29)+B81))*1.2</f>
        <v>12868.74</v>
      </c>
      <c r="C85" s="203"/>
      <c r="D85" s="203"/>
      <c r="E85" s="204"/>
      <c r="F85" s="171"/>
      <c r="G85" s="228" t="s">
        <v>109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(((B83*(H29))+B81)/(1-B70))*B70</f>
        <v>90.8442718838241</v>
      </c>
      <c r="C86" s="203"/>
      <c r="D86" s="203"/>
      <c r="E86" s="204"/>
      <c r="F86" s="171"/>
      <c r="G86" s="195" t="s">
        <v>110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8959.58427188382</v>
      </c>
      <c r="C87" s="203"/>
      <c r="D87" s="203"/>
      <c r="E87" s="204"/>
      <c r="F87" s="171"/>
      <c r="G87" s="234" t="s">
        <v>111</v>
      </c>
      <c r="H87" s="245" t="n">
        <f aca="false">IF(H110="YES",((H85+H86)-A151-K114),((H85+H86)-A151))</f>
        <v>14060.3110730133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57" t="n">
        <f aca="false">IF(B99=Z102,(((H44*B35)+(H44*B35)*(B105/100))/(B58))*1.2,(((H44*B35)+(H44*B35)*(B105/100))/(B57+B58))*1.2)</f>
        <v>0</v>
      </c>
      <c r="C89" s="203"/>
      <c r="D89" s="203"/>
      <c r="E89" s="204"/>
      <c r="F89" s="171"/>
      <c r="G89" s="268" t="s">
        <v>67</v>
      </c>
      <c r="H89" s="269" t="n">
        <f aca="false">(A41+(A41*H105))*1.2</f>
        <v>0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IF(B99=Z102, (B87-D105)/(B58), B87/(B57+B58))</f>
        <v>746.632022656985</v>
      </c>
      <c r="C90" s="203"/>
      <c r="D90" s="203"/>
      <c r="E90" s="204"/>
      <c r="F90" s="171"/>
      <c r="G90" s="274" t="s">
        <v>112</v>
      </c>
      <c r="H90" s="275" t="n">
        <f aca="false">IF(H99=AE98, (H87-J105)/(H58), H87/(H57+H58))</f>
        <v>1171.69258941778</v>
      </c>
      <c r="I90" s="203"/>
      <c r="J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746.632022656985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1171.69258941778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1000.0</v>
      </c>
      <c r="E99" s="113"/>
      <c r="F99" s="171"/>
      <c r="G99" s="212" t="s">
        <v>123</v>
      </c>
      <c r="H99" s="110" t="s">
        <v>118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118</v>
      </c>
      <c r="AA101" s="171"/>
    </row>
    <row r="102" customFormat="false" ht="18.75" hidden="false" customHeight="true" outlineLevel="0" collapsed="false">
      <c r="A102" s="112" t="n">
        <f aca="false">199.99*1.2</f>
        <v>239.99</v>
      </c>
      <c r="B102" s="113" t="n">
        <v>0.0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121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353</v>
      </c>
      <c r="B105" s="110" t="n">
        <v>0.0</v>
      </c>
      <c r="C105" s="110"/>
      <c r="D105" s="113" t="n">
        <v>200.0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137</v>
      </c>
    </row>
    <row r="110" customFormat="false" ht="18.75" hidden="false" customHeight="true" outlineLevel="0" collapsed="false">
      <c r="A110" s="195" t="s">
        <v>140</v>
      </c>
      <c r="B110" s="213" t="s">
        <v>352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10000.0</v>
      </c>
      <c r="E112" s="113" t="n">
        <v>6000.0</v>
      </c>
      <c r="F112" s="171"/>
      <c r="G112" s="195" t="s">
        <v>141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2000.0</v>
      </c>
      <c r="F113" s="171"/>
      <c r="G113" s="195" t="s">
        <v>142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239.988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-2760.012</v>
      </c>
      <c r="F119" s="171"/>
      <c r="G119" s="283" t="s">
        <v>146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0.0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195" t="s">
        <v>81</v>
      </c>
      <c r="H126" s="203" t="s">
        <v>82</v>
      </c>
      <c r="I126" s="203"/>
      <c r="J126" s="203" t="s">
        <v>85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746.632022656985</v>
      </c>
      <c r="B128" s="120" t="n">
        <f aca="false">IF(A105="YES", B89, 0)</f>
        <v>0</v>
      </c>
      <c r="C128" s="191"/>
      <c r="D128" s="120" t="n">
        <f aca="false">B91</f>
        <v>746.632022656985</v>
      </c>
      <c r="E128" s="121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284" t="s">
        <v>151</v>
      </c>
      <c r="H129" s="285" t="s">
        <v>152</v>
      </c>
      <c r="I129" s="285"/>
      <c r="J129" s="285" t="s">
        <v>153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58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132" t="n">
        <f aca="false">H90</f>
        <v>1171.69258941778</v>
      </c>
      <c r="H130" s="286" t="n">
        <f aca="false">IF(G105="YES", H89*H57, 0)</f>
        <v>0</v>
      </c>
      <c r="I130" s="286"/>
      <c r="J130" s="134" t="n">
        <f aca="false">H91</f>
        <v>1171.69258941778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58"/>
    </row>
    <row r="131" customFormat="false" ht="18.75" hidden="false" customHeight="true" outlineLevel="0" collapsed="false">
      <c r="A131" s="135" t="str">
        <f aca="false">B99</f>
        <v>Monthly in advance</v>
      </c>
      <c r="B131" s="136" t="n">
        <f aca="false">B90*B57</f>
        <v>746.632022656985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58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0</v>
      </c>
      <c r="I133" s="224"/>
      <c r="J133" s="140" t="n">
        <f aca="false">H91*H57</f>
        <v>1171.69258941778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746.632022656985</v>
      </c>
      <c r="B134" s="136" t="n">
        <f aca="false">E114</f>
        <v>4000</v>
      </c>
      <c r="C134" s="13"/>
      <c r="D134" s="142" t="n">
        <f aca="false">B58</f>
        <v>11</v>
      </c>
      <c r="E134" s="1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746.632022656985</v>
      </c>
      <c r="B137" s="136" t="n">
        <f aca="false">IF(A105="YES", B89, 0)</f>
        <v>0</v>
      </c>
      <c r="C137" s="13"/>
      <c r="D137" s="136" t="n">
        <f aca="false">B91</f>
        <v>746.632022656985</v>
      </c>
      <c r="E137" s="1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239.988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0)*0.1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(E118/1.2)-100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678.84</v>
      </c>
      <c r="E151" s="146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1171.69258941778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746.632022656985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147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119</v>
      </c>
      <c r="B167" s="159" t="s">
        <v>42</v>
      </c>
      <c r="C167" s="160"/>
      <c r="D167" s="159" t="s">
        <v>82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123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112</v>
      </c>
      <c r="B170" s="159" t="s">
        <v>149</v>
      </c>
      <c r="C170" s="160"/>
      <c r="D170" s="159" t="s">
        <v>150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746.632022656985</v>
      </c>
      <c r="B171" s="160" t="n">
        <f aca="false">IF(A105="YES", B89, 0)</f>
        <v>0</v>
      </c>
      <c r="C171" s="192"/>
      <c r="D171" s="160" t="n">
        <f aca="false">B91</f>
        <v>746.632022656985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156</v>
      </c>
      <c r="C173" s="48"/>
      <c r="D173" s="163" t="s">
        <v>157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Monthly in advance</v>
      </c>
      <c r="B174" s="164" t="n">
        <f aca="false">B90*B57</f>
        <v>746.632022656985</v>
      </c>
      <c r="C174" s="31"/>
      <c r="D174" s="164" t="n">
        <f aca="false">IF(A105="YES", B89*B57, 0)</f>
        <v>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164</v>
      </c>
      <c r="B176" s="165" t="s">
        <v>165</v>
      </c>
      <c r="C176" s="38"/>
      <c r="D176" s="58" t="s">
        <v>166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746.632022656985</v>
      </c>
      <c r="B177" s="164" t="n">
        <f aca="false">E114</f>
        <v>4000</v>
      </c>
      <c r="C177" s="31"/>
      <c r="D177" s="166" t="n">
        <f aca="false">B58</f>
        <v>11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112</v>
      </c>
      <c r="B179" s="168" t="s">
        <v>149</v>
      </c>
      <c r="C179" s="31"/>
      <c r="D179" s="31" t="s">
        <v>150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746.632022656985</v>
      </c>
      <c r="B180" s="164" t="n">
        <f aca="false">IF(A105="YES", B89, 0)</f>
        <v>0</v>
      </c>
      <c r="C180" s="31"/>
      <c r="D180" s="164" t="n">
        <f aca="false">B91</f>
        <v>746.632022656985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177</v>
      </c>
      <c r="C182" s="164"/>
      <c r="D182" s="169" t="s">
        <v>178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(G18*0.000006)*1.2*100</f>
        <v>41.6772</v>
      </c>
      <c r="B183" s="170" t="n">
        <f aca="false">G18*0.000002 *1.2*100</f>
        <v>13.8924</v>
      </c>
      <c r="C183" s="31"/>
      <c r="D183" s="170" t="n">
        <f aca="false">A183+B183</f>
        <v>55.5696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182</v>
      </c>
      <c r="B185" s="169" t="s">
        <v>54</v>
      </c>
      <c r="C185" s="164"/>
      <c r="D185" s="169" t="s">
        <v>101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239.988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185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186</v>
      </c>
      <c r="B190" s="31" t="s">
        <v>187</v>
      </c>
      <c r="C190" s="31"/>
      <c r="D190" s="31" t="s">
        <v>188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0)*0.1</f>
        <v>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192</v>
      </c>
      <c r="B193" s="31" t="s">
        <v>184</v>
      </c>
      <c r="C193" s="31"/>
      <c r="D193" s="31" t="s">
        <v>181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(E118/1.2)-100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678.84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193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194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195</v>
      </c>
      <c r="B203" s="172" t="n">
        <f aca="false">H29</f>
        <v>12</v>
      </c>
      <c r="C203" s="120" t="s">
        <v>196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197</v>
      </c>
      <c r="B205" s="120" t="n">
        <f aca="false">B213</f>
        <v>578.85</v>
      </c>
      <c r="C205" s="119" t="s">
        <v>198</v>
      </c>
      <c r="D205" s="173" t="n">
        <f aca="false">B219+E215+B215+B217</f>
        <v>99.99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199</v>
      </c>
      <c r="B207" s="120" t="n">
        <f aca="false">E217</f>
        <v>3573.09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195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196</v>
      </c>
      <c r="B211" s="45" t="n">
        <f aca="false">D64</f>
        <v>4051.95</v>
      </c>
      <c r="C211" s="176" t="s">
        <v>200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200</v>
      </c>
      <c r="B213" s="45" t="n">
        <f aca="false">B67</f>
        <v>578.85</v>
      </c>
      <c r="C213" s="137" t="s">
        <v>201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201</v>
      </c>
      <c r="B215" s="58" t="n">
        <f aca="false">B77-(B77*(E213*100))*0.1</f>
        <v>0</v>
      </c>
      <c r="C215" s="137" t="s">
        <v>202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203</v>
      </c>
      <c r="B217" s="58" t="n">
        <f aca="false">B78-(B78*(E213*100))</f>
        <v>0</v>
      </c>
      <c r="C217" s="137" t="s">
        <v>199</v>
      </c>
      <c r="D217" s="13"/>
      <c r="E217" s="11" t="n">
        <f aca="false">(B211-B205+D205)</f>
        <v>3573.09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204</v>
      </c>
      <c r="B219" s="148" t="n">
        <f aca="false">D191/0.1</f>
        <v>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205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206</v>
      </c>
      <c r="B223" s="45" t="n">
        <f aca="false">B71</f>
        <v>200</v>
      </c>
      <c r="C223" s="137" t="s">
        <v>207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208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209</v>
      </c>
      <c r="B225" s="183" t="n">
        <f aca="false">B68</f>
        <v>0.0075</v>
      </c>
      <c r="C225" s="137" t="s">
        <v>210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211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212</v>
      </c>
      <c r="B227" s="45" t="n">
        <f aca="false">B79</f>
        <v>200</v>
      </c>
      <c r="C227" s="184" t="s">
        <v>213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214</v>
      </c>
      <c r="B229" s="45" t="n">
        <f aca="false">B80</f>
        <v>200</v>
      </c>
      <c r="C229" s="188" t="s">
        <v>215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41" activeCellId="0" sqref="B141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0.0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0.0</v>
      </c>
      <c r="C4" s="442" t="n">
        <v>0.0</v>
      </c>
      <c r="D4" s="442" t="n">
        <v>0.0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0.0</v>
      </c>
      <c r="C5" s="197" t="n">
        <v>0.0</v>
      </c>
      <c r="D5" s="197" t="n">
        <v>0.0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550.0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585.0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55.0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0.0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44944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12.0</v>
      </c>
      <c r="C35" s="40"/>
      <c r="D35" s="40" t="n">
        <v>5000.0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352</v>
      </c>
      <c r="C38" s="40"/>
      <c r="D38" s="45" t="n">
        <v>500.0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176</v>
      </c>
      <c r="E40" s="204"/>
      <c r="F40" s="171"/>
      <c r="G40" s="217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50.0</v>
      </c>
      <c r="B41" s="58" t="n">
        <f aca="false">IF(B38="YES", D38+A41, D38)</f>
        <v>500</v>
      </c>
      <c r="C41" s="58"/>
      <c r="D41" s="45" t="n">
        <v>12.0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170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1.0</v>
      </c>
      <c r="B44" s="45" t="n">
        <v>1.0</v>
      </c>
      <c r="C44" s="45"/>
      <c r="D44" s="55" t="n">
        <f aca="false">A44+B44</f>
        <v>1</v>
      </c>
      <c r="E44" s="55"/>
      <c r="F44" s="171"/>
      <c r="G44" s="171" t="s">
        <v>332</v>
      </c>
      <c r="H44" s="226" t="n">
        <f aca="false">((A41*(B35-1))+D32)/B35</f>
        <v>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45" t="s">
        <v>350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 t="n">
        <f aca="false">(A41*(B58+B57))</f>
        <v>0</v>
      </c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IF(B99=Z101,1,IF(B99=Z102,1,IF(B99=Z103,3,IF(B99=Z104,6,IF(B99=Z105,9,IF(B99=Z106,12,IF(B99=Z107,3,IF(B99=Z108,6,IF(B99=Z109,9,0)))))))))</f>
        <v>1</v>
      </c>
      <c r="C57" s="203"/>
      <c r="D57" s="203"/>
      <c r="E57" s="204"/>
      <c r="F57" s="171"/>
      <c r="G57" s="195" t="s">
        <v>84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IF(B99=Z101,H29-B57,IF(B99=Z102,H29-B57,IF(B99=Z103,H29-1,IF(B99=Z104,H29-1,IF(B99=Z105,H29-1,IF(B99=Z106,H29-1,IF(B99=Z107,H29-B57,IF(B99=Z108,H29-B57,IF(B99=Z109,H29-B57,0)))))))))</f>
        <v>11</v>
      </c>
      <c r="C58" s="203" t="s">
        <v>351</v>
      </c>
      <c r="D58" s="203"/>
      <c r="E58" s="204"/>
      <c r="F58" s="171"/>
      <c r="G58" s="195" t="s">
        <v>85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4051.95</v>
      </c>
      <c r="C64" s="203"/>
      <c r="D64" s="201" t="n">
        <f aca="false">B64</f>
        <v>4051.95</v>
      </c>
      <c r="E64" s="204"/>
      <c r="F64" s="171"/>
      <c r="G64" s="234" t="s">
        <v>88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B61*B66</f>
        <v>578.85</v>
      </c>
      <c r="C67" s="203"/>
      <c r="D67" s="201"/>
      <c r="E67" s="204"/>
      <c r="F67" s="171"/>
      <c r="G67" s="234" t="s">
        <v>91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200.0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5.0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97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0.0</v>
      </c>
      <c r="C74" s="203"/>
      <c r="D74" s="203"/>
      <c r="E74" s="204"/>
      <c r="F74" s="171"/>
      <c r="G74" s="243" t="s">
        <v>98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0.0</v>
      </c>
      <c r="C75" s="203"/>
      <c r="D75" s="203"/>
      <c r="E75" s="204"/>
      <c r="F75" s="171"/>
      <c r="G75" s="193" t="s">
        <v>99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55" t="n">
        <f aca="false">B102</f>
        <v>0.0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200.0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200.0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4711.95</v>
      </c>
      <c r="C81" s="203"/>
      <c r="D81" s="203"/>
      <c r="E81" s="204"/>
      <c r="F81" s="171"/>
      <c r="G81" s="268" t="s">
        <v>106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392.6625</v>
      </c>
      <c r="C82" s="203"/>
      <c r="D82" s="203"/>
      <c r="E82" s="204"/>
      <c r="F82" s="171"/>
      <c r="G82" s="195" t="s">
        <v>107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H46</f>
        <v>501</v>
      </c>
      <c r="C83" s="203"/>
      <c r="D83" s="203"/>
      <c r="E83" s="204"/>
      <c r="F83" s="171"/>
      <c r="G83" s="271" t="s">
        <v>108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((B83*(H29)+B81))</f>
        <v>10723.95</v>
      </c>
      <c r="C85" s="203"/>
      <c r="D85" s="203"/>
      <c r="E85" s="204"/>
      <c r="F85" s="171"/>
      <c r="G85" s="228" t="s">
        <v>109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(B85/(1-B70))*B70</f>
        <v>90.8442718838241</v>
      </c>
      <c r="C86" s="203"/>
      <c r="D86" s="203"/>
      <c r="E86" s="204"/>
      <c r="F86" s="171"/>
      <c r="G86" s="195" t="s">
        <v>110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IF(B110="YES",((B85+B86)-A151-E114),((B85+B86)-A151))</f>
        <v>10714.8042718838</v>
      </c>
      <c r="C87" s="203"/>
      <c r="D87" s="203"/>
      <c r="E87" s="204"/>
      <c r="F87" s="171"/>
      <c r="G87" s="234" t="s">
        <v>111</v>
      </c>
      <c r="H87" s="245" t="n">
        <f aca="false">IF(H110="YES",((H85+H86)-A151-K114),((H85+H86)-A151))</f>
        <v>14060.3110730133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57" t="n">
        <f aca="false">IF(B99=Z102,(((H44*B35)+(H44*B35)*(B105/100))/(B58)),(((H44*B35)+(H44*B35)*(B105/100))/(B57+B58)))</f>
        <v>0</v>
      </c>
      <c r="C89" s="203" t="s">
        <v>76</v>
      </c>
      <c r="D89" s="203"/>
      <c r="E89" s="204"/>
      <c r="F89" s="171"/>
      <c r="G89" s="268" t="s">
        <v>67</v>
      </c>
      <c r="H89" s="269" t="n">
        <f aca="false">(A41+(A41*H105))*1.2</f>
        <v>0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IF(B99=Z102, (B87-D105)/(B58), B87/(B57+B58))</f>
        <v>892.900355990319</v>
      </c>
      <c r="C90" s="203"/>
      <c r="D90" s="203"/>
      <c r="E90" s="204"/>
      <c r="F90" s="171"/>
      <c r="G90" s="274" t="s">
        <v>112</v>
      </c>
      <c r="H90" s="275" t="n">
        <f aca="false">IF(H99=AE98, (H87-J105)/(H58), H87/(H57+H58))</f>
        <v>1171.69258941778</v>
      </c>
      <c r="I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892.900355990319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1171.69258941778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114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1000.0</v>
      </c>
      <c r="E99" s="113"/>
      <c r="F99" s="171"/>
      <c r="G99" s="212" t="s">
        <v>123</v>
      </c>
      <c r="H99" s="110" t="s">
        <v>118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118</v>
      </c>
      <c r="AA101" s="171"/>
    </row>
    <row r="102" customFormat="false" ht="18.75" hidden="false" customHeight="true" outlineLevel="0" collapsed="false">
      <c r="A102" s="112" t="n">
        <v>199.99</v>
      </c>
      <c r="B102" s="113" t="n">
        <v>0.0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121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352</v>
      </c>
      <c r="B105" s="110" t="n">
        <v>20.0</v>
      </c>
      <c r="C105" s="110"/>
      <c r="D105" s="113" t="n">
        <v>200.0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137</v>
      </c>
    </row>
    <row r="110" customFormat="false" ht="18.75" hidden="false" customHeight="true" outlineLevel="0" collapsed="false">
      <c r="A110" s="195" t="s">
        <v>140</v>
      </c>
      <c r="B110" s="213" t="s">
        <v>353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146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0.0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195" t="s">
        <v>81</v>
      </c>
      <c r="H126" s="203" t="s">
        <v>82</v>
      </c>
      <c r="I126" s="203"/>
      <c r="J126" s="203" t="s">
        <v>85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892.900355990319</v>
      </c>
      <c r="B128" s="120" t="n">
        <f aca="false">IF(A105="YES", B89, 0)</f>
        <v>0</v>
      </c>
      <c r="C128" s="191"/>
      <c r="D128" s="120" t="n">
        <f aca="false">B91</f>
        <v>892.900355990319</v>
      </c>
      <c r="E128" s="121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284" t="s">
        <v>151</v>
      </c>
      <c r="H129" s="285" t="s">
        <v>152</v>
      </c>
      <c r="I129" s="285"/>
      <c r="J129" s="285" t="s">
        <v>153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58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132" t="n">
        <f aca="false">H90</f>
        <v>1171.69258941778</v>
      </c>
      <c r="H130" s="286" t="n">
        <f aca="false">IF(G105="YES", H89*H57, 0)</f>
        <v>0</v>
      </c>
      <c r="I130" s="286"/>
      <c r="J130" s="134" t="n">
        <f aca="false">H91</f>
        <v>1171.69258941778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58"/>
    </row>
    <row r="131" customFormat="false" ht="18.75" hidden="false" customHeight="true" outlineLevel="0" collapsed="false">
      <c r="A131" s="135" t="str">
        <f aca="false">B99</f>
        <v>Monthly in advance</v>
      </c>
      <c r="B131" s="136" t="n">
        <f aca="false">B90*B57</f>
        <v>892.900355990319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58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0</v>
      </c>
      <c r="I133" s="224"/>
      <c r="J133" s="140" t="n">
        <f aca="false">H91*H57</f>
        <v>1171.69258941778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892.900355990319</v>
      </c>
      <c r="B134" s="136" t="n">
        <f aca="false">E114</f>
        <v>4000</v>
      </c>
      <c r="C134" s="13"/>
      <c r="D134" s="142" t="n">
        <f aca="false">B58</f>
        <v>11</v>
      </c>
      <c r="E134" s="1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892.900355990319</v>
      </c>
      <c r="B137" s="136" t="n">
        <f aca="false">IF(A105="YES", B89, 0)</f>
        <v>0</v>
      </c>
      <c r="C137" s="13"/>
      <c r="D137" s="136" t="n">
        <f aca="false">B91</f>
        <v>892.900355990319</v>
      </c>
      <c r="E137" s="1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678.84</v>
      </c>
      <c r="E151" s="146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1171.69258941778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892.900355990319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147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119</v>
      </c>
      <c r="B167" s="159" t="s">
        <v>42</v>
      </c>
      <c r="C167" s="160"/>
      <c r="D167" s="159" t="s">
        <v>82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123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112</v>
      </c>
      <c r="B170" s="159" t="s">
        <v>149</v>
      </c>
      <c r="C170" s="160"/>
      <c r="D170" s="159" t="s">
        <v>150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892.900355990319</v>
      </c>
      <c r="B171" s="160" t="n">
        <f aca="false">IF(A105="YES", B89, 0)</f>
        <v>0</v>
      </c>
      <c r="C171" s="192"/>
      <c r="D171" s="160" t="n">
        <f aca="false">B91</f>
        <v>892.900355990319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156</v>
      </c>
      <c r="C173" s="48"/>
      <c r="D173" s="163" t="s">
        <v>157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Monthly in advance</v>
      </c>
      <c r="B174" s="164" t="n">
        <f aca="false">B90*B57</f>
        <v>892.900355990319</v>
      </c>
      <c r="C174" s="31"/>
      <c r="D174" s="164" t="n">
        <f aca="false">IF(A105="YES", B89*B57, 0)</f>
        <v>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164</v>
      </c>
      <c r="B176" s="165" t="s">
        <v>165</v>
      </c>
      <c r="C176" s="38"/>
      <c r="D176" s="58" t="s">
        <v>166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892.900355990319</v>
      </c>
      <c r="B177" s="164" t="n">
        <f aca="false">E114</f>
        <v>4000</v>
      </c>
      <c r="C177" s="31"/>
      <c r="D177" s="166" t="n">
        <f aca="false">B58</f>
        <v>11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112</v>
      </c>
      <c r="B179" s="168" t="s">
        <v>149</v>
      </c>
      <c r="C179" s="31"/>
      <c r="D179" s="31" t="s">
        <v>150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892.900355990319</v>
      </c>
      <c r="B180" s="164" t="n">
        <f aca="false">IF(A105="YES", B89, 0)</f>
        <v>0</v>
      </c>
      <c r="C180" s="31"/>
      <c r="D180" s="164" t="n">
        <f aca="false">B91</f>
        <v>892.900355990319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177</v>
      </c>
      <c r="C182" s="164"/>
      <c r="D182" s="169" t="s">
        <v>178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(G12*0.000006)*1.2*100</f>
        <v>0</v>
      </c>
      <c r="B183" s="170" t="n">
        <f aca="false">G12*0.000002 *1.2*100</f>
        <v>0</v>
      </c>
      <c r="C183" s="31"/>
      <c r="D183" s="170" t="n">
        <f aca="false">A183+B183</f>
        <v>0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182</v>
      </c>
      <c r="B185" s="169" t="s">
        <v>54</v>
      </c>
      <c r="C185" s="164"/>
      <c r="D185" s="169" t="s">
        <v>101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199.99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185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186</v>
      </c>
      <c r="B190" s="31" t="s">
        <v>187</v>
      </c>
      <c r="C190" s="31"/>
      <c r="D190" s="31" t="s">
        <v>188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0)*0.1</f>
        <v>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192</v>
      </c>
      <c r="B193" s="31" t="s">
        <v>184</v>
      </c>
      <c r="C193" s="31"/>
      <c r="D193" s="31" t="s">
        <v>181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E118-100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678.84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193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194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195</v>
      </c>
      <c r="B203" s="172" t="n">
        <f aca="false">H29</f>
        <v>12</v>
      </c>
      <c r="C203" s="120" t="s">
        <v>196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197</v>
      </c>
      <c r="B205" s="120" t="n">
        <f aca="false">B213</f>
        <v>578.85</v>
      </c>
      <c r="C205" s="119" t="s">
        <v>198</v>
      </c>
      <c r="D205" s="173" t="n">
        <f aca="false">B219+E215+B215+B217</f>
        <v>99.99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199</v>
      </c>
      <c r="B207" s="120" t="n">
        <f aca="false">E217</f>
        <v>3573.09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195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196</v>
      </c>
      <c r="B211" s="45" t="n">
        <f aca="false">D64</f>
        <v>4051.95</v>
      </c>
      <c r="C211" s="176" t="s">
        <v>200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200</v>
      </c>
      <c r="B213" s="45" t="n">
        <f aca="false">B67</f>
        <v>578.85</v>
      </c>
      <c r="C213" s="137" t="s">
        <v>201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201</v>
      </c>
      <c r="B215" s="58" t="n">
        <f aca="false">B77-(B77*(E213*100))*0.1</f>
        <v>0</v>
      </c>
      <c r="C215" s="137" t="s">
        <v>202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203</v>
      </c>
      <c r="B217" s="58" t="n">
        <f aca="false">B78-(B78*(E213*100))</f>
        <v>0</v>
      </c>
      <c r="C217" s="137" t="s">
        <v>199</v>
      </c>
      <c r="D217" s="13"/>
      <c r="E217" s="11" t="n">
        <f aca="false">(B211-B205+D205)</f>
        <v>3573.09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204</v>
      </c>
      <c r="B219" s="148" t="n">
        <f aca="false">D191/0.1</f>
        <v>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205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206</v>
      </c>
      <c r="B223" s="45" t="n">
        <f aca="false">B71</f>
        <v>200</v>
      </c>
      <c r="C223" s="137" t="s">
        <v>207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208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209</v>
      </c>
      <c r="B225" s="183" t="n">
        <f aca="false">B68</f>
        <v>0.0075</v>
      </c>
      <c r="C225" s="137" t="s">
        <v>210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211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212</v>
      </c>
      <c r="B227" s="45" t="n">
        <f aca="false">B79</f>
        <v>200</v>
      </c>
      <c r="C227" s="184" t="s">
        <v>213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214</v>
      </c>
      <c r="B229" s="45" t="n">
        <f aca="false">B80</f>
        <v>200</v>
      </c>
      <c r="C229" s="188" t="s">
        <v>215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27" colorId="64" zoomScale="75" zoomScaleNormal="75" zoomScalePageLayoutView="100" workbookViewId="0">
      <selection pane="topLeft" activeCell="E63" activeCellId="0" sqref="E63"/>
    </sheetView>
  </sheetViews>
  <sheetFormatPr defaultColWidth="8.3203125" defaultRowHeight="17.35" zeroHeight="false" outlineLevelRow="0" outlineLevelCol="0"/>
  <cols>
    <col min="1" max="1" customWidth="true" hidden="false" style="288" width="41.67" collapsed="false" outlineLevel="0"/>
    <col min="2" max="9" customWidth="true" hidden="false" style="288" width="18.88" collapsed="false" outlineLevel="0"/>
    <col min="10" max="10" customWidth="true" hidden="false" style="288" width="41.67" collapsed="false" outlineLevel="0"/>
    <col min="11" max="17" customWidth="true" hidden="false" style="288" width="18.88" collapsed="false" outlineLevel="0"/>
    <col min="18" max="18" customWidth="false" hidden="false" style="288" width="8.33" collapsed="false" outlineLevel="0"/>
    <col min="19" max="19" customWidth="true" hidden="false" style="288" width="41.67" collapsed="false" outlineLevel="0"/>
    <col min="20" max="24" customWidth="true" hidden="false" style="288" width="18.88" collapsed="false" outlineLevel="0"/>
    <col min="25" max="26" customWidth="true" hidden="false" style="53" width="18.88" collapsed="false" outlineLevel="0"/>
    <col min="27" max="27" customWidth="false" hidden="false" style="288" width="8.33" collapsed="false" outlineLevel="0"/>
    <col min="28" max="28" customWidth="true" hidden="false" style="288" width="41.67" collapsed="false" outlineLevel="0"/>
    <col min="29" max="35" customWidth="true" hidden="false" style="288" width="18.88" collapsed="false" outlineLevel="0"/>
    <col min="36" max="1024" customWidth="false" hidden="false" style="288" width="8.33" collapsed="false" outlineLevel="0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72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73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314" t="n">
        <v>0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77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78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178</v>
      </c>
      <c r="B48" s="316"/>
      <c r="C48" s="316"/>
      <c r="D48" s="316"/>
      <c r="E48" s="316"/>
      <c r="F48" s="316"/>
      <c r="G48" s="316"/>
      <c r="H48" s="318"/>
      <c r="J48" s="66" t="s">
        <v>79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80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81</v>
      </c>
      <c r="B58" s="331" t="s">
        <v>82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84</v>
      </c>
      <c r="B67" s="12" t="n">
        <v>1</v>
      </c>
      <c r="C67" s="12"/>
      <c r="D67" s="12"/>
      <c r="E67" s="308"/>
      <c r="F67" s="308"/>
      <c r="G67" s="308"/>
      <c r="H67" s="11"/>
      <c r="J67" s="293" t="s">
        <v>84</v>
      </c>
      <c r="K67" s="12" t="n">
        <v>1</v>
      </c>
      <c r="L67" s="12"/>
      <c r="M67" s="12"/>
      <c r="N67" s="308"/>
      <c r="O67" s="308"/>
      <c r="P67" s="308"/>
      <c r="Q67" s="11"/>
      <c r="S67" s="293" t="s">
        <v>84</v>
      </c>
      <c r="T67" s="12" t="n">
        <v>1</v>
      </c>
      <c r="U67" s="12"/>
      <c r="V67" s="12"/>
      <c r="W67" s="308"/>
      <c r="X67" s="308"/>
      <c r="Y67" s="308"/>
      <c r="Z67" s="11"/>
      <c r="AB67" s="293" t="s">
        <v>84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85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85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85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85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88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88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88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88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89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89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89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89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90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90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90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90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91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91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91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91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92</v>
      </c>
      <c r="B78" s="337" t="n">
        <v>0</v>
      </c>
      <c r="C78" s="12"/>
      <c r="D78" s="12"/>
      <c r="E78" s="308"/>
      <c r="F78" s="308"/>
      <c r="G78" s="308"/>
      <c r="H78" s="11"/>
      <c r="J78" s="336" t="s">
        <v>92</v>
      </c>
      <c r="K78" s="337" t="n">
        <v>0</v>
      </c>
      <c r="L78" s="12"/>
      <c r="M78" s="12"/>
      <c r="N78" s="308"/>
      <c r="O78" s="308"/>
      <c r="P78" s="308"/>
      <c r="Q78" s="11"/>
      <c r="S78" s="336" t="s">
        <v>92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92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93</v>
      </c>
      <c r="B79" s="338" t="n">
        <v>0</v>
      </c>
      <c r="C79" s="12"/>
      <c r="D79" s="12"/>
      <c r="E79" s="308"/>
      <c r="F79" s="308"/>
      <c r="G79" s="308"/>
      <c r="H79" s="11"/>
      <c r="J79" s="290" t="s">
        <v>93</v>
      </c>
      <c r="K79" s="338" t="n">
        <v>0</v>
      </c>
      <c r="L79" s="12"/>
      <c r="M79" s="12"/>
      <c r="N79" s="308"/>
      <c r="O79" s="308"/>
      <c r="P79" s="308"/>
      <c r="Q79" s="11"/>
      <c r="S79" s="290" t="s">
        <v>93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93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94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94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94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94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95</v>
      </c>
      <c r="B81" s="88" t="n">
        <v>0</v>
      </c>
      <c r="C81" s="12"/>
      <c r="D81" s="12"/>
      <c r="E81" s="308"/>
      <c r="F81" s="308"/>
      <c r="G81" s="308"/>
      <c r="H81" s="11"/>
      <c r="J81" s="336" t="s">
        <v>95</v>
      </c>
      <c r="K81" s="88" t="n">
        <v>0</v>
      </c>
      <c r="L81" s="12"/>
      <c r="M81" s="12"/>
      <c r="N81" s="308"/>
      <c r="O81" s="308"/>
      <c r="P81" s="308"/>
      <c r="Q81" s="11"/>
      <c r="S81" s="336" t="s">
        <v>95</v>
      </c>
      <c r="T81" s="88" t="n">
        <v>0</v>
      </c>
      <c r="U81" s="12"/>
      <c r="V81" s="12"/>
      <c r="W81" s="308"/>
      <c r="X81" s="308"/>
      <c r="Y81" s="308"/>
      <c r="Z81" s="11"/>
      <c r="AB81" s="336" t="s">
        <v>95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96</v>
      </c>
      <c r="B82" s="89" t="n">
        <v>0</v>
      </c>
      <c r="C82" s="12"/>
      <c r="D82" s="12"/>
      <c r="E82" s="308"/>
      <c r="F82" s="308"/>
      <c r="G82" s="308"/>
      <c r="H82" s="11"/>
      <c r="J82" s="290" t="s">
        <v>96</v>
      </c>
      <c r="K82" s="89" t="n">
        <v>0</v>
      </c>
      <c r="L82" s="12"/>
      <c r="M82" s="12"/>
      <c r="N82" s="308"/>
      <c r="O82" s="308"/>
      <c r="P82" s="308"/>
      <c r="Q82" s="11"/>
      <c r="S82" s="290" t="s">
        <v>96</v>
      </c>
      <c r="T82" s="89" t="n">
        <v>0</v>
      </c>
      <c r="U82" s="12"/>
      <c r="V82" s="12"/>
      <c r="W82" s="308"/>
      <c r="X82" s="308"/>
      <c r="Y82" s="308"/>
      <c r="Z82" s="11"/>
      <c r="AB82" s="290" t="s">
        <v>96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97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97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97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97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104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104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104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104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105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105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105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105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106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106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106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106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107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107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107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107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108</v>
      </c>
      <c r="B88" s="102" t="n">
        <f aca="false">K49</f>
        <v>238.924242424242</v>
      </c>
      <c r="C88" s="12"/>
      <c r="D88" s="12"/>
      <c r="E88" s="308"/>
      <c r="F88" s="308"/>
      <c r="G88" s="308"/>
      <c r="H88" s="11"/>
      <c r="J88" s="345" t="s">
        <v>108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108</v>
      </c>
      <c r="T88" s="102" t="n">
        <f aca="false">B60</f>
        <v>238.924242424242</v>
      </c>
      <c r="U88" s="12"/>
      <c r="V88" s="12"/>
      <c r="W88" s="308"/>
      <c r="X88" s="308"/>
      <c r="Y88" s="308"/>
      <c r="Z88" s="11"/>
      <c r="AB88" s="345" t="s">
        <v>108</v>
      </c>
      <c r="AC88" s="102" t="n">
        <f aca="false">B60</f>
        <v>238.924242424242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109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109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109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109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110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110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110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110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111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111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111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111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</f>
        <v>0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112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112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112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112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113</v>
      </c>
      <c r="B105" s="349" t="n">
        <f aca="false">B103+B104</f>
        <v>1639.88541555755</v>
      </c>
      <c r="C105" s="12"/>
      <c r="D105" s="12"/>
      <c r="E105" s="308" t="s">
        <v>28</v>
      </c>
      <c r="F105" s="308"/>
      <c r="G105" s="308"/>
      <c r="H105" s="11"/>
      <c r="J105" s="348" t="s">
        <v>113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113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113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117</v>
      </c>
      <c r="K111" s="312"/>
      <c r="L111" s="312"/>
      <c r="M111" s="312"/>
      <c r="N111" s="312"/>
      <c r="O111" s="312"/>
      <c r="P111" s="312"/>
      <c r="Q111" s="312"/>
      <c r="S111" s="312" t="s">
        <v>117</v>
      </c>
      <c r="T111" s="312"/>
      <c r="U111" s="312"/>
      <c r="V111" s="312"/>
      <c r="W111" s="312"/>
      <c r="X111" s="312"/>
      <c r="Y111" s="312"/>
      <c r="Z111" s="312"/>
      <c r="AB111" s="312" t="s">
        <v>117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119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293" t="s">
        <v>119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293" t="s">
        <v>119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293" t="s">
        <v>119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118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118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118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118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133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133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133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133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145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145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145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145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176</v>
      </c>
      <c r="C122" s="12"/>
      <c r="D122" s="12"/>
      <c r="E122" s="12" t="s">
        <v>134</v>
      </c>
      <c r="F122" s="12"/>
      <c r="G122" s="308"/>
      <c r="H122" s="352"/>
      <c r="J122" s="54" t="s">
        <v>282</v>
      </c>
      <c r="K122" s="12" t="s">
        <v>176</v>
      </c>
      <c r="L122" s="12"/>
      <c r="M122" s="12"/>
      <c r="N122" s="12" t="s">
        <v>134</v>
      </c>
      <c r="O122" s="12"/>
      <c r="P122" s="308"/>
      <c r="Q122" s="352"/>
      <c r="S122" s="54" t="s">
        <v>282</v>
      </c>
      <c r="T122" s="12" t="s">
        <v>176</v>
      </c>
      <c r="U122" s="12"/>
      <c r="V122" s="12"/>
      <c r="W122" s="12" t="s">
        <v>134</v>
      </c>
      <c r="X122" s="12"/>
      <c r="Y122" s="308"/>
      <c r="Z122" s="352"/>
      <c r="AB122" s="54" t="s">
        <v>282</v>
      </c>
      <c r="AC122" s="12" t="s">
        <v>176</v>
      </c>
      <c r="AD122" s="12"/>
      <c r="AE122" s="12"/>
      <c r="AF122" s="12" t="s">
        <v>134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141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141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141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141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142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142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142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142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143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143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143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143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144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144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144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144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148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148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148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148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0</v>
      </c>
      <c r="C176" s="392"/>
      <c r="D176" s="392"/>
      <c r="E176" s="133" t="n">
        <f aca="false">B105</f>
        <v>1639.88541555755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81</v>
      </c>
      <c r="B178" s="12" t="s">
        <v>82</v>
      </c>
      <c r="C178" s="12"/>
      <c r="D178" s="308"/>
      <c r="E178" s="12" t="s">
        <v>300</v>
      </c>
      <c r="F178" s="308"/>
      <c r="G178" s="308"/>
      <c r="H178" s="11"/>
      <c r="J178" s="293" t="s">
        <v>81</v>
      </c>
      <c r="K178" s="12" t="s">
        <v>82</v>
      </c>
      <c r="L178" s="12"/>
      <c r="M178" s="308"/>
      <c r="N178" s="12" t="s">
        <v>300</v>
      </c>
      <c r="O178" s="308"/>
      <c r="P178" s="308"/>
      <c r="Q178" s="11"/>
      <c r="S178" s="293" t="s">
        <v>81</v>
      </c>
      <c r="T178" s="12" t="s">
        <v>82</v>
      </c>
      <c r="U178" s="12"/>
      <c r="V178" s="308"/>
      <c r="W178" s="12" t="s">
        <v>300</v>
      </c>
      <c r="X178" s="308"/>
      <c r="Y178" s="308"/>
      <c r="Z178" s="11"/>
      <c r="AB178" s="293" t="s">
        <v>81</v>
      </c>
      <c r="AC178" s="12" t="s">
        <v>82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145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145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145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145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141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141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141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141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81</v>
      </c>
      <c r="B204" s="331" t="s">
        <v>82</v>
      </c>
      <c r="C204" s="331"/>
      <c r="D204" s="331"/>
      <c r="E204" s="308"/>
      <c r="F204" s="308"/>
      <c r="G204" s="308"/>
      <c r="H204" s="11"/>
      <c r="J204" s="397" t="s">
        <v>81</v>
      </c>
      <c r="K204" s="398" t="s">
        <v>82</v>
      </c>
      <c r="L204" s="398"/>
      <c r="M204" s="398"/>
      <c r="N204" s="308"/>
      <c r="O204" s="308"/>
      <c r="P204" s="308"/>
      <c r="Q204" s="11"/>
      <c r="S204" s="397" t="s">
        <v>81</v>
      </c>
      <c r="T204" s="331" t="s">
        <v>82</v>
      </c>
      <c r="U204" s="331"/>
      <c r="V204" s="331"/>
      <c r="W204" s="308"/>
      <c r="X204" s="308"/>
      <c r="Y204" s="308"/>
      <c r="Z204" s="11"/>
      <c r="AB204" s="397" t="s">
        <v>81</v>
      </c>
      <c r="AC204" s="331" t="s">
        <v>82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1639.88541555755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2020-12-02T11:02:33Z</dcterms:created>
  <dc:creator>Kushal Panchal</dc:creator>
  <dc:language>en-US</dc:language>
  <dcterms:modified xsi:type="dcterms:W3CDTF">2023-01-17T17:47:06Z</dcterms:modified>
  <cp:revision>381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