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<sst xmlns="http://schemas.openxmlformats.org/spreadsheetml/2006/main" count="4313" uniqueCount="281">
  <si>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</si>
  <si>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</si>
  <si>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</si>
  <si>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</si>
  <si>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</si>
  <si>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</si>
  <si>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</si>
  <si>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</si>
  <si>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</si>
  <si>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</si>
  <si>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</si>
  <si>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</si>
  <si>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</si>
  <si>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</si>
  <si>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</si>
  <si>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</si>
  <si>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</si>
  <si>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</si>
  <si>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</si>
  <si>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</si>
  <si>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</si>
  <si>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</si>
  <si>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</si>
  <si>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</si>
  <si>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</si>
  <si>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</si>
  <si>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</si>
  <si>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</si>
  <si>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</si>
  <si>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</si>
  <si>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</si>
  <si>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</si>
  <si>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</si>
  <si>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</si>
  <si>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</si>
  <si>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</si>
  <si>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</si>
  <si>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</si>
  <si>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</si>
  <si>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</si>
  <si>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</si>
  <si>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</si>
  <si>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</si>
  <si>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</si>
  <si>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</si>
  <si>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</si>
  <si>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</si>
  <si>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</si>
  <si>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</si>
  <si>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</si>
  <si>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</si>
  <si>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</si>
  <si>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</si>
  <si>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</si>
  <si>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</si>
  <si>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</si>
  <si>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</si>
  <si>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</si>
  <si>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</si>
  <si>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</si>
  <si>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</si>
  <si>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</si>
  <si>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</si>
  <si>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</si>
  <si>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</si>
  <si>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</si>
  <si>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</si>
  <si>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</si>
  <si>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</si>
  <si>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</si>
  <si>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</si>
  <si>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</si>
  <si>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</si>
  <si>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</si>
  <si>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</si>
  <si>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</si>
  <si>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</si>
  <si>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</si>
  <si>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</si>
  <si>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</si>
  <si>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</si>
  <si>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</si>
  <si>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</si>
  <si>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</si>
  <si>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</si>
  <si>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</si>
  <si>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</si>
  <si>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</si>
  <si>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</si>
  <si>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</si>
  <si>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</si>
  <si>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</si>
  <si>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</si>
  <si>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</si>
  <si>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</si>
  <si>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</si>
  <si>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</si>
  <si>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</si>
  <si>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</si>
  <si>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</si>
  <si>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</si>
  <si>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</si>
  <si>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</si>
  <si>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</si>
  <si>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</si>
  <si>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</si>
  <si>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</si>
  <si>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</si>
  <si>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</si>
  <si>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</si>
  <si>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</si>
  <si>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</si>
  <si>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</si>
  <si>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</si>
  <si>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</si>
  <si>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</si>
  <si>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</si>
  <si>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</si>
  <si>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</si>
  <si>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</si>
  <si>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</si>
  <si>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</si>
  <si>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</si>
  <si>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</si>
  <si>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</si>
  <si>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</si>
  <si>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</si>
  <si>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</si>
  <si>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</si>
  <si>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</si>
  <si>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</si>
  <si>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</si>
  <si>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</si>
  <si>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</si>
  <si>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</si>
  <si>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</si>
  <si>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</si>
  <si>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</si>
  <si>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</si>
  <si>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</si>
  <si>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</si>
  <si>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</si>
  <si>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</si>
  <si>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</si>
  <si>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</si>
  <si>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</si>
  <si>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</si>
  <si>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</si>
  <si>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</si>
  <si>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</si>
  <si>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</si>
  <si>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</si>
  <si>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</si>
  <si>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</si>
  <si>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</si>
  <si>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</si>
  <si>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</si>
  <si>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</si>
  <si>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</si>
  <si>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</si>
  <si>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</si>
  <si>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</si>
  <si>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</si>
  <si>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</si>
  <si>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</si>
  <si>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</si>
  <si>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</si>
  <si>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</si>
  <si>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</si>
  <si>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</si>
  <si>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</si>
  <si>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</si>
  <si>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</si>
  <si>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</si>
  <si>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</si>
  <si>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</si>
  <si>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</si>
  <si>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</si>
  <si>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</si>
  <si>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</si>
  <si>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</si>
  <si>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</si>
  <si>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</si>
  <si>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</si>
  <si>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</si>
  <si>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</si>
  <si>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</si>
  <si>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</si>
  <si>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</si>
  <si>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</si>
  <si>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</si>
  <si>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</si>
  <si>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</si>
  <si>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</si>
  <si>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</si>
  <si>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</si>
  <si>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</si>
  <si>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</si>
  <si>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</si>
  <si>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</si>
  <si>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</si>
  <si>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</si>
  <si>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</si>
  <si>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</si>
  <si>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</si>
  <si>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</si>
  <si>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</si>
  <si>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</si>
  <si>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</si>
  <si>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</si>
  <si>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</si>
  <si>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</si>
  <si>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</si>
  <si>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</si>
  <si>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</si>
  <si>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</si>
  <si>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</si>
  <si>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</si>
  <si>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</si>
  <si>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</si>
  <si>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</si>
  <si>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</si>
  <si>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</si>
  <si>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</si>
  <si>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</si>
  <si>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</si>
  <si>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</si>
  <si>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</si>
  <si>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</si>
  <si>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</si>
  <si>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</si>
  <si>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</si>
  <si>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</si>
  <si>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</si>
  <si>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</si>
  <si>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</si>
  <si>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</si>
  <si>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</si>
  <si>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</si>
  <si>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</si>
  <si>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</si>
  <si>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</si>
  <si>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</si>
  <si>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</si>
  <si>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</si>
  <si>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</si>
  <si>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</si>
  <si>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</si>
  <si>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</si>
  <si>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</si>
  <si>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</si>
  <si>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</si>
  <si>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</si>
  <si>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</si>
  <si>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</si>
  <si>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</si>
  <si>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</si>
  <si>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</si>
  <si>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</si>
  <si>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</si>
  <si>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</si>
  <si>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</si>
  <si>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</si>
  <si>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</si>
  <si>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</si>
  <si>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</si>
  <si>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</si>
  <si>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</si>
  <si>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</si>
  <si>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</si>
  <si>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YES</t>
  </si>
  <si>
    <t>0</t>
  </si>
  <si>
    <t>100</t>
  </si>
  <si>
    <t>A1 Credit</t>
  </si>
  <si>
    <t>NO</t>
  </si>
  <si>
    <t>200</t>
  </si>
  <si>
    <t xml:space="preserve"> Terminal pause with 6 down </t>
  </si>
  <si>
    <t xml:space="preserve"> Terminal pause with 9 down </t>
  </si>
  <si>
    <t>239.99</t>
  </si>
  <si>
    <t>630</t>
  </si>
  <si>
    <t>199.99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</si>
</sst>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180" zoomScaleNormal="180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270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271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272</v>
      </c>
      <c r="B45" s="14"/>
      <c r="C45" s="67" t="s">
        <v>272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9431.52556441513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58525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37448.2347422869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1218.7621911032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42656.676688612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42656.676688612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1218.7621911032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1261.13933396034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270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273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270</v>
      </c>
      <c r="B111" s="58" t="n">
        <v>200.0</v>
      </c>
      <c r="C111" s="58"/>
      <c r="D111" s="58"/>
      <c r="E111" s="58" t="n">
        <v>200.0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278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46854.17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2000.0</v>
      </c>
      <c r="F152" s="58"/>
      <c r="G152" s="58" t="n">
        <v>1000.0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0</v>
      </c>
      <c r="F153" s="26"/>
      <c r="G153" s="58" t="n">
        <v>500.0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58525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1218.7621911032</v>
      </c>
      <c r="B167" s="150" t="n">
        <f aca="false">B94</f>
        <v>42.3771428571428</v>
      </c>
      <c r="C167" s="148"/>
      <c r="D167" s="148"/>
      <c r="E167" s="150" t="n">
        <f aca="false">B96</f>
        <v>1261.13933396034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48237.5</v>
      </c>
      <c r="B173" s="23" t="n">
        <f aca="false">H137</f>
        <v>9647.5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239.99</v>
      </c>
      <c r="C182" s="23"/>
      <c r="D182" s="31"/>
      <c r="E182" s="23" t="n">
        <f aca="false">E179+A182+B182+A185</f>
        <v>70406.6666886121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365.78125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526.37125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1261.13933396034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256</v>
      </c>
      <c r="B1" s="0" t="s">
        <v>257</v>
      </c>
    </row>
    <row r="2" customFormat="false" ht="13.8" hidden="false" customHeight="false" outlineLevel="0" collapsed="false">
      <c r="C2" s="0" t="s">
        <v>258</v>
      </c>
      <c r="D2" s="0" t="s">
        <v>259</v>
      </c>
    </row>
    <row r="3" customFormat="false" ht="28.6" hidden="false" customHeight="false" outlineLevel="0" collapsed="false">
      <c r="A3" s="305" t="s">
        <v>260</v>
      </c>
      <c r="B3" s="0" t="s">
        <v>261</v>
      </c>
      <c r="C3" s="306" t="s">
        <v>262</v>
      </c>
      <c r="D3" s="307" t="s">
        <v>263</v>
      </c>
    </row>
    <row r="4" customFormat="false" ht="13.8" hidden="false" customHeight="false" outlineLevel="0" collapsed="false">
      <c r="A4" s="305"/>
      <c r="B4" s="0" t="s">
        <v>264</v>
      </c>
      <c r="C4" s="307" t="s">
        <v>263</v>
      </c>
      <c r="D4" s="307" t="s">
        <v>263</v>
      </c>
    </row>
    <row r="5" customFormat="false" ht="19.45" hidden="false" customHeight="false" outlineLevel="0" collapsed="false">
      <c r="A5" s="305"/>
      <c r="B5" s="0" t="s">
        <v>265</v>
      </c>
      <c r="C5" s="306" t="s">
        <v>266</v>
      </c>
      <c r="D5" s="307" t="s">
        <v>263</v>
      </c>
    </row>
    <row r="6" customFormat="false" ht="13.8" hidden="false" customHeight="false" outlineLevel="0" collapsed="false">
      <c r="A6" s="305"/>
      <c r="B6" s="0" t="s">
        <v>260</v>
      </c>
    </row>
    <row r="7" customFormat="false" ht="13.8" hidden="false" customHeight="false" outlineLevel="0" collapsed="false">
      <c r="A7" s="305"/>
      <c r="B7" s="0" t="s">
        <v>267</v>
      </c>
    </row>
    <row r="8" customFormat="false" ht="13.8" hidden="false" customHeight="false" outlineLevel="0" collapsed="false">
      <c r="A8" s="305"/>
      <c r="B8" s="0" t="s">
        <v>268</v>
      </c>
    </row>
    <row r="9" customFormat="false" ht="13.8" hidden="false" customHeight="false" outlineLevel="0" collapsed="false">
      <c r="A9" s="305"/>
      <c r="B9" s="0" t="s">
        <v>269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180" zoomScaleNormal="180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26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199.99</v>
      </c>
      <c r="C182" s="23"/>
      <c r="D182" s="31"/>
      <c r="E182" s="23" t="n">
        <f aca="false">E179+A182+B182+A185</f>
        <v>75178.1956076868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2457.64625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180" zoomScaleNormal="180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270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271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272</v>
      </c>
      <c r="B45" s="14"/>
      <c r="C45" s="67" t="s">
        <v>272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270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273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270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90" colorId="64" zoomScale="180" zoomScaleNormal="180" zoomScalePageLayoutView="100" workbookViewId="0">
      <selection pane="topLeft" activeCell="D127" activeCellId="0" sqref="D127"/>
    </sheetView>
  </sheetViews>
  <sheetFormatPr defaultColWidth="11.691406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19837.5</v>
      </c>
      <c r="C7" s="65" t="n">
        <f aca="false">C3-C6</f>
        <v>479.17</v>
      </c>
      <c r="D7" s="65" t="n">
        <f aca="false">D3-D6</f>
        <v>500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-663.789103129595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20816.67</v>
      </c>
      <c r="F9" s="157"/>
      <c r="G9" s="167" t="n">
        <f aca="false">E9-G11</f>
        <v>-131679.163333333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4273.334</v>
      </c>
      <c r="F11" s="157"/>
      <c r="G11" s="167" t="n">
        <f aca="false">G13/1.2</f>
        <v>152495.833333333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182995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25715.004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25040.004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25640.004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25715.004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37</v>
      </c>
      <c r="C30" s="146"/>
      <c r="D30" s="168"/>
      <c r="E30" s="169"/>
      <c r="F30" s="157"/>
      <c r="G30" s="187" t="s">
        <v>38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15200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895.83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364.162271892354</v>
      </c>
      <c r="E33" s="169"/>
      <c r="F33" s="157"/>
      <c r="G33" s="188" t="s">
        <v>44</v>
      </c>
      <c r="H33" s="196" t="n">
        <f aca="false">E21-E11+((E16*20%)+(E19*20%)+(E20*20%))</f>
        <v>21441.67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339.278105225687</v>
      </c>
      <c r="B36" s="23" t="n">
        <f aca="false">IF(B26="YES", H42, "")</f>
        <v>24.8841666666667</v>
      </c>
      <c r="C36" s="199"/>
      <c r="D36" s="200" t="n">
        <f aca="false">H31</f>
        <v>15200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21441.67</v>
      </c>
      <c r="I39" s="202" t="n">
        <f aca="false">(I48*H46)+H44</f>
        <v>55238.4539371875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15200</v>
      </c>
      <c r="B40" s="58" t="n">
        <f aca="false">IF(B26="YES",H42,"0")</f>
        <v>24.8841666666667</v>
      </c>
      <c r="C40" s="58"/>
      <c r="D40" s="200" t="n">
        <f aca="false">I32</f>
        <v>895.83</v>
      </c>
      <c r="E40" s="169"/>
      <c r="F40" s="157"/>
      <c r="G40" s="157" t="s">
        <v>55</v>
      </c>
      <c r="H40" s="202" t="n">
        <f aca="false">(A40)/1.2</f>
        <v>12666.6666666667</v>
      </c>
      <c r="I40" s="202" t="n">
        <f aca="false">H39-I39</f>
        <v>-33796.7839371875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24.8841666666667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10371.8774004595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62</v>
      </c>
      <c r="B45" s="168"/>
      <c r="C45" s="210" t="s">
        <v>62</v>
      </c>
      <c r="D45" s="210"/>
      <c r="E45" s="169"/>
      <c r="F45" s="157"/>
      <c r="G45" s="157" t="s">
        <v>167</v>
      </c>
      <c r="H45" s="202" t="n">
        <f aca="false">(H39-H44)</f>
        <v>11069.7925995405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339.278105225687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364.162271892354</v>
      </c>
      <c r="I48" s="202" t="n">
        <f aca="false">I49-H42</f>
        <v>1375.11583333333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364.162271892354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3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25640.004</v>
      </c>
      <c r="C61" s="168"/>
      <c r="D61" s="168"/>
      <c r="E61" s="169"/>
      <c r="F61" s="157"/>
      <c r="G61" s="161" t="s">
        <v>21</v>
      </c>
      <c r="H61" s="65" t="n">
        <f aca="false">G18</f>
        <v>25640.004</v>
      </c>
      <c r="I61" s="168"/>
      <c r="J61" s="168"/>
      <c r="K61" s="169"/>
      <c r="L61" s="157"/>
      <c r="M61" s="161" t="s">
        <v>21</v>
      </c>
      <c r="N61" s="65" t="n">
        <f aca="false">G18</f>
        <v>25640.004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2692.20042</v>
      </c>
      <c r="C64" s="168"/>
      <c r="D64" s="65" t="n">
        <f aca="false">B64-A145</f>
        <v>2692.20042</v>
      </c>
      <c r="E64" s="169"/>
      <c r="F64" s="157"/>
      <c r="G64" s="211" t="s">
        <v>74</v>
      </c>
      <c r="H64" s="121" t="n">
        <f aca="false">H61*H63</f>
        <v>2692.20042</v>
      </c>
      <c r="I64" s="168"/>
      <c r="J64" s="65" t="n">
        <f aca="false">H64-G145</f>
        <v>2692.20042</v>
      </c>
      <c r="K64" s="169"/>
      <c r="L64" s="157"/>
      <c r="M64" s="211" t="s">
        <v>74</v>
      </c>
      <c r="N64" s="121" t="n">
        <f aca="false">N61*N63</f>
        <v>2692.20042</v>
      </c>
      <c r="O64" s="168"/>
      <c r="P64" s="65" t="n">
        <f aca="false">N64-M145</f>
        <v>2692.20042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427.3334</v>
      </c>
      <c r="C67" s="168"/>
      <c r="D67" s="65"/>
      <c r="E67" s="169"/>
      <c r="F67" s="157"/>
      <c r="G67" s="211" t="s">
        <v>77</v>
      </c>
      <c r="H67" s="121" t="n">
        <f aca="false">(H61*H66)/1.2</f>
        <v>427.3334</v>
      </c>
      <c r="I67" s="168"/>
      <c r="J67" s="65"/>
      <c r="K67" s="169"/>
      <c r="L67" s="157"/>
      <c r="M67" s="211" t="s">
        <v>77</v>
      </c>
      <c r="N67" s="121" t="n">
        <f aca="false">(N61*N66)/1.2</f>
        <v>427.3334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0</v>
      </c>
      <c r="C76" s="168"/>
      <c r="D76" s="65" t="n">
        <f aca="false">B76</f>
        <v>0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3472.20042</v>
      </c>
      <c r="C81" s="168"/>
      <c r="D81" s="168"/>
      <c r="E81" s="169"/>
      <c r="F81" s="157"/>
      <c r="G81" s="239" t="s">
        <v>86</v>
      </c>
      <c r="H81" s="240" t="n">
        <f aca="false">SUM(J64:J80)</f>
        <v>3757.95042</v>
      </c>
      <c r="I81" s="168"/>
      <c r="J81" s="168"/>
      <c r="K81" s="169"/>
      <c r="L81" s="157"/>
      <c r="M81" s="239" t="s">
        <v>86</v>
      </c>
      <c r="N81" s="240" t="n">
        <f aca="false">SUM(P64:P80)</f>
        <v>3414.20042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96.4500116666667</v>
      </c>
      <c r="C82" s="168"/>
      <c r="D82" s="168"/>
      <c r="E82" s="169"/>
      <c r="F82" s="157"/>
      <c r="G82" s="161" t="s">
        <v>87</v>
      </c>
      <c r="H82" s="166" t="n">
        <f aca="false">H81/H29</f>
        <v>104.387511666667</v>
      </c>
      <c r="I82" s="168"/>
      <c r="J82" s="168"/>
      <c r="K82" s="169"/>
      <c r="L82" s="157"/>
      <c r="M82" s="161" t="s">
        <v>87</v>
      </c>
      <c r="N82" s="166" t="n">
        <f aca="false">N81/H29</f>
        <v>94.8389005555556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339.278105225687</v>
      </c>
      <c r="C83" s="168"/>
      <c r="D83" s="168"/>
      <c r="E83" s="169"/>
      <c r="F83" s="157"/>
      <c r="G83" s="241" t="s">
        <v>88</v>
      </c>
      <c r="H83" s="242" t="n">
        <f aca="false">H47</f>
        <v>339.278105225687</v>
      </c>
      <c r="I83" s="168"/>
      <c r="J83" s="168"/>
      <c r="K83" s="169"/>
      <c r="L83" s="157"/>
      <c r="M83" s="241" t="s">
        <v>88</v>
      </c>
      <c r="N83" s="242" t="n">
        <f aca="false">H47</f>
        <v>339.278105225687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15686.2122081247</v>
      </c>
      <c r="C85" s="168"/>
      <c r="D85" s="168"/>
      <c r="E85" s="169"/>
      <c r="F85" s="157"/>
      <c r="G85" s="204" t="s">
        <v>97</v>
      </c>
      <c r="H85" s="119" t="n">
        <f aca="false">((H83*H29)+H81)*1.2</f>
        <v>19166.3546497497</v>
      </c>
      <c r="I85" s="168"/>
      <c r="J85" s="168"/>
      <c r="K85" s="169"/>
      <c r="L85" s="157"/>
      <c r="M85" s="204" t="s">
        <v>97</v>
      </c>
      <c r="N85" s="119" t="n">
        <f aca="false">((N83*H29)+N81)</f>
        <v>15628.2122081247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0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135.301011040992</v>
      </c>
      <c r="I86" s="168"/>
      <c r="J86" s="168"/>
      <c r="K86" s="169"/>
      <c r="L86" s="157"/>
      <c r="M86" s="161" t="s">
        <v>98</v>
      </c>
      <c r="N86" s="166" t="n">
        <f aca="false">(N85/(1-N70))*N70</f>
        <v>132.389050573062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15686.2122081247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19301.6556607907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15760.6012586978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23.5744736842105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31.4632975609756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26.2194146341463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412.795058108546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470.772089287578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384.404908748727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436.369531792756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502.235386848553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410.624323382873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181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</v>
      </c>
      <c r="C105" s="249"/>
      <c r="D105" s="58" t="s">
        <v>190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192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197</v>
      </c>
      <c r="B126" s="252" t="s">
        <v>198</v>
      </c>
      <c r="C126" s="252"/>
      <c r="D126" s="252" t="s">
        <v>102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412.795058108546</v>
      </c>
      <c r="B127" s="150" t="n">
        <f aca="false">IF(A105="YES", B89*B57, 0)</f>
        <v>70.7234210526316</v>
      </c>
      <c r="C127" s="150"/>
      <c r="D127" s="150" t="n">
        <f aca="false">B91</f>
        <v>436.369531792756</v>
      </c>
      <c r="E127" s="169"/>
      <c r="F127" s="157"/>
      <c r="G127" s="253" t="n">
        <f aca="false">H90</f>
        <v>470.772089287578</v>
      </c>
      <c r="H127" s="150" t="n">
        <f aca="false">IF(G105="YES", H89*H57, 0)</f>
        <v>188.779785365854</v>
      </c>
      <c r="I127" s="150"/>
      <c r="J127" s="254" t="n">
        <f aca="false">H91</f>
        <v>502.235386848553</v>
      </c>
      <c r="K127" s="169"/>
      <c r="L127" s="157"/>
      <c r="M127" s="253" t="n">
        <f aca="false">N90</f>
        <v>384.404908748727</v>
      </c>
      <c r="N127" s="150" t="n">
        <f aca="false">IF(M105="YES", N89*N57, 0)</f>
        <v>157.316487804878</v>
      </c>
      <c r="O127" s="150"/>
      <c r="P127" s="150" t="n">
        <f aca="false">N91</f>
        <v>410.624323382873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1238.38517432564</v>
      </c>
      <c r="B133" s="23" t="n">
        <f aca="false">IF(A105="YES", B89*B57, 0)</f>
        <v>70.7234210526316</v>
      </c>
      <c r="C133" s="199"/>
      <c r="D133" s="200" t="n">
        <f aca="false">B91*B57</f>
        <v>1309.10859537827</v>
      </c>
      <c r="E133" s="169"/>
      <c r="F133" s="157"/>
      <c r="G133" s="55" t="n">
        <f aca="false">H90*H57</f>
        <v>2824.63253572547</v>
      </c>
      <c r="H133" s="23" t="n">
        <f aca="false">IF(G105="YES", H89*H57, 0)</f>
        <v>188.779785365854</v>
      </c>
      <c r="I133" s="199"/>
      <c r="J133" s="200" t="n">
        <f aca="false">H91*H57</f>
        <v>3013.41232109132</v>
      </c>
      <c r="K133" s="169"/>
      <c r="L133" s="157"/>
      <c r="M133" s="55" t="n">
        <f aca="false">N90*N57</f>
        <v>2306.42945249236</v>
      </c>
      <c r="N133" s="23" t="n">
        <f aca="false">IF(M105="YES", N89*N57, 0)</f>
        <v>157.316487804878</v>
      </c>
      <c r="O133" s="199"/>
      <c r="P133" s="200" t="n">
        <f aca="false">N91*N57</f>
        <v>2463.74594029724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0.154290024</v>
      </c>
      <c r="B136" s="23" t="n">
        <f aca="false">IF(A105="YES", E15*0.000002, 0)</f>
        <v>0.051430008</v>
      </c>
      <c r="C136" s="23"/>
      <c r="D136" s="23" t="n">
        <f aca="false">A136+B136</f>
        <v>0.205720032</v>
      </c>
      <c r="E136" s="153"/>
      <c r="F136" s="157"/>
      <c r="G136" s="22" t="n">
        <f aca="false">E15*0.000006</f>
        <v>0.154290024</v>
      </c>
      <c r="H136" s="23" t="n">
        <f aca="false">IF(G105="YES", E15*0.000002, 0)</f>
        <v>0.051430008</v>
      </c>
      <c r="I136" s="23"/>
      <c r="J136" s="23" t="n">
        <f aca="false">G136+H136</f>
        <v>0.205720032</v>
      </c>
      <c r="K136" s="153"/>
      <c r="L136" s="157"/>
      <c r="M136" s="22" t="n">
        <f aca="false">E15*0.000006</f>
        <v>0.154290024</v>
      </c>
      <c r="N136" s="23" t="n">
        <f aca="false">IF(M105="YES", E15*0.000002, 0)</f>
        <v>0.051430008</v>
      </c>
      <c r="O136" s="23"/>
      <c r="P136" s="23" t="n">
        <f aca="false">M136+N136</f>
        <v>0.205720032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120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427.3334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427.3334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427.3334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527.3234</v>
      </c>
      <c r="E142" s="153"/>
      <c r="F142" s="157"/>
      <c r="G142" s="22" t="n">
        <f aca="false">IF(G105="YES", ((B36*H105)*0.1)*(G130), 0)</f>
        <v>17.9166</v>
      </c>
      <c r="H142" s="23" t="n">
        <f aca="false">G102-100</f>
        <v>99.99</v>
      </c>
      <c r="I142" s="23"/>
      <c r="J142" s="23" t="n">
        <f aca="false">(H139+J139+G142+H142)-H145</f>
        <v>545.24</v>
      </c>
      <c r="K142" s="153"/>
      <c r="L142" s="157"/>
      <c r="M142" s="22" t="n">
        <f aca="false">IF(M105="YES", ((B36*N105)*0.1)*(M130), 0)</f>
        <v>17.9166</v>
      </c>
      <c r="N142" s="23" t="n">
        <f aca="false">M102-100</f>
        <v>99.99</v>
      </c>
      <c r="O142" s="23"/>
      <c r="P142" s="23" t="n">
        <f aca="false">(N139+P139+M142+N142)-N145</f>
        <v>545.24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222</v>
      </c>
      <c r="B147" s="26" t="s">
        <v>223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224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502.235386848553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436.369531792756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410.624323382873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180" zoomScaleNormal="180" zoomScalePageLayoutView="100" workbookViewId="0">
      <selection pane="topLeft" activeCell="D121" activeCellId="0" sqref="D121"/>
    </sheetView>
  </sheetViews>
  <sheetFormatPr defaultColWidth="11.691406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19837.5</v>
      </c>
      <c r="C7" s="65" t="n">
        <f aca="false">C3-C6</f>
        <v>479.17</v>
      </c>
      <c r="D7" s="65" t="n">
        <f aca="false">D3-D6</f>
        <v>500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-663.789103129595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20816.67</v>
      </c>
      <c r="F9" s="157"/>
      <c r="G9" s="167" t="n">
        <f aca="false">E9-G11</f>
        <v>-131679.163333333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4273.334</v>
      </c>
      <c r="F11" s="157"/>
      <c r="G11" s="167" t="n">
        <f aca="false">G13/1.2</f>
        <v>152495.833333333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182995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25715.004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25040.004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25640.004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25715.004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37</v>
      </c>
      <c r="C30" s="146"/>
      <c r="D30" s="168"/>
      <c r="E30" s="169"/>
      <c r="F30" s="157"/>
      <c r="G30" s="187" t="s">
        <v>38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15200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895.83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364.162271892354</v>
      </c>
      <c r="E33" s="169"/>
      <c r="F33" s="157"/>
      <c r="G33" s="188" t="s">
        <v>44</v>
      </c>
      <c r="H33" s="196" t="n">
        <f aca="false">E21-E11+((E16*20%)+(E19*20%)+(E20*20%))</f>
        <v>21441.67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339.278105225687</v>
      </c>
      <c r="B36" s="23" t="n">
        <f aca="false">IF(B26="YES", H42, "")</f>
        <v>24.8841666666667</v>
      </c>
      <c r="C36" s="199"/>
      <c r="D36" s="200" t="n">
        <f aca="false">H31</f>
        <v>15200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21441.67</v>
      </c>
      <c r="I39" s="202" t="n">
        <f aca="false">(I48*H46)+H44</f>
        <v>55238.4539371875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15200</v>
      </c>
      <c r="B40" s="58" t="n">
        <f aca="false">IF(B26="YES",H42,"0")</f>
        <v>24.8841666666667</v>
      </c>
      <c r="C40" s="58"/>
      <c r="D40" s="200" t="n">
        <f aca="false">I32</f>
        <v>895.83</v>
      </c>
      <c r="E40" s="169"/>
      <c r="F40" s="157"/>
      <c r="G40" s="157" t="s">
        <v>55</v>
      </c>
      <c r="H40" s="202" t="n">
        <f aca="false">(A40)/1.2</f>
        <v>12666.6666666667</v>
      </c>
      <c r="I40" s="202" t="n">
        <f aca="false">H39-I39</f>
        <v>-33796.7839371875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24.8841666666667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10371.8774004595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62</v>
      </c>
      <c r="B45" s="168"/>
      <c r="C45" s="257" t="s">
        <v>62</v>
      </c>
      <c r="D45" s="257"/>
      <c r="E45" s="169"/>
      <c r="F45" s="157"/>
      <c r="G45" s="157" t="s">
        <v>167</v>
      </c>
      <c r="H45" s="202" t="n">
        <f aca="false">(H39-H44)</f>
        <v>11069.7925995405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339.278105225687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364.162271892354</v>
      </c>
      <c r="I48" s="202" t="n">
        <f aca="false">I49-H42</f>
        <v>1375.11583333333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364.162271892354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25640.004</v>
      </c>
      <c r="C61" s="168"/>
      <c r="D61" s="168"/>
      <c r="E61" s="169"/>
      <c r="F61" s="157"/>
      <c r="G61" s="161" t="s">
        <v>21</v>
      </c>
      <c r="H61" s="65" t="n">
        <f aca="false">G18</f>
        <v>25640.004</v>
      </c>
      <c r="I61" s="168"/>
      <c r="J61" s="168"/>
      <c r="K61" s="169"/>
      <c r="L61" s="157"/>
      <c r="M61" s="161" t="s">
        <v>21</v>
      </c>
      <c r="N61" s="65" t="n">
        <f aca="false">G18</f>
        <v>25640.004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2692.20042</v>
      </c>
      <c r="C64" s="168"/>
      <c r="D64" s="65" t="n">
        <f aca="false">B64-A145</f>
        <v>2692.20042</v>
      </c>
      <c r="E64" s="258" t="n">
        <f aca="false">D64/(B58+B57)</f>
        <v>74.783345</v>
      </c>
      <c r="F64" s="157"/>
      <c r="G64" s="211" t="s">
        <v>74</v>
      </c>
      <c r="H64" s="121" t="n">
        <f aca="false">H61*H63</f>
        <v>2692.20042</v>
      </c>
      <c r="I64" s="168"/>
      <c r="J64" s="65" t="n">
        <f aca="false">H64-G145</f>
        <v>2692.20042</v>
      </c>
      <c r="K64" s="169"/>
      <c r="L64" s="157"/>
      <c r="M64" s="211" t="s">
        <v>74</v>
      </c>
      <c r="N64" s="121" t="n">
        <f aca="false">N61*N63</f>
        <v>2692.20042</v>
      </c>
      <c r="O64" s="168"/>
      <c r="P64" s="65" t="n">
        <f aca="false">N64-M145</f>
        <v>2692.20042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427.3334</v>
      </c>
      <c r="C67" s="168"/>
      <c r="D67" s="65"/>
      <c r="E67" s="169"/>
      <c r="F67" s="157"/>
      <c r="G67" s="211" t="s">
        <v>77</v>
      </c>
      <c r="H67" s="121" t="n">
        <f aca="false">(H61*H66)/1.2</f>
        <v>427.3334</v>
      </c>
      <c r="I67" s="168"/>
      <c r="J67" s="65"/>
      <c r="K67" s="169"/>
      <c r="L67" s="157"/>
      <c r="M67" s="211" t="s">
        <v>77</v>
      </c>
      <c r="N67" s="121" t="n">
        <f aca="false">(N61*N66)/1.2</f>
        <v>427.3334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343.75</v>
      </c>
      <c r="C76" s="168"/>
      <c r="D76" s="65" t="n">
        <f aca="false">B76</f>
        <v>343.75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</v>
      </c>
      <c r="C80" s="168"/>
      <c r="D80" s="65" t="n">
        <f aca="false">B80</f>
        <v>200</v>
      </c>
      <c r="E80" s="258" t="n">
        <f aca="false">(D73+D76+D79+D80)/(B58+B57)</f>
        <v>31.2152777777778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3815.95042</v>
      </c>
      <c r="C81" s="168"/>
      <c r="D81" s="168"/>
      <c r="E81" s="258"/>
      <c r="F81" s="157"/>
      <c r="G81" s="239" t="s">
        <v>86</v>
      </c>
      <c r="H81" s="240" t="n">
        <f aca="false">SUM(J64:J80)</f>
        <v>3757.95042</v>
      </c>
      <c r="I81" s="168"/>
      <c r="J81" s="168"/>
      <c r="K81" s="169"/>
      <c r="L81" s="157"/>
      <c r="M81" s="239" t="s">
        <v>86</v>
      </c>
      <c r="N81" s="240" t="n">
        <f aca="false">SUM(P64:P80)</f>
        <v>3414.20042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105.998622777778</v>
      </c>
      <c r="C82" s="168"/>
      <c r="D82" s="168"/>
      <c r="E82" s="258"/>
      <c r="F82" s="157"/>
      <c r="G82" s="161" t="s">
        <v>87</v>
      </c>
      <c r="H82" s="166" t="n">
        <f aca="false">H81/H29</f>
        <v>104.387511666667</v>
      </c>
      <c r="I82" s="168"/>
      <c r="J82" s="168"/>
      <c r="K82" s="169"/>
      <c r="L82" s="157"/>
      <c r="M82" s="161" t="s">
        <v>87</v>
      </c>
      <c r="N82" s="166" t="n">
        <f aca="false">N81/H29</f>
        <v>94.8389005555556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339.278105225687</v>
      </c>
      <c r="C83" s="168"/>
      <c r="D83" s="168"/>
      <c r="E83" s="258" t="n">
        <f aca="false">B83+E80+E77+E64</f>
        <v>445.276728003465</v>
      </c>
      <c r="F83" s="157"/>
      <c r="G83" s="241" t="s">
        <v>88</v>
      </c>
      <c r="H83" s="242" t="n">
        <f aca="false">H47</f>
        <v>339.278105225687</v>
      </c>
      <c r="I83" s="168"/>
      <c r="J83" s="168"/>
      <c r="K83" s="169"/>
      <c r="L83" s="157"/>
      <c r="M83" s="241" t="s">
        <v>88</v>
      </c>
      <c r="N83" s="242" t="n">
        <f aca="false">H47</f>
        <v>339.278105225687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19235.9546497497</v>
      </c>
      <c r="C85" s="168"/>
      <c r="D85" s="168"/>
      <c r="E85" s="258" t="n">
        <f aca="false">B85/(B58+B57)</f>
        <v>534.332073604158</v>
      </c>
      <c r="F85" s="157"/>
      <c r="G85" s="204" t="s">
        <v>97</v>
      </c>
      <c r="H85" s="119" t="n">
        <f aca="false">((H83*H29)+H81)*1.2</f>
        <v>19166.3546497497</v>
      </c>
      <c r="I85" s="168"/>
      <c r="J85" s="168"/>
      <c r="K85" s="169"/>
      <c r="L85" s="157"/>
      <c r="M85" s="204" t="s">
        <v>97</v>
      </c>
      <c r="N85" s="119" t="n">
        <f aca="false">((N83*H29)+N81)</f>
        <v>15628.2122081247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0</v>
      </c>
      <c r="C86" s="168"/>
      <c r="D86" s="168"/>
      <c r="E86" s="258" t="n">
        <f aca="false">B86/(B58+B57)</f>
        <v>0</v>
      </c>
      <c r="F86" s="157"/>
      <c r="G86" s="161" t="s">
        <v>98</v>
      </c>
      <c r="H86" s="166" t="n">
        <f aca="false">((((H83*H29)+H81))/(1-H70))*H70</f>
        <v>135.301011040992</v>
      </c>
      <c r="I86" s="168"/>
      <c r="J86" s="168"/>
      <c r="K86" s="169"/>
      <c r="L86" s="157"/>
      <c r="M86" s="161" t="s">
        <v>98</v>
      </c>
      <c r="N86" s="166" t="n">
        <f aca="false">(N85/(1-N70))*N70</f>
        <v>132.389050573062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19235.9546497497</v>
      </c>
      <c r="C87" s="168"/>
      <c r="D87" s="168"/>
      <c r="E87" s="258" t="n">
        <f aca="false">E86+E85</f>
        <v>534.332073604158</v>
      </c>
      <c r="F87" s="157"/>
      <c r="G87" s="211" t="s">
        <v>99</v>
      </c>
      <c r="H87" s="121" t="n">
        <f aca="false">IF(H110="YES",((H85+H86)-K114),(H85+H86))</f>
        <v>19301.6556607907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15760.6012586978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35.8332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31.4632975609756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26.2194146341463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534.332073604158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470.772089287578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384.404908748727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570.165273604158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502.235386848553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410.624323382873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191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181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199</v>
      </c>
      <c r="B126" s="252" t="s">
        <v>200</v>
      </c>
      <c r="C126" s="252"/>
      <c r="D126" s="252" t="s">
        <v>201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534.332073604158</v>
      </c>
      <c r="B127" s="150" t="n">
        <f aca="false">IF(A105="YES", B89*B57, 0)</f>
        <v>322.4988</v>
      </c>
      <c r="C127" s="150"/>
      <c r="D127" s="254" t="n">
        <f aca="false">B91</f>
        <v>570.165273604158</v>
      </c>
      <c r="E127" s="169"/>
      <c r="F127" s="157"/>
      <c r="G127" s="253" t="n">
        <f aca="false">H90</f>
        <v>470.772089287578</v>
      </c>
      <c r="H127" s="150" t="n">
        <f aca="false">IF(G105="YES", H89*H57, 0)</f>
        <v>188.779785365854</v>
      </c>
      <c r="I127" s="150"/>
      <c r="J127" s="254" t="n">
        <f aca="false">H91</f>
        <v>502.235386848553</v>
      </c>
      <c r="K127" s="169"/>
      <c r="L127" s="157"/>
      <c r="M127" s="253" t="n">
        <f aca="false">N90</f>
        <v>384.404908748727</v>
      </c>
      <c r="N127" s="150" t="n">
        <f aca="false">IF(M105="YES", N89*N57, 0)</f>
        <v>157.316487804878</v>
      </c>
      <c r="O127" s="150"/>
      <c r="P127" s="150" t="n">
        <f aca="false">N91</f>
        <v>410.624323382873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205</v>
      </c>
      <c r="B132" s="168" t="s">
        <v>206</v>
      </c>
      <c r="C132" s="168"/>
      <c r="D132" s="168" t="s">
        <v>207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4808.98866243742</v>
      </c>
      <c r="B133" s="23" t="n">
        <f aca="false">IF(A105="YES", B89*B57, 0)</f>
        <v>322.4988</v>
      </c>
      <c r="C133" s="199"/>
      <c r="D133" s="200" t="n">
        <f aca="false">B91*B57</f>
        <v>5131.48746243742</v>
      </c>
      <c r="E133" s="169"/>
      <c r="F133" s="157"/>
      <c r="G133" s="55" t="n">
        <f aca="false">H90*H57</f>
        <v>2824.63253572547</v>
      </c>
      <c r="H133" s="23" t="n">
        <f aca="false">IF(G105="YES", H89*H57, 0)</f>
        <v>188.779785365854</v>
      </c>
      <c r="I133" s="199"/>
      <c r="J133" s="200" t="n">
        <f aca="false">H91*H57</f>
        <v>3013.41232109132</v>
      </c>
      <c r="K133" s="169"/>
      <c r="L133" s="157"/>
      <c r="M133" s="55" t="n">
        <f aca="false">N90*N57</f>
        <v>2306.42945249236</v>
      </c>
      <c r="N133" s="23" t="n">
        <f aca="false">IF(M105="YES", N89*N57, 0)</f>
        <v>157.316487804878</v>
      </c>
      <c r="O133" s="199"/>
      <c r="P133" s="200" t="n">
        <f aca="false">N91*N57</f>
        <v>2463.74594029724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211</v>
      </c>
      <c r="B135" s="168" t="s">
        <v>212</v>
      </c>
      <c r="C135" s="168"/>
      <c r="D135" s="168" t="s">
        <v>213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0.154290024</v>
      </c>
      <c r="B136" s="23" t="n">
        <f aca="false">IF(A105="YES", E15*0.000002, 0)</f>
        <v>0.051430008</v>
      </c>
      <c r="C136" s="23"/>
      <c r="D136" s="23" t="n">
        <f aca="false">A136+B136</f>
        <v>0.205720032</v>
      </c>
      <c r="E136" s="153"/>
      <c r="F136" s="157"/>
      <c r="G136" s="22" t="n">
        <f aca="false">E15*0.000006</f>
        <v>0.154290024</v>
      </c>
      <c r="H136" s="23" t="n">
        <f aca="false">IF(G105="YES", E15*0.000002, 0)</f>
        <v>0.051430008</v>
      </c>
      <c r="I136" s="23"/>
      <c r="J136" s="23" t="n">
        <f aca="false">G136+H136</f>
        <v>0.205720032</v>
      </c>
      <c r="K136" s="153"/>
      <c r="L136" s="157"/>
      <c r="M136" s="22" t="n">
        <f aca="false">E15*0.000006</f>
        <v>0.154290024</v>
      </c>
      <c r="N136" s="23" t="n">
        <f aca="false">IF(M105="YES", E15*0.000002, 0)</f>
        <v>0.051430008</v>
      </c>
      <c r="O136" s="23"/>
      <c r="P136" s="23" t="n">
        <f aca="false">M136+N136</f>
        <v>0.205720032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216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120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427.3334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427.3334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427.3334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17.9166</v>
      </c>
      <c r="B142" s="23" t="n">
        <f aca="false">A102-100</f>
        <v>99.99</v>
      </c>
      <c r="C142" s="23"/>
      <c r="D142" s="23" t="n">
        <f aca="false">(B139+D139+A142+B142)-B145</f>
        <v>545.24</v>
      </c>
      <c r="E142" s="153"/>
      <c r="F142" s="157"/>
      <c r="G142" s="22" t="n">
        <f aca="false">IF(G105="YES", ((B36*H105)*0.1)*(G130), 0)</f>
        <v>17.9166</v>
      </c>
      <c r="H142" s="23" t="n">
        <f aca="false">G102-100</f>
        <v>99.99</v>
      </c>
      <c r="I142" s="23"/>
      <c r="J142" s="23" t="n">
        <f aca="false">(H139+J139+G142+H142)-H145</f>
        <v>545.24</v>
      </c>
      <c r="K142" s="153"/>
      <c r="L142" s="157"/>
      <c r="M142" s="22" t="n">
        <f aca="false">IF(M105="YES", ((B36*N105)*0.1)*(M130), 0)</f>
        <v>17.9166</v>
      </c>
      <c r="N142" s="23" t="n">
        <f aca="false">M102-100</f>
        <v>99.99</v>
      </c>
      <c r="O142" s="23"/>
      <c r="P142" s="23" t="n">
        <f aca="false">(N139+P139+M142+N142)-N145</f>
        <v>545.24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570.165273604158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502.235386848553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410.624323382873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05" colorId="64" zoomScale="180" zoomScaleNormal="180" zoomScalePageLayoutView="100" workbookViewId="0">
      <selection pane="topLeft" activeCell="E144" activeCellId="0" sqref="E144"/>
    </sheetView>
  </sheetViews>
  <sheetFormatPr defaultColWidth="11.691406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19837.5</v>
      </c>
      <c r="C7" s="65" t="n">
        <f aca="false">C3-C6</f>
        <v>479.17</v>
      </c>
      <c r="D7" s="65" t="n">
        <f aca="false">D3-D6</f>
        <v>500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-663.789103129595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20816.67</v>
      </c>
      <c r="F9" s="157"/>
      <c r="G9" s="167" t="n">
        <f aca="false">E9-G11</f>
        <v>-131679.163333333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4273.334</v>
      </c>
      <c r="F11" s="157"/>
      <c r="G11" s="167" t="n">
        <f aca="false">G13/1.2</f>
        <v>152495.833333333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182995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25715.004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25040.004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25640.004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25715.004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274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271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364.162271892354</v>
      </c>
      <c r="E33" s="169"/>
      <c r="F33" s="157"/>
      <c r="G33" s="188" t="s">
        <v>44</v>
      </c>
      <c r="H33" s="196" t="n">
        <f aca="false">E21-E11+((E16*20%)+(E19*20%)+(E20*20%))</f>
        <v>21441.67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339.278105225687</v>
      </c>
      <c r="B36" s="23" t="n">
        <f aca="false">IF(B26="YES", H42, "")</f>
        <v>24.8841666666667</v>
      </c>
      <c r="C36" s="199"/>
      <c r="D36" s="200" t="n">
        <f aca="false">H31</f>
        <v>15200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21441.67</v>
      </c>
      <c r="I39" s="202" t="n">
        <f aca="false">(I48*H46)+H44</f>
        <v>55238.4539371875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24.8841666666667</v>
      </c>
      <c r="C40" s="58"/>
      <c r="D40" s="200" t="n">
        <f aca="false">I32</f>
        <v>895.83</v>
      </c>
      <c r="E40" s="169"/>
      <c r="F40" s="157"/>
      <c r="G40" s="157" t="s">
        <v>55</v>
      </c>
      <c r="H40" s="202" t="n">
        <f aca="false">(A40)/1.2</f>
        <v>12666.6666666667</v>
      </c>
      <c r="I40" s="202" t="n">
        <f aca="false">H39-I39</f>
        <v>-33796.7839371875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24.8841666666667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10371.8774004595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272</v>
      </c>
      <c r="B45" s="168"/>
      <c r="C45" s="210" t="s">
        <v>272</v>
      </c>
      <c r="D45" s="210"/>
      <c r="E45" s="169"/>
      <c r="F45" s="157"/>
      <c r="G45" s="157" t="s">
        <v>167</v>
      </c>
      <c r="H45" s="202" t="n">
        <f aca="false">(H39-H44)</f>
        <v>11069.7925995405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339.278105225687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364.162271892354</v>
      </c>
      <c r="I48" s="202" t="n">
        <f aca="false">I49-H42</f>
        <v>1375.11583333333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364.162271892354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25640.004</v>
      </c>
      <c r="C61" s="168"/>
      <c r="D61" s="168"/>
      <c r="E61" s="169"/>
      <c r="F61" s="157"/>
      <c r="G61" s="161" t="s">
        <v>21</v>
      </c>
      <c r="H61" s="65" t="n">
        <f aca="false">G18</f>
        <v>25640.004</v>
      </c>
      <c r="I61" s="168"/>
      <c r="J61" s="168"/>
      <c r="K61" s="169"/>
      <c r="L61" s="157"/>
      <c r="M61" s="161" t="s">
        <v>21</v>
      </c>
      <c r="N61" s="65" t="n">
        <f aca="false">G18</f>
        <v>25640.004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2692.20042</v>
      </c>
      <c r="C64" s="259"/>
      <c r="D64" s="65" t="n">
        <f aca="false">B64</f>
        <v>2692.20042</v>
      </c>
      <c r="E64" s="258" t="n">
        <f aca="false">D64/(B58+B57)</f>
        <v>74.783345</v>
      </c>
      <c r="F64" s="157"/>
      <c r="G64" s="211" t="s">
        <v>74</v>
      </c>
      <c r="H64" s="121" t="n">
        <f aca="false">H61*H63</f>
        <v>2692.20042</v>
      </c>
      <c r="I64" s="168"/>
      <c r="J64" s="65" t="n">
        <f aca="false">H64-G145</f>
        <v>2692.20042</v>
      </c>
      <c r="K64" s="169"/>
      <c r="L64" s="157"/>
      <c r="M64" s="211" t="s">
        <v>74</v>
      </c>
      <c r="N64" s="121" t="n">
        <f aca="false">N61*N63</f>
        <v>2692.20042</v>
      </c>
      <c r="O64" s="168"/>
      <c r="P64" s="65" t="n">
        <f aca="false">N64-M145</f>
        <v>2692.20042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512.80008</v>
      </c>
      <c r="C67" s="261"/>
      <c r="D67" s="262"/>
      <c r="E67" s="169"/>
      <c r="F67" s="157"/>
      <c r="G67" s="211" t="s">
        <v>77</v>
      </c>
      <c r="H67" s="121" t="n">
        <f aca="false">(H61*H66)/1.2</f>
        <v>427.3334</v>
      </c>
      <c r="I67" s="168"/>
      <c r="J67" s="65"/>
      <c r="K67" s="169"/>
      <c r="L67" s="157"/>
      <c r="M67" s="211" t="s">
        <v>77</v>
      </c>
      <c r="N67" s="121" t="n">
        <f aca="false">(N61*N66)/1.2</f>
        <v>427.3334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343.75</v>
      </c>
      <c r="C76" s="168"/>
      <c r="D76" s="65" t="n">
        <f aca="false">B76</f>
        <v>343.75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31.2152777777778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3815.95042</v>
      </c>
      <c r="C81" s="264"/>
      <c r="D81" s="265"/>
      <c r="E81" s="258"/>
      <c r="F81" s="157"/>
      <c r="G81" s="239" t="s">
        <v>86</v>
      </c>
      <c r="H81" s="240" t="n">
        <f aca="false">SUM(J64:J80)</f>
        <v>3757.95042</v>
      </c>
      <c r="I81" s="168"/>
      <c r="J81" s="168"/>
      <c r="K81" s="169"/>
      <c r="L81" s="157"/>
      <c r="M81" s="239" t="s">
        <v>86</v>
      </c>
      <c r="N81" s="240" t="n">
        <f aca="false">SUM(P64:P80)</f>
        <v>3414.20042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105.998622777778</v>
      </c>
      <c r="C82" s="264"/>
      <c r="D82" s="168"/>
      <c r="E82" s="258"/>
      <c r="F82" s="157"/>
      <c r="G82" s="161" t="s">
        <v>87</v>
      </c>
      <c r="H82" s="166" t="n">
        <f aca="false">H81/H29</f>
        <v>104.387511666667</v>
      </c>
      <c r="I82" s="168"/>
      <c r="J82" s="168"/>
      <c r="K82" s="169"/>
      <c r="L82" s="157"/>
      <c r="M82" s="161" t="s">
        <v>87</v>
      </c>
      <c r="N82" s="166" t="n">
        <f aca="false">N81/H29</f>
        <v>94.8389005555556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339.278105225687</v>
      </c>
      <c r="C83" s="264"/>
      <c r="D83" s="168"/>
      <c r="E83" s="258" t="n">
        <f aca="false">B83+E80+E77+E64</f>
        <v>445.276728003465</v>
      </c>
      <c r="F83" s="157"/>
      <c r="G83" s="241" t="s">
        <v>88</v>
      </c>
      <c r="H83" s="242" t="n">
        <f aca="false">H47</f>
        <v>339.278105225687</v>
      </c>
      <c r="I83" s="168"/>
      <c r="J83" s="168"/>
      <c r="K83" s="169"/>
      <c r="L83" s="157"/>
      <c r="M83" s="241" t="s">
        <v>88</v>
      </c>
      <c r="N83" s="242" t="n">
        <f aca="false">H47</f>
        <v>339.278105225687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16029.9622081247</v>
      </c>
      <c r="C85" s="264"/>
      <c r="D85" s="264"/>
      <c r="E85" s="258" t="n">
        <f aca="false">B85/(B58+B57)</f>
        <v>445.276728003465</v>
      </c>
      <c r="F85" s="157"/>
      <c r="G85" s="204" t="s">
        <v>97</v>
      </c>
      <c r="H85" s="119" t="n">
        <f aca="false">((H83*H29)+H81)*1.2</f>
        <v>19166.3546497497</v>
      </c>
      <c r="I85" s="168"/>
      <c r="J85" s="168"/>
      <c r="K85" s="169"/>
      <c r="L85" s="157"/>
      <c r="M85" s="204" t="s">
        <v>97</v>
      </c>
      <c r="N85" s="119" t="n">
        <f aca="false">((N83*H29)+N81)</f>
        <v>15628.2122081247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0</v>
      </c>
      <c r="C86" s="264"/>
      <c r="D86" s="168"/>
      <c r="E86" s="258" t="n">
        <f aca="false">B86/(B58+B57)</f>
        <v>0</v>
      </c>
      <c r="F86" s="157"/>
      <c r="G86" s="161" t="s">
        <v>98</v>
      </c>
      <c r="H86" s="166" t="n">
        <f aca="false">((((H83*H29)+H81))/(1-H70))*H70</f>
        <v>135.301011040992</v>
      </c>
      <c r="I86" s="168"/>
      <c r="J86" s="168"/>
      <c r="K86" s="169"/>
      <c r="L86" s="157"/>
      <c r="M86" s="161" t="s">
        <v>98</v>
      </c>
      <c r="N86" s="166" t="n">
        <f aca="false">(N85/(1-N70))*N70</f>
        <v>132.389050573062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16029.9622081247</v>
      </c>
      <c r="C87" s="264"/>
      <c r="D87" s="266"/>
      <c r="E87" s="258" t="n">
        <f aca="false">E86+E85</f>
        <v>445.276728003465</v>
      </c>
      <c r="F87" s="157"/>
      <c r="G87" s="211" t="s">
        <v>99</v>
      </c>
      <c r="H87" s="121" t="n">
        <f aca="false">IF(H110="YES",((H85+H86)-K114),(H85+H86))</f>
        <v>19301.6556607907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15760.6012586978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30.7141714285714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31.4632975609756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26.2194146341463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452.28463451785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470.772089287578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384.404908748727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482.998805946421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502.235386848553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410.624323382873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225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226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277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181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227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274</v>
      </c>
      <c r="B105" s="249" t="n">
        <v>0.0</v>
      </c>
      <c r="C105" s="249"/>
      <c r="D105" s="58" t="s">
        <v>275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274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197</v>
      </c>
      <c r="B126" s="252" t="s">
        <v>198</v>
      </c>
      <c r="C126" s="252"/>
      <c r="D126" s="252" t="s">
        <v>102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452.28463451785</v>
      </c>
      <c r="B127" s="150" t="n">
        <f aca="false">IF(A105="YES", B89*B57, 0)</f>
        <v>30.7141714285714</v>
      </c>
      <c r="C127" s="150"/>
      <c r="D127" s="150" t="n">
        <f aca="false">B91</f>
        <v>482.998805946421</v>
      </c>
      <c r="E127" s="169"/>
      <c r="F127" s="157"/>
      <c r="G127" s="253" t="n">
        <f aca="false">H90</f>
        <v>470.772089287578</v>
      </c>
      <c r="H127" s="150" t="n">
        <f aca="false">IF(G105="YES", H89*H57, 0)</f>
        <v>188.779785365854</v>
      </c>
      <c r="I127" s="150"/>
      <c r="J127" s="254" t="n">
        <f aca="false">H91</f>
        <v>502.235386848553</v>
      </c>
      <c r="K127" s="169"/>
      <c r="L127" s="157"/>
      <c r="M127" s="253" t="n">
        <f aca="false">N90</f>
        <v>384.404908748727</v>
      </c>
      <c r="N127" s="150" t="n">
        <f aca="false">IF(M105="YES", N89*N57, 0)</f>
        <v>157.316487804878</v>
      </c>
      <c r="O127" s="150"/>
      <c r="P127" s="150" t="n">
        <f aca="false">N91</f>
        <v>410.624323382873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452.28463451785</v>
      </c>
      <c r="B133" s="23" t="n">
        <f aca="false">IF(A105="YES", B89*B57, 0)</f>
        <v>30.7141714285714</v>
      </c>
      <c r="C133" s="199"/>
      <c r="D133" s="200" t="n">
        <f aca="false">B91*B57</f>
        <v>482.998805946421</v>
      </c>
      <c r="E133" s="169"/>
      <c r="F133" s="157"/>
      <c r="G133" s="55" t="n">
        <f aca="false">H90*H57</f>
        <v>2824.63253572547</v>
      </c>
      <c r="H133" s="23" t="n">
        <f aca="false">IF(G105="YES", H89*H57, 0)</f>
        <v>188.779785365854</v>
      </c>
      <c r="I133" s="199"/>
      <c r="J133" s="200" t="n">
        <f aca="false">H91*H57</f>
        <v>3013.41232109132</v>
      </c>
      <c r="K133" s="169"/>
      <c r="L133" s="157"/>
      <c r="M133" s="55" t="n">
        <f aca="false">N90*N57</f>
        <v>2306.42945249236</v>
      </c>
      <c r="N133" s="23" t="n">
        <f aca="false">IF(M105="YES", N89*N57, 0)</f>
        <v>157.316487804878</v>
      </c>
      <c r="O133" s="199"/>
      <c r="P133" s="200" t="n">
        <f aca="false">N91*N57</f>
        <v>2463.74594029724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0.154290024</v>
      </c>
      <c r="B136" s="274" t="n">
        <f aca="false">IF(A105="YES", E15*0.000002, 0)</f>
        <v>0.051430008</v>
      </c>
      <c r="C136" s="23"/>
      <c r="D136" s="274" t="n">
        <f aca="false">A136+B136</f>
        <v>0.205720032</v>
      </c>
      <c r="E136" s="153"/>
      <c r="F136" s="157"/>
      <c r="G136" s="22" t="n">
        <f aca="false">E15*0.000006</f>
        <v>0.154290024</v>
      </c>
      <c r="H136" s="23" t="n">
        <f aca="false">IF(G105="YES", E15*0.000002, 0)</f>
        <v>0.051430008</v>
      </c>
      <c r="I136" s="23"/>
      <c r="J136" s="23" t="n">
        <f aca="false">G136+H136</f>
        <v>0.205720032</v>
      </c>
      <c r="K136" s="153"/>
      <c r="L136" s="157"/>
      <c r="M136" s="22" t="n">
        <f aca="false">E15*0.000006</f>
        <v>0.154290024</v>
      </c>
      <c r="N136" s="23" t="n">
        <f aca="false">IF(M105="YES", E15*0.000002, 0)</f>
        <v>0.051430008</v>
      </c>
      <c r="O136" s="23"/>
      <c r="P136" s="23" t="n">
        <f aca="false">M136+N136</f>
        <v>0.205720032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120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512.80008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427.3334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427.3334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17.9166</v>
      </c>
      <c r="B142" s="23" t="n">
        <f aca="false">A102-100</f>
        <v>99.99</v>
      </c>
      <c r="C142" s="23"/>
      <c r="D142" s="23" t="n">
        <f aca="false">(B139+D139+A142+B142)-B145</f>
        <v>630.70668</v>
      </c>
      <c r="E142" s="153"/>
      <c r="F142" s="157"/>
      <c r="G142" s="22" t="n">
        <f aca="false">IF(G105="YES", ((B36*H105)*0.1)*(G130), 0)</f>
        <v>17.9166</v>
      </c>
      <c r="H142" s="23" t="n">
        <f aca="false">G102-100</f>
        <v>99.99</v>
      </c>
      <c r="I142" s="23"/>
      <c r="J142" s="23" t="n">
        <f aca="false">(H139+J139+G142+H142)-H145</f>
        <v>545.24</v>
      </c>
      <c r="K142" s="153"/>
      <c r="L142" s="157"/>
      <c r="M142" s="22" t="n">
        <f aca="false">IF(M105="YES", ((B36*N105)*0.1)*(M130), 0)</f>
        <v>17.9166</v>
      </c>
      <c r="N142" s="23" t="n">
        <f aca="false">M102-100</f>
        <v>99.99</v>
      </c>
      <c r="O142" s="23"/>
      <c r="P142" s="23" t="n">
        <f aca="false">(N139+P139+M142+N142)-N145</f>
        <v>545.24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482.998805946421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502.235386848553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410.624323382873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180" zoomScaleNormal="180" zoomScalePageLayoutView="100" workbookViewId="0">
      <selection pane="topLeft" activeCell="G20" activeCellId="0" sqref="G20"/>
    </sheetView>
  </sheetViews>
  <sheetFormatPr defaultColWidth="11.6914062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229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230</v>
      </c>
      <c r="B28" s="199" t="s">
        <v>231</v>
      </c>
      <c r="C28" s="168"/>
      <c r="D28" s="199" t="s">
        <v>232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233</v>
      </c>
      <c r="B29" s="278" t="n">
        <v>12345</v>
      </c>
      <c r="C29" s="278"/>
      <c r="D29" s="279" t="n">
        <f aca="true">TODAY()+1</f>
        <v>44897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234</v>
      </c>
      <c r="C31" s="168"/>
      <c r="D31" s="199" t="s">
        <v>203</v>
      </c>
      <c r="E31" s="169"/>
      <c r="F31" s="157"/>
      <c r="G31" s="187" t="s">
        <v>235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236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237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204</v>
      </c>
      <c r="B34" s="283" t="s">
        <v>238</v>
      </c>
      <c r="C34" s="194"/>
      <c r="D34" s="49" t="s">
        <v>239</v>
      </c>
      <c r="E34" s="169"/>
      <c r="F34" s="157"/>
      <c r="G34" s="282" t="s">
        <v>240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241</v>
      </c>
      <c r="B37" s="199" t="s">
        <v>242</v>
      </c>
      <c r="C37" s="168"/>
      <c r="D37" s="199" t="s">
        <v>243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198</v>
      </c>
      <c r="B40" s="287" t="s">
        <v>102</v>
      </c>
      <c r="C40" s="194"/>
      <c r="D40" s="200" t="s">
        <v>244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208</v>
      </c>
      <c r="C43" s="194"/>
      <c r="D43" s="287" t="s">
        <v>209</v>
      </c>
      <c r="E43" s="289"/>
      <c r="F43" s="157"/>
      <c r="G43" s="157" t="s">
        <v>245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246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247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210</v>
      </c>
      <c r="B46" s="287" t="s">
        <v>248</v>
      </c>
      <c r="C46" s="194"/>
      <c r="D46" s="287" t="s">
        <v>249</v>
      </c>
      <c r="E46" s="289"/>
      <c r="F46" s="157"/>
      <c r="G46" s="157" t="s">
        <v>250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251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252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253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225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191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192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193</v>
      </c>
      <c r="B114" s="189"/>
      <c r="C114" s="189"/>
      <c r="D114" s="189"/>
      <c r="E114" s="189"/>
      <c r="F114" s="157"/>
      <c r="G114" s="189" t="s">
        <v>193</v>
      </c>
      <c r="H114" s="189"/>
      <c r="I114" s="189"/>
      <c r="J114" s="189"/>
      <c r="K114" s="189"/>
      <c r="L114" s="157"/>
      <c r="M114" s="189" t="s">
        <v>193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194</v>
      </c>
      <c r="B116" s="186" t="s">
        <v>26</v>
      </c>
      <c r="C116" s="168"/>
      <c r="D116" s="168"/>
      <c r="E116" s="169"/>
      <c r="F116" s="157"/>
      <c r="G116" s="161" t="s">
        <v>194</v>
      </c>
      <c r="H116" s="186" t="s">
        <v>25</v>
      </c>
      <c r="I116" s="168"/>
      <c r="J116" s="168"/>
      <c r="K116" s="169"/>
      <c r="L116" s="157"/>
      <c r="M116" s="161" t="s">
        <v>194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195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195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195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196</v>
      </c>
      <c r="B128" s="189"/>
      <c r="C128" s="189"/>
      <c r="D128" s="189"/>
      <c r="E128" s="189"/>
      <c r="F128" s="157"/>
      <c r="G128" s="189" t="s">
        <v>196</v>
      </c>
      <c r="H128" s="189"/>
      <c r="I128" s="189"/>
      <c r="J128" s="189"/>
      <c r="K128" s="189"/>
      <c r="L128" s="157"/>
      <c r="M128" s="189" t="s">
        <v>196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197</v>
      </c>
      <c r="B135" s="252" t="s">
        <v>198</v>
      </c>
      <c r="C135" s="252"/>
      <c r="D135" s="252" t="s">
        <v>102</v>
      </c>
      <c r="E135" s="169"/>
      <c r="F135" s="157"/>
      <c r="G135" s="251" t="s">
        <v>199</v>
      </c>
      <c r="H135" s="252" t="s">
        <v>200</v>
      </c>
      <c r="I135" s="252"/>
      <c r="J135" s="252" t="s">
        <v>201</v>
      </c>
      <c r="K135" s="169"/>
      <c r="L135" s="157"/>
      <c r="M135" s="251" t="s">
        <v>197</v>
      </c>
      <c r="N135" s="252" t="s">
        <v>198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202</v>
      </c>
      <c r="B138" s="168" t="s">
        <v>203</v>
      </c>
      <c r="C138" s="168"/>
      <c r="D138" s="168" t="s">
        <v>204</v>
      </c>
      <c r="E138" s="169"/>
      <c r="F138" s="157"/>
      <c r="G138" s="161" t="s">
        <v>205</v>
      </c>
      <c r="H138" s="168" t="s">
        <v>206</v>
      </c>
      <c r="I138" s="168"/>
      <c r="J138" s="168" t="s">
        <v>207</v>
      </c>
      <c r="K138" s="169"/>
      <c r="L138" s="157"/>
      <c r="M138" s="161" t="s">
        <v>202</v>
      </c>
      <c r="N138" s="168" t="s">
        <v>203</v>
      </c>
      <c r="O138" s="168"/>
      <c r="P138" s="168" t="s">
        <v>204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208</v>
      </c>
      <c r="B141" s="168" t="s">
        <v>209</v>
      </c>
      <c r="C141" s="168"/>
      <c r="D141" s="168" t="s">
        <v>210</v>
      </c>
      <c r="E141" s="169"/>
      <c r="F141" s="157"/>
      <c r="G141" s="161" t="s">
        <v>211</v>
      </c>
      <c r="H141" s="168" t="s">
        <v>212</v>
      </c>
      <c r="I141" s="168"/>
      <c r="J141" s="168" t="s">
        <v>213</v>
      </c>
      <c r="K141" s="169"/>
      <c r="L141" s="157"/>
      <c r="M141" s="161" t="s">
        <v>208</v>
      </c>
      <c r="N141" s="168" t="s">
        <v>209</v>
      </c>
      <c r="O141" s="168"/>
      <c r="P141" s="168" t="s">
        <v>210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214</v>
      </c>
      <c r="C144" s="168"/>
      <c r="D144" s="168" t="s">
        <v>215</v>
      </c>
      <c r="E144" s="169"/>
      <c r="F144" s="157"/>
      <c r="G144" s="161" t="s">
        <v>216</v>
      </c>
      <c r="H144" s="168" t="s">
        <v>214</v>
      </c>
      <c r="I144" s="168"/>
      <c r="J144" s="168" t="s">
        <v>215</v>
      </c>
      <c r="K144" s="169"/>
      <c r="L144" s="157"/>
      <c r="M144" s="161" t="s">
        <v>120</v>
      </c>
      <c r="N144" s="168" t="s">
        <v>214</v>
      </c>
      <c r="O144" s="168"/>
      <c r="P144" s="168" t="s">
        <v>215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217</v>
      </c>
      <c r="B147" s="168" t="s">
        <v>218</v>
      </c>
      <c r="C147" s="168"/>
      <c r="D147" s="168" t="s">
        <v>219</v>
      </c>
      <c r="E147" s="169"/>
      <c r="F147" s="157"/>
      <c r="G147" s="161" t="s">
        <v>217</v>
      </c>
      <c r="H147" s="168" t="s">
        <v>218</v>
      </c>
      <c r="I147" s="168"/>
      <c r="J147" s="168" t="s">
        <v>219</v>
      </c>
      <c r="K147" s="169"/>
      <c r="L147" s="157"/>
      <c r="M147" s="161" t="s">
        <v>217</v>
      </c>
      <c r="N147" s="168" t="s">
        <v>218</v>
      </c>
      <c r="O147" s="168"/>
      <c r="P147" s="168" t="s">
        <v>219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220</v>
      </c>
      <c r="B150" s="168" t="s">
        <v>221</v>
      </c>
      <c r="C150" s="168"/>
      <c r="D150" s="168"/>
      <c r="E150" s="169"/>
      <c r="F150" s="157"/>
      <c r="G150" s="161" t="s">
        <v>220</v>
      </c>
      <c r="H150" s="168" t="s">
        <v>221</v>
      </c>
      <c r="I150" s="168"/>
      <c r="J150" s="168"/>
      <c r="K150" s="169"/>
      <c r="L150" s="157"/>
      <c r="M150" s="161" t="s">
        <v>220</v>
      </c>
      <c r="N150" s="168" t="s">
        <v>221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222</v>
      </c>
      <c r="N153" s="26" t="s">
        <v>223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224</v>
      </c>
      <c r="B154" s="168"/>
      <c r="C154" s="168"/>
      <c r="D154" s="215"/>
      <c r="E154" s="216"/>
      <c r="F154" s="157"/>
      <c r="G154" s="214" t="s">
        <v>224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224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180" zoomScaleNormal="180" zoomScalePageLayoutView="100" workbookViewId="0">
      <selection pane="topLeft" activeCell="G21" activeCellId="0" sqref="G21"/>
    </sheetView>
  </sheetViews>
  <sheetFormatPr defaultColWidth="11.6914062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229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230</v>
      </c>
      <c r="B28" s="199" t="s">
        <v>231</v>
      </c>
      <c r="C28" s="168"/>
      <c r="D28" s="199" t="s">
        <v>232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233</v>
      </c>
      <c r="B29" s="278" t="n">
        <v>12345</v>
      </c>
      <c r="C29" s="278"/>
      <c r="D29" s="279" t="n">
        <f aca="true">TODAY()+1</f>
        <v>44897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234</v>
      </c>
      <c r="C31" s="168"/>
      <c r="D31" s="199" t="s">
        <v>203</v>
      </c>
      <c r="E31" s="169"/>
      <c r="F31" s="157"/>
      <c r="G31" s="187" t="s">
        <v>235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236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204</v>
      </c>
      <c r="B34" s="283" t="s">
        <v>238</v>
      </c>
      <c r="C34" s="194"/>
      <c r="D34" s="49" t="s">
        <v>239</v>
      </c>
      <c r="E34" s="169"/>
      <c r="F34" s="157"/>
      <c r="G34" s="282" t="s">
        <v>240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241</v>
      </c>
      <c r="B37" s="199" t="s">
        <v>242</v>
      </c>
      <c r="C37" s="168"/>
      <c r="D37" s="199" t="s">
        <v>243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198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208</v>
      </c>
      <c r="B43" s="287" t="s">
        <v>209</v>
      </c>
      <c r="C43" s="194"/>
      <c r="D43" s="287" t="s">
        <v>210</v>
      </c>
      <c r="E43" s="289"/>
      <c r="F43" s="157"/>
      <c r="G43" s="157" t="s">
        <v>245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246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247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252</v>
      </c>
      <c r="B46" s="194"/>
      <c r="C46" s="194"/>
      <c r="D46" s="194"/>
      <c r="E46" s="289"/>
      <c r="F46" s="157"/>
      <c r="G46" s="157" t="s">
        <v>250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254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225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181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191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195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197</v>
      </c>
      <c r="B129" s="252" t="s">
        <v>198</v>
      </c>
      <c r="C129" s="252"/>
      <c r="D129" s="252" t="s">
        <v>102</v>
      </c>
      <c r="E129" s="169"/>
      <c r="F129" s="157"/>
      <c r="G129" s="251" t="s">
        <v>199</v>
      </c>
      <c r="H129" s="252" t="s">
        <v>200</v>
      </c>
      <c r="I129" s="252"/>
      <c r="J129" s="252" t="s">
        <v>201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180" zoomScaleNormal="180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60000.0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s">
        <v>279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270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271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str">
        <f aca="false">IF(B26="YES",K42,"0")</f>
        <v>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272</v>
      </c>
      <c r="B45" s="14"/>
      <c r="C45" s="301" t="s">
        <v>272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1817.07754632746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927.687248290581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270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273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274</v>
      </c>
      <c r="B111" s="58" t="n">
        <v>1000.0</v>
      </c>
      <c r="C111" s="58"/>
      <c r="D111" s="58"/>
      <c r="E111" s="58" t="n">
        <v>1000.0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280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0</v>
      </c>
      <c r="G122" s="117" t="n"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-1000.0</v>
      </c>
      <c r="D123" s="118" t="n">
        <f aca="false">D5</f>
        <v>0</v>
      </c>
      <c r="E123" s="114" t="n">
        <v>0.0</v>
      </c>
      <c r="F123" s="118" t="n">
        <f aca="false">F5</f>
        <v>0</v>
      </c>
      <c r="G123" s="114" t="n"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2000.0</v>
      </c>
      <c r="F152" s="58"/>
      <c r="G152" s="58" t="n">
        <v>1000.0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str">
        <f aca="false">B94</f>
        <v>0</v>
      </c>
      <c r="C167" s="148"/>
      <c r="D167" s="148"/>
      <c r="E167" s="150" t="n">
        <f aca="false">B96</f>
        <v>1817.07754632746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927.687248290581</v>
      </c>
      <c r="T167" s="150" t="n">
        <f aca="false">T94</f>
        <v>0</v>
      </c>
      <c r="U167" s="148"/>
      <c r="V167" s="148"/>
      <c r="W167" s="150" t="n">
        <f aca="false">T96</f>
        <v>927.687248290581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1144.5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3244.49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1478.89624166667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1817.07754632746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927.687248290581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2022-12-01T11:58:58Z</dcterms:modified>
  <cp:revision>165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