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<sst xmlns="http://schemas.openxmlformats.org/spreadsheetml/2006/main" count="9505" uniqueCount="332">
  <si>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</si>
  <si>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</si>
  <si>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</si>
  <si>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</si>
  <si>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</si>
  <si>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</si>
  <si>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</si>
  <si>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</si>
  <si>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</si>
  <si>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</si>
  <si>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</si>
  <si>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</si>
  <si>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</si>
  <si>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</si>
  <si>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</si>
  <si>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</si>
  <si>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</si>
  <si>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</si>
  <si>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</si>
  <si>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</si>
  <si>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</si>
  <si>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</si>
  <si>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</si>
  <si>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</si>
  <si>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</si>
  <si>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</si>
  <si>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</si>
  <si>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</si>
  <si>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</si>
  <si>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</si>
  <si>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</si>
  <si>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</si>
  <si>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</si>
  <si>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</si>
  <si>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</si>
  <si>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</si>
  <si>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</si>
  <si>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</si>
  <si>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</si>
  <si>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</si>
  <si>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</si>
  <si>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</si>
  <si>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</si>
  <si>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</si>
  <si>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</si>
  <si>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</si>
  <si>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</si>
  <si>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</si>
  <si>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</si>
  <si>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</si>
  <si>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</si>
  <si>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</si>
  <si>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</si>
  <si>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</si>
  <si>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</si>
  <si>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</si>
  <si>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</si>
  <si>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</si>
  <si>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</si>
  <si>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</si>
  <si>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</si>
  <si>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</si>
  <si>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</si>
  <si>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</si>
  <si>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</si>
  <si>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</si>
  <si>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</si>
  <si>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</si>
  <si>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</si>
  <si>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</si>
  <si>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</si>
  <si>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</si>
  <si>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</si>
  <si>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</si>
  <si>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</si>
  <si>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</si>
  <si>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</si>
  <si>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</si>
  <si>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</si>
  <si>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</si>
  <si>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</si>
  <si>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</si>
  <si>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</si>
  <si>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</si>
  <si>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</si>
  <si>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</si>
  <si>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</si>
  <si>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</si>
  <si>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</si>
  <si>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</si>
  <si>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</si>
  <si>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</si>
  <si>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</si>
  <si>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</si>
  <si>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</si>
  <si>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</si>
  <si>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</si>
  <si>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</si>
  <si>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</si>
  <si>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</si>
  <si>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</si>
  <si>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</si>
  <si>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</si>
  <si>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</si>
  <si>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</si>
  <si>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</si>
  <si>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</si>
  <si>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</si>
  <si>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</si>
  <si>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</si>
  <si>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</si>
  <si>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</si>
  <si>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</si>
  <si>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</si>
  <si>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</si>
  <si>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</si>
  <si>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</si>
  <si>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</si>
  <si>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</si>
  <si>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</si>
  <si>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</si>
  <si>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</si>
  <si>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</si>
  <si>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</si>
  <si>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</si>
  <si>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</si>
  <si>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</si>
  <si>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</si>
  <si>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</si>
  <si>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</si>
  <si>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</si>
  <si>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</si>
  <si>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</si>
  <si>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</si>
  <si>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</si>
  <si>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</si>
  <si>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</si>
  <si>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</si>
  <si>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</si>
  <si>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</si>
  <si>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</si>
  <si>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</si>
  <si>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</si>
  <si>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</si>
  <si>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</si>
  <si>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</si>
  <si>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</si>
  <si>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</si>
  <si>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</si>
  <si>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</si>
  <si>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</si>
  <si>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</si>
  <si>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</si>
  <si>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</si>
  <si>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</si>
  <si>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</si>
  <si>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</si>
  <si>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</si>
  <si>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</si>
  <si>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</si>
  <si>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</si>
  <si>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</si>
  <si>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</si>
  <si>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</si>
  <si>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</si>
  <si>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</si>
  <si>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</si>
  <si>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</si>
  <si>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</si>
  <si>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</si>
  <si>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</si>
  <si>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</si>
  <si>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</si>
  <si>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</si>
  <si>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</si>
  <si>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</si>
  <si>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</si>
  <si>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</si>
  <si>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</si>
  <si>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</si>
  <si>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</si>
  <si>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</si>
  <si>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</si>
  <si>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</si>
  <si>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</si>
  <si>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</si>
  <si>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</si>
  <si>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</si>
  <si>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</si>
  <si>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</si>
  <si>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</si>
  <si>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</si>
  <si>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</si>
  <si>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</si>
  <si>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</si>
  <si>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</si>
  <si>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</si>
  <si>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</si>
  <si>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</si>
  <si>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</si>
  <si>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</si>
  <si>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</si>
  <si>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</si>
  <si>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</si>
  <si>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</si>
  <si>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</si>
  <si>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</si>
  <si>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</si>
  <si>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</si>
  <si>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</si>
  <si>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</si>
  <si>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</si>
  <si>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</si>
  <si>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</si>
  <si>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</si>
  <si>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</si>
  <si>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</si>
  <si>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</si>
  <si>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</si>
  <si>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</si>
  <si>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</si>
  <si>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</si>
  <si>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</si>
  <si>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</si>
  <si>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</si>
  <si>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</si>
  <si>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</si>
  <si>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</si>
  <si>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</si>
  <si>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</si>
  <si>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</si>
  <si>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</si>
  <si>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</si>
  <si>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</si>
  <si>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</si>
  <si>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</si>
  <si>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</si>
  <si>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</si>
  <si>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</si>
  <si>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</si>
  <si>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</si>
  <si>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</si>
  <si>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</si>
  <si>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</si>
  <si>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</si>
  <si>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</si>
  <si>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</si>
  <si>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</si>
  <si>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</si>
  <si>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</si>
  <si>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</si>
  <si>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</si>
  <si>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</si>
  <si>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</si>
  <si>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</si>
  <si>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</si>
  <si>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</si>
  <si>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</si>
  <si>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</si>
  <si>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</si>
  <si>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</si>
  <si>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</si>
  <si>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</si>
  <si>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</si>
  <si>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</si>
  <si>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</si>
  <si>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</si>
  <si>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</si>
  <si>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</si>
  <si>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</si>
  <si>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</si>
  <si>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</si>
  <si>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</si>
  <si>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</si>
  <si>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</si>
  <si>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</si>
  <si>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</si>
  <si>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</si>
  <si>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</si>
  <si>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</si>
  <si>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</si>
  <si>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</si>
  <si>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</si>
  <si>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</si>
  <si>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</si>
  <si>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</si>
  <si>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</si>
  <si>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</si>
  <si>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</si>
  <si>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</si>
  <si>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</si>
  <si>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</si>
  <si>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</si>
  <si>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</si>
  <si>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</si>
  <si>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</si>
  <si>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</si>
  <si>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</si>
  <si>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</si>
  <si>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</si>
  <si>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</si>
  <si>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</si>
  <si>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</si>
  <si>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</si>
  <si>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</si>
  <si>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RFL &amp; FRF </t>
  </si>
  <si>
    <t xml:space="preserve">Cost price ex. VAT &amp; RFL 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</si>
  <si>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</si>
  <si>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</si>
  <si>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</si>
  <si>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</si>
  <si>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Monthly maint. rental</t>
  </si>
  <si>
    <t xml:space="preserve">Total monthly rental</t>
  </si>
  <si>
    <t xml:space="preserve">Initial finance rental</t>
  </si>
  <si>
    <t xml:space="preserve">Initial maint. rental</t>
  </si>
  <si>
    <t xml:space="preserve">Total initial rental</t>
  </si>
  <si>
    <t xml:space="preserve">Part exchange value</t>
  </si>
  <si>
    <t xml:space="preserve">Followed by</t>
  </si>
  <si>
    <t xml:space="preserve">Pence per excess mile - main.</t>
  </si>
  <si>
    <t xml:space="preserve">Subsidy requested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</si>
  <si>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</si>
  <si>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</si>
  <si>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</si>
  <si>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</si>
  <si>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Document fee comm.</t>
  </si>
  <si>
    <t xml:space="preserve">Referrer comm.</t>
  </si>
  <si>
    <t xml:space="preserve">Default broker margin</t>
  </si>
  <si>
    <t xml:space="preserve">Total tracker cost</t>
  </si>
  <si>
    <t xml:space="preserve">Contingency insurance value</t>
  </si>
  <si>
    <t xml:space="preserve">Select Caste</t>
  </si>
  <si>
    <t xml:space="preserve">Referrer commission (Ex. VAT)</t>
  </si>
  <si>
    <t xml:space="preserve">RFL included?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</si>
</sst>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_(* #,##0.00_);_(* \(#,##0.00\);_(* \-??_);_(@_)"/>
    <numFmt numFmtId="176" formatCode="_(* #,##0_);_(* \(#,##0\);_(* \-??_);_(@_)"/>
    <numFmt numFmtId="177" formatCode="\£#,##0.00000"/>
    <numFmt numFmtId="178" formatCode="\£#,##0.0000"/>
    <numFmt numFmtId="179" formatCode="0.0000000000000"/>
    <numFmt numFmtId="180" formatCode="0.0000"/>
    <numFmt numFmtId="181" formatCode="0.000%"/>
    <numFmt numFmtId="182" formatCode="#,##0.00000"/>
    <numFmt numFmtId="183" formatCode="#,##0.000"/>
    <numFmt numFmtId="184" formatCode="#,##0.0000000000"/>
    <numFmt numFmtId="185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4"/>
      <color rgb="FFC9211E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  <fill>
      <patternFill patternType="solid">
        <fgColor rgb="FFFFEBEB"/>
        <bgColor rgb="FFE7E6E6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1" fillId="17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8D08D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111" activeCellId="0" sqref="B111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44929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((B89*H29)+B87)*1.2</f>
        <v>2567.74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-1414.13355788624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-117.844463157187</v>
      </c>
      <c r="C96" s="13"/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-117.844463157187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-117.844463157187</v>
      </c>
      <c r="B136" s="123" t="n">
        <f aca="false">IF(A111="YES", B95*B63, 0)</f>
        <v>0</v>
      </c>
      <c r="C136" s="123"/>
      <c r="D136" s="123" t="n">
        <f aca="false">B97</f>
        <v>-117.844463157187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-1060.60016841468</v>
      </c>
      <c r="B139" s="126" t="n">
        <f aca="false">IF(A111="YES", B95*B63, 0)</f>
        <v>0</v>
      </c>
      <c r="C139" s="127"/>
      <c r="D139" s="128" t="n">
        <f aca="false">B97*B63</f>
        <v>-1060.60016841468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-117.844463157187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6" min="2" style="215" width="18.88"/>
    <col collapsed="false" customWidth="true" hidden="false" outlineLevel="0" max="7" min="7" style="215" width="23.13"/>
    <col collapsed="false" customWidth="true" hidden="false" outlineLevel="0" max="9" min="8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17.0909090909091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1766.51515105796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17.0909090909091</v>
      </c>
      <c r="C167" s="360"/>
      <c r="D167" s="360"/>
      <c r="E167" s="213" t="n">
        <f aca="false">B96</f>
        <v>1766.51515105796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1766.51515105796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E105" activeCellId="0" sqref="E105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  <c r="K9" s="215" t="s">
        <v>25</v>
      </c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  <c r="K10" s="215" t="s">
        <v>26</v>
      </c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/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IF(B26="YES",K42,"0")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(K32/K36)*C45/100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65" t="s">
        <v>291</v>
      </c>
      <c r="B45" s="330"/>
      <c r="C45" s="252" t="s">
        <v>291</v>
      </c>
      <c r="D45" s="252"/>
      <c r="E45" s="25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-756.0974340266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0.01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(G158*B67)</f>
        <v>585.25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B73*K29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30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45468.749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26865.8831902377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927.687248290581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32469.0536901703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32469.0536901703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350" t="n">
        <f aca="false">IF(B26="YES",((E40/B85)*(1+A108)),"0")</f>
        <v>34.3333333333333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927.687248290581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B94+B95</f>
        <v>2026.06219372099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963.001534004866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366" t="s">
        <v>26</v>
      </c>
      <c r="F105" s="366"/>
      <c r="G105" s="366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(U121*U122)+U123</f>
        <v>11713.5425</v>
      </c>
      <c r="V124" s="356" t="n">
        <f aca="false">(V121*V122)+V123</f>
        <v>0</v>
      </c>
      <c r="W124" s="202" t="n">
        <f aca="false">(W121*W122)+W123</f>
        <v>0</v>
      </c>
      <c r="X124" s="356" t="n">
        <f aca="false">(X121*X122)+X123</f>
        <v>0</v>
      </c>
      <c r="Y124" s="202" t="n">
        <f aca="false">(Y121*Y122)+Y123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35140.6275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35973.9575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7304.7915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44468.749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44468.749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0</v>
      </c>
      <c r="I148" s="215" t="n">
        <f aca="false">(H148-G81)/1.2</f>
        <v>0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-14056.251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45468.749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34.3333333333333</v>
      </c>
      <c r="C167" s="360"/>
      <c r="D167" s="360"/>
      <c r="E167" s="213" t="n">
        <f aca="false">B96</f>
        <v>2026.06219372099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927.687248290581</v>
      </c>
      <c r="T167" s="213" t="n">
        <f aca="false">T94</f>
        <v>35.3142857142857</v>
      </c>
      <c r="U167" s="360"/>
      <c r="V167" s="360"/>
      <c r="W167" s="213" t="n">
        <f aca="false">T96</f>
        <v>963.001534004866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K29</f>
        <v>36</v>
      </c>
      <c r="B170" s="118" t="n">
        <f aca="false">K30</f>
        <v>10000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36523.9575</v>
      </c>
      <c r="T173" s="214" t="n">
        <f aca="false">Z137</f>
        <v>7304.7915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44468.749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45468.749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199.99</v>
      </c>
      <c r="C182" s="214"/>
      <c r="D182" s="235"/>
      <c r="E182" s="214" t="n">
        <f aca="false">E179+A182+B182+A185</f>
        <v>69920.500113568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-12999.6953098297</v>
      </c>
      <c r="T182" s="214" t="n">
        <f aca="false">T114</f>
        <v>199.99</v>
      </c>
      <c r="U182" s="214"/>
      <c r="V182" s="235"/>
      <c r="W182" s="214" t="n">
        <f aca="false">W179+S182+T182+S185</f>
        <v>32679.0436901703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585.25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378.906241666667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705.84</v>
      </c>
      <c r="C191" s="330"/>
      <c r="D191" s="330"/>
      <c r="E191" s="214" t="n">
        <f aca="false">H148</f>
        <v>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1499.49624166667</v>
      </c>
      <c r="U191" s="330"/>
      <c r="V191" s="330"/>
      <c r="W191" s="214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2026.06219372099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963.001534004866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60</v>
      </c>
      <c r="E32" s="158"/>
      <c r="F32" s="134"/>
      <c r="G32" s="159" t="s">
        <v>179</v>
      </c>
      <c r="H32" s="157" t="str">
        <f aca="false">A41</f>
        <v>60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560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299</v>
      </c>
      <c r="E44" s="42"/>
      <c r="F44" s="134"/>
      <c r="G44" s="134" t="s">
        <v>187</v>
      </c>
      <c r="H44" s="164" t="str">
        <f aca="false">H32</f>
        <v>60</v>
      </c>
      <c r="I44" s="62" t="n">
        <f aca="false">((A41*(B35-1))+D32)/B35</f>
        <v>60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560.833333333333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74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10721.95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90.8273295683744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10812.7773295684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901.064777464031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973.064777464031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20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901.064777464031</v>
      </c>
      <c r="B136" s="213" t="n">
        <f aca="false">IF(A111="YES", B95*B63, 0)</f>
        <v>72</v>
      </c>
      <c r="C136" s="213"/>
      <c r="D136" s="213" t="n">
        <f aca="false">B97</f>
        <v>973.064777464031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901.064777464031</v>
      </c>
      <c r="B139" s="214" t="n">
        <f aca="false">IF(A111="YES", B95*B63, 0)</f>
        <v>72</v>
      </c>
      <c r="C139" s="154"/>
      <c r="D139" s="128" t="n">
        <f aca="false">B97*B63</f>
        <v>973.064777464031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4" t="n">
        <f aca="false">A108-100</f>
        <v>99.99</v>
      </c>
      <c r="C148" s="214"/>
      <c r="D148" s="214" t="n">
        <f aca="false">(B145+D145+A148+B148)-B151</f>
        <v>2022.365</v>
      </c>
      <c r="E148" s="130"/>
      <c r="F148" s="134"/>
      <c r="G148" s="129" t="n">
        <f aca="false">IF(G111="YES", ((A41*H111)*0.1)*(G133), 0)</f>
        <v>14.4</v>
      </c>
      <c r="H148" s="214" t="n">
        <f aca="false">G108-100</f>
        <v>139.988</v>
      </c>
      <c r="I148" s="214"/>
      <c r="J148" s="214" t="n">
        <f aca="false">(H145+J145+G148+H148)-H151</f>
        <v>1475.5755</v>
      </c>
      <c r="K148" s="130"/>
      <c r="L148" s="134"/>
      <c r="M148" s="129" t="n">
        <f aca="false">IF(M111="YES", ((A41*N111)*0.1)*(M133), 0)</f>
        <v>14.4</v>
      </c>
      <c r="N148" s="214" t="n">
        <f aca="false">M108-100</f>
        <v>99.99</v>
      </c>
      <c r="O148" s="214"/>
      <c r="P148" s="214" t="n">
        <f aca="false">(N145+P145+M148+N148)-N151</f>
        <v>1435.5775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75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12918.34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13009.5344130698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1084.12786775582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1156.12786775582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1084.12786775582</v>
      </c>
      <c r="B136" s="213" t="n">
        <f aca="false">IF(A111="YES", B95*B63, 0)</f>
        <v>72</v>
      </c>
      <c r="C136" s="213"/>
      <c r="D136" s="213" t="n">
        <f aca="false">B97</f>
        <v>1156.12786775582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1084.12786775582</v>
      </c>
      <c r="B139" s="214" t="n">
        <f aca="false">IF(A111="YES", B95*B63, 0)</f>
        <v>72</v>
      </c>
      <c r="C139" s="154"/>
      <c r="D139" s="128" t="n">
        <f aca="false">B97*B63</f>
        <v>1156.12786775582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139.99</v>
      </c>
      <c r="C148" s="214"/>
      <c r="D148" s="214" t="n">
        <f aca="false">(B145+D145+A148+B148)-B151</f>
        <v>1822.365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111" activeCellId="0" sqref="B11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631.541224059881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540</v>
      </c>
      <c r="C136" s="213"/>
      <c r="D136" s="213" t="n">
        <f aca="false">B97</f>
        <v>631.541224059881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540</v>
      </c>
      <c r="C139" s="154"/>
      <c r="D139" s="128" t="n">
        <f aca="false">B97*B63</f>
        <v>5683.87101653893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99.99</v>
      </c>
      <c r="C148" s="214"/>
      <c r="D148" s="214" t="n">
        <f aca="false">(B145+D145+A148+B148)-B151</f>
        <v>1782.365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631.541224059881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368" t="n">
        <v>0</v>
      </c>
      <c r="C4" s="368" t="n">
        <v>0</v>
      </c>
      <c r="D4" s="368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(B3*B4)+B5</f>
        <v>0</v>
      </c>
      <c r="C6" s="143" t="n">
        <f aca="false">(C3*C4)+C5</f>
        <v>0</v>
      </c>
      <c r="D6" s="143" t="n">
        <f aca="false">(D3*D4)+D5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 t="n">
        <f aca="false">IF(G18&gt;40000, 325, 0)</f>
        <v>325</v>
      </c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((B83*(H29)+B81))*1.2</f>
        <v>12868.74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(((B83*(H29))+B81)/(1-B70))*B70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8959.58427188382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IF(B99=Z102,(((H44*B35)+(H44*B35)*(B105/100))/(B58))*1.2,(((H44*B35)+(H44*B35)*(B105/100))/(B57+B58))*1.2)</f>
        <v>0</v>
      </c>
      <c r="C89" s="144"/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746.632022656985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J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746.632022656985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239.988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-2760.012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150</v>
      </c>
      <c r="B129" s="212" t="s">
        <v>151</v>
      </c>
      <c r="C129" s="212"/>
      <c r="D129" s="212" t="s">
        <v>152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746.632022656985</v>
      </c>
      <c r="B130" s="213" t="n">
        <f aca="false">IF(A105="YES", B89*B57, 0)</f>
        <v>0</v>
      </c>
      <c r="C130" s="213"/>
      <c r="D130" s="124" t="n">
        <f aca="false">B91</f>
        <v>746.632022656985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156</v>
      </c>
      <c r="B132" s="144" t="s">
        <v>157</v>
      </c>
      <c r="C132" s="144"/>
      <c r="D132" s="144" t="s">
        <v>158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6719.68820391287</v>
      </c>
      <c r="B133" s="214" t="n">
        <f aca="false">IF(A105="YES", B89*B57, 0)</f>
        <v>0</v>
      </c>
      <c r="C133" s="154"/>
      <c r="D133" s="128" t="n">
        <f aca="false">B91*B57</f>
        <v>6719.68820391287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162</v>
      </c>
      <c r="B135" s="144" t="s">
        <v>163</v>
      </c>
      <c r="C135" s="144"/>
      <c r="D135" s="144" t="s">
        <v>164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168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239.988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139.988</v>
      </c>
      <c r="C142" s="214"/>
      <c r="D142" s="214" t="n">
        <f aca="false">(B139+D139+A142+B142)-B145</f>
        <v>505.951463887758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212.886536112242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555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223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17289.7662622406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59725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41450.357840503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1443.28335389822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50514.9173864375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50514.9173864375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1443.28335389822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1443.28335389822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-1000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-1000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47854.17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48687.5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9847.5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59725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59725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59725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1443.28335389822</v>
      </c>
      <c r="B167" s="213" t="str">
        <f aca="false">B94</f>
        <v>0</v>
      </c>
      <c r="C167" s="360"/>
      <c r="D167" s="360"/>
      <c r="E167" s="213" t="n">
        <f aca="false">B96</f>
        <v>1443.28335389822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49237.5</v>
      </c>
      <c r="B173" s="214" t="n">
        <f aca="false">H137</f>
        <v>9847.5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59725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59725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18289.9173864375</v>
      </c>
      <c r="B182" s="214" t="str">
        <f aca="false">B114</f>
        <v>199.99</v>
      </c>
      <c r="C182" s="214"/>
      <c r="D182" s="235"/>
      <c r="E182" s="214" t="n">
        <f aca="false">E179+A182+B182+A185</f>
        <v>78224.9073864375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186.640625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286.630625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1443.28335389822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3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n">
        <f aca="false">IF(B26="YES",((E40/B85)*(1+A108)*1.2),"0")</f>
        <v>41.2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2032.92886038766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1443.51455760232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221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41.2</v>
      </c>
      <c r="C167" s="360"/>
      <c r="D167" s="360"/>
      <c r="E167" s="213" t="n">
        <f aca="false">B96</f>
        <v>2032.92886038766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35.3142857142857</v>
      </c>
      <c r="U167" s="360"/>
      <c r="V167" s="360"/>
      <c r="W167" s="213" t="n">
        <f aca="false">T96</f>
        <v>1443.51455760232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239.99</v>
      </c>
      <c r="C182" s="214"/>
      <c r="D182" s="235"/>
      <c r="E182" s="214" t="n">
        <f aca="false">E179+A182+B182+A185</f>
        <v>69960.500113568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-10097.427973919</v>
      </c>
      <c r="T182" s="214" t="n">
        <f aca="false">T114</f>
        <v>199.99</v>
      </c>
      <c r="U182" s="214"/>
      <c r="V182" s="235"/>
      <c r="W182" s="214" t="n">
        <f aca="false">W179+S182+T182+S185</f>
        <v>49496.999516081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(G158*B67)/1.2</f>
        <v>182.890625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343.480625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1615.46031241667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2032.92886038766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1443.51455760232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76" colorId="64" zoomScale="75" zoomScaleNormal="75" zoomScalePageLayoutView="100" workbookViewId="0">
      <selection pane="topLeft" activeCell="D65" activeCellId="0" sqref="D6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 t="s">
        <v>25</v>
      </c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26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26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83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64" t="n">
        <f aca="false">IF(C107="YES",H31,0)</f>
        <v>27500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922.920864561026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str">
        <f aca="false">IF(B26="YES", H42, "")</f>
        <v/>
      </c>
      <c r="C36" s="154"/>
      <c r="D36" s="128" t="n">
        <f aca="false">I31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64443.3941780653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str">
        <f aca="false">IF(B26="YES",H42,"0")</f>
        <v>0</v>
      </c>
      <c r="C40" s="112"/>
      <c r="D40" s="128" t="n">
        <f aca="false">I32</f>
        <v>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-15565.8941780653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0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291</v>
      </c>
      <c r="B45" s="144"/>
      <c r="C45" s="390" t="s">
        <v>291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922.920864561026</v>
      </c>
      <c r="I48" s="164" t="n">
        <f aca="false">I49-H42</f>
        <v>1400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922.920864561026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B64-A143</f>
        <v>6077.925</v>
      </c>
      <c r="E64" s="145"/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392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90" t="s">
        <v>97</v>
      </c>
      <c r="B74" s="191" t="n">
        <v>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92" t="s">
        <v>98</v>
      </c>
      <c r="B75" s="193" t="n">
        <v>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94" t="s">
        <v>99</v>
      </c>
      <c r="B76" s="195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6857.925</v>
      </c>
      <c r="C81" s="144"/>
      <c r="D81" s="144"/>
      <c r="E81" s="145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190.497916666667</v>
      </c>
      <c r="C82" s="144"/>
      <c r="D82" s="144"/>
      <c r="E82" s="145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145"/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40083.0761241969</v>
      </c>
      <c r="C85" s="144"/>
      <c r="D85" s="144"/>
      <c r="E85" s="145"/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339.550059946807</v>
      </c>
      <c r="C86" s="144"/>
      <c r="D86" s="144"/>
      <c r="E86" s="145"/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40422.6261841437</v>
      </c>
      <c r="C87" s="144"/>
      <c r="D87" s="144"/>
      <c r="E87" s="145"/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</f>
        <v>0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0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0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1122.85072733733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1122.85072733733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1189.86736688544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984.491094073066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26</v>
      </c>
      <c r="B105" s="113" t="n">
        <v>0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 t="s">
        <v>137</v>
      </c>
      <c r="C107" s="155" t="s">
        <v>25</v>
      </c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500</v>
      </c>
      <c r="E112" s="112" t="n">
        <v>300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100</v>
      </c>
      <c r="E113" s="112" t="n">
        <v>100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400</v>
      </c>
      <c r="E114" s="115" t="n">
        <f aca="false">E112-E113</f>
        <v>200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200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999.99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0</v>
      </c>
      <c r="I127" s="213"/>
      <c r="J127" s="124" t="n">
        <f aca="false">H91</f>
        <v>1189.86736688544</v>
      </c>
      <c r="K127" s="145"/>
      <c r="L127" s="134"/>
      <c r="M127" s="122" t="n">
        <f aca="false">N90</f>
        <v>984.491094073066</v>
      </c>
      <c r="N127" s="213" t="n">
        <f aca="false">IF(M105="YES", N89*N57, 0)</f>
        <v>0</v>
      </c>
      <c r="O127" s="213"/>
      <c r="P127" s="213" t="n">
        <f aca="false">N91</f>
        <v>984.491094073066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1122.85072733733</v>
      </c>
      <c r="B128" s="395" t="n">
        <f aca="false">IF(A99="YES", B89, 0)</f>
        <v>0</v>
      </c>
      <c r="C128" s="399"/>
      <c r="D128" s="395" t="n">
        <f aca="false">B91</f>
        <v>1122.85072733733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Terminal pause with 9 down </v>
      </c>
      <c r="B131" s="126" t="n">
        <f aca="false">B90*B57</f>
        <v>10105.6565460359</v>
      </c>
      <c r="C131" s="13"/>
      <c r="D131" s="126" t="n">
        <f aca="false">IF(A105="YES", B89*B57, 0)</f>
        <v>0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0</v>
      </c>
      <c r="I133" s="154"/>
      <c r="J133" s="128" t="n">
        <f aca="false">H91*H57</f>
        <v>7139.20420131264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0</v>
      </c>
      <c r="O133" s="154"/>
      <c r="P133" s="128" t="n">
        <f aca="false">N91*N57</f>
        <v>5906.94656443839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10105.6565460359</v>
      </c>
      <c r="B134" s="126" t="n">
        <f aca="false">E114</f>
        <v>200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1122.85072733733</v>
      </c>
      <c r="B137" s="126" t="n">
        <f aca="false">IF(A105="YES", B89, 0)</f>
        <v>0</v>
      </c>
      <c r="C137" s="13"/>
      <c r="D137" s="126" t="n">
        <f aca="false">B91</f>
        <v>1122.85072733733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0</v>
      </c>
      <c r="C140" s="13"/>
      <c r="D140" s="409" t="n">
        <f aca="false">A140+B140</f>
        <v>41.6772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e">
        <f aca="false">IF(G105="YES", ((B36*H105)*0.1)*(G130), 0)</f>
        <v>#VALUE!</v>
      </c>
      <c r="H142" s="214" t="n">
        <f aca="false">G102-100</f>
        <v>99.99</v>
      </c>
      <c r="I142" s="214"/>
      <c r="J142" s="214" t="e">
        <f aca="false">(H139+J139+G142+H142)-H145</f>
        <v>#VALUE!</v>
      </c>
      <c r="K142" s="130"/>
      <c r="L142" s="134"/>
      <c r="M142" s="129" t="e">
        <f aca="false">IF(M105="YES", ((B36*N105)*0.1)*(M130), 0)</f>
        <v>#VALUE!</v>
      </c>
      <c r="N142" s="214" t="n">
        <f aca="false">M102-100</f>
        <v>99.99</v>
      </c>
      <c r="O142" s="214"/>
      <c r="P142" s="214" t="e">
        <f aca="false">(N139+P139+M142+N142)-N145</f>
        <v>#VALUE!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e">
        <f aca="false">(H139+J139+G142+H142)*(G145/H64)</f>
        <v>#VALUE!</v>
      </c>
      <c r="I145" s="144"/>
      <c r="J145" s="144"/>
      <c r="K145" s="145"/>
      <c r="L145" s="134"/>
      <c r="M145" s="129" t="n">
        <v>0</v>
      </c>
      <c r="N145" s="214" t="e">
        <f aca="false">(N139+P139+M142+N142)*(M145/N64)</f>
        <v>#VALUE!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0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1064.74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1189.86736688544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984.491094073066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1122.85072733733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1122.85072733733</v>
      </c>
      <c r="B177" s="416" t="n">
        <f aca="false">IF(A99="YES", B89, 0)</f>
        <v>0</v>
      </c>
      <c r="C177" s="417"/>
      <c r="D177" s="416" t="n">
        <f aca="false">B91</f>
        <v>1122.85072733733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Terminal pause with 9 down </v>
      </c>
      <c r="B180" s="214" t="n">
        <f aca="false">B90*B57</f>
        <v>10105.6565460359</v>
      </c>
      <c r="C180" s="28"/>
      <c r="D180" s="214" t="n">
        <f aca="false">IF(A99="YES", B89*B57, 0)</f>
        <v>0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10105.6565460359</v>
      </c>
      <c r="B183" s="214" t="n">
        <f aca="false">E114</f>
        <v>200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1122.85072733733</v>
      </c>
      <c r="B186" s="214" t="n">
        <f aca="false">IF(A99="YES", B89, 0)</f>
        <v>0</v>
      </c>
      <c r="C186" s="28"/>
      <c r="D186" s="214" t="n">
        <f aca="false">B91</f>
        <v>1122.85072733733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IF(A99="YES", G18*0.000002, 0)*1.2*100</f>
        <v>0</v>
      </c>
      <c r="C189" s="28"/>
      <c r="D189" s="422" t="n">
        <f aca="false">A189+B189</f>
        <v>41.6772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0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1064.74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44929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-1842.09022455291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</f>
        <v>60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-153.507518712743</v>
      </c>
      <c r="C96" s="13" t="s">
        <v>75</v>
      </c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-153.507518712743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-153.507518712743</v>
      </c>
      <c r="B136" s="123" t="n">
        <f aca="false">IF(A111="YES", B95*B63, 0)</f>
        <v>0</v>
      </c>
      <c r="C136" s="123"/>
      <c r="D136" s="123" t="n">
        <f aca="false">B97</f>
        <v>-153.507518712743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-1381.56766841468</v>
      </c>
      <c r="B139" s="126" t="n">
        <f aca="false">IF(A111="YES", B95*B63, 0)</f>
        <v>0</v>
      </c>
      <c r="C139" s="127"/>
      <c r="D139" s="128" t="n">
        <f aca="false">B97*B63</f>
        <v>-1381.56766841468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-153.507518712743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7" colorId="64" zoomScale="75" zoomScaleNormal="75" zoomScalePageLayoutView="100" workbookViewId="0">
      <selection pane="topLeft" activeCell="A122" activeCellId="0" sqref="A12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83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951.531975672137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291</v>
      </c>
      <c r="B45" s="144"/>
      <c r="C45" s="423" t="s">
        <v>291</v>
      </c>
      <c r="D45" s="423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1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35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B64-A143</f>
        <v>6077.925</v>
      </c>
      <c r="E64" s="424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424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424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424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424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144"/>
      <c r="D81" s="144"/>
      <c r="E81" s="424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144"/>
      <c r="D82" s="144"/>
      <c r="E82" s="424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424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424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((B83*H29)+B81)*1.2</f>
        <v>49399.6913490363</v>
      </c>
      <c r="C85" s="144"/>
      <c r="D85" s="144"/>
      <c r="E85" s="424" t="n">
        <f aca="false">B85/(B58+B57)</f>
        <v>1372.21364858434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((((B83*H29)+B81))/(1-B70))*B70</f>
        <v>348.727147482104</v>
      </c>
      <c r="C86" s="144"/>
      <c r="D86" s="144"/>
      <c r="E86" s="424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49748.4184965184</v>
      </c>
      <c r="C87" s="144"/>
      <c r="D87" s="144"/>
      <c r="E87" s="424" t="n">
        <f aca="false">E86+E85</f>
        <v>1381.90051379218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(D40+(D40*B105))/(B57+B58))*1.2</f>
        <v>41.2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1381.90051379218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1423.10051379218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117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n">
        <v>200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0</v>
      </c>
      <c r="E112" s="112" t="n">
        <v>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((E118/1.2)+E117)-(D115-E113)</f>
        <v>1166.65833333333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1381.90051379218</v>
      </c>
      <c r="B128" s="395" t="n">
        <f aca="false">IF(A99="YES", B89, 0)</f>
        <v>0</v>
      </c>
      <c r="C128" s="399"/>
      <c r="D128" s="395" t="n">
        <f aca="false">B91</f>
        <v>1423.10051379218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35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35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Monthly in advance </v>
      </c>
      <c r="B131" s="126" t="n">
        <f aca="false">B90*B57</f>
        <v>1381.90051379218</v>
      </c>
      <c r="C131" s="13"/>
      <c r="D131" s="126" t="n">
        <f aca="false">IF(A105="YES", B89*B57, 0)</f>
        <v>41.2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1423.10051379218</v>
      </c>
      <c r="B134" s="126" t="n">
        <f aca="false">E114</f>
        <v>0</v>
      </c>
      <c r="C134" s="13"/>
      <c r="D134" s="403" t="n">
        <f aca="false">B58</f>
        <v>35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1381.90051379218</v>
      </c>
      <c r="B137" s="126" t="n">
        <f aca="false">IF(A105="YES", B89, 0)</f>
        <v>41.2</v>
      </c>
      <c r="C137" s="13"/>
      <c r="D137" s="126" t="n">
        <f aca="false">B91</f>
        <v>1423.10051379218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13.8924</v>
      </c>
      <c r="C140" s="13"/>
      <c r="D140" s="409" t="n">
        <f aca="false">A140+B140</f>
        <v>55.5696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206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1270.74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1423.10051379218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1381.90051379218</v>
      </c>
      <c r="B177" s="416" t="n">
        <f aca="false">IF(A99="YES", B89, 0)</f>
        <v>0</v>
      </c>
      <c r="C177" s="417"/>
      <c r="D177" s="416" t="n">
        <f aca="false">B91</f>
        <v>1423.10051379218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Monthly in advance </v>
      </c>
      <c r="B180" s="214" t="n">
        <f aca="false">B90*B57</f>
        <v>1381.90051379218</v>
      </c>
      <c r="C180" s="28"/>
      <c r="D180" s="214" t="n">
        <f aca="false">IF(A99="YES", B89*B57, 0)</f>
        <v>0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1423.10051379218</v>
      </c>
      <c r="B183" s="214" t="n">
        <f aca="false">E114</f>
        <v>0</v>
      </c>
      <c r="C183" s="28"/>
      <c r="D183" s="419" t="n">
        <f aca="false">B58</f>
        <v>35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1381.90051379218</v>
      </c>
      <c r="B186" s="214" t="n">
        <f aca="false">IF(A99="YES", B89, 0)</f>
        <v>0</v>
      </c>
      <c r="C186" s="28"/>
      <c r="D186" s="214" t="n">
        <f aca="false">B91</f>
        <v>1423.10051379218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IF(A99="YES", G18*0.000002, 0)*1.2*100</f>
        <v>0</v>
      </c>
      <c r="C189" s="28"/>
      <c r="D189" s="422" t="n">
        <f aca="false">A189+B189</f>
        <v>41.6772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206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1270.74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87" colorId="64" zoomScale="75" zoomScaleNormal="75" zoomScalePageLayoutView="100" workbookViewId="0">
      <selection pane="topLeft" activeCell="A122" activeCellId="0" sqref="A12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</v>
      </c>
      <c r="D3" s="374" t="n">
        <v>833.33</v>
      </c>
      <c r="E3" s="139" t="n">
        <v>0</v>
      </c>
      <c r="F3" s="134" t="s">
        <v>75</v>
      </c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 t="s">
        <v>75</v>
      </c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 t="s">
        <v>75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7.35" hidden="false" customHeight="fals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26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83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922.920864561026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str">
        <f aca="false">IF(B26="YES", H42, "")</f>
        <v/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64443.3941780653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str">
        <f aca="false">IF(B26="YES",H42,"0")</f>
        <v>0</v>
      </c>
      <c r="C40" s="112"/>
      <c r="D40" s="128" t="n">
        <f aca="false">I32</f>
        <v>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-15565.8941780653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0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291</v>
      </c>
      <c r="B45" s="144"/>
      <c r="C45" s="390" t="s">
        <v>291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922.920864561026</v>
      </c>
      <c r="I48" s="164" t="n">
        <f aca="false">I49-H42</f>
        <v>1400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922.920864561026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B62+(B62*0.25*((H29/12)-1))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425"/>
      <c r="D64" s="143" t="n">
        <f aca="false">B64</f>
        <v>6077.925</v>
      </c>
      <c r="E64" s="424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3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426" t="s">
        <v>326</v>
      </c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</f>
        <v>1157.7</v>
      </c>
      <c r="C67" s="427" t="s">
        <v>326</v>
      </c>
      <c r="D67" s="428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429"/>
      <c r="D68" s="143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430" t="n">
        <f aca="false">B73+B71</f>
        <v>380</v>
      </c>
      <c r="E73" s="145" t="s">
        <v>327</v>
      </c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79" t="s">
        <v>100</v>
      </c>
      <c r="B77" s="202" t="n">
        <f aca="false">B102*1.1</f>
        <v>0</v>
      </c>
      <c r="C77" s="431"/>
      <c r="D77" s="143" t="n">
        <f aca="false">B77</f>
        <v>0</v>
      </c>
      <c r="E77" s="424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D102/(1-0.1)</f>
        <v>0</v>
      </c>
      <c r="C78" s="431"/>
      <c r="D78" s="143" t="n">
        <f aca="false">B78</f>
        <v>0</v>
      </c>
      <c r="E78" s="424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431"/>
      <c r="D79" s="143" t="n">
        <f aca="false">B79</f>
        <v>200</v>
      </c>
      <c r="E79" s="424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431"/>
      <c r="D80" s="143" t="n">
        <f aca="false">B80</f>
        <v>200</v>
      </c>
      <c r="E80" s="424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431"/>
      <c r="D81" s="432"/>
      <c r="E81" s="424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431"/>
      <c r="D82" s="144"/>
      <c r="E82" s="424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431"/>
      <c r="D83" s="144"/>
      <c r="E83" s="424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431"/>
      <c r="D84" s="431"/>
      <c r="E84" s="424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41166.4094575303</v>
      </c>
      <c r="C85" s="431"/>
      <c r="D85" s="431"/>
      <c r="E85" s="424" t="n">
        <f aca="false">B85/(B58+B57)</f>
        <v>1143.51137382028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(((B83*H29)+B81)/(1-B70))*B70</f>
        <v>348.727147482104</v>
      </c>
      <c r="C86" s="431" t="s">
        <v>328</v>
      </c>
      <c r="D86" s="144"/>
      <c r="E86" s="424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41515.1366050124</v>
      </c>
      <c r="C87" s="431"/>
      <c r="D87" s="433"/>
      <c r="E87" s="424" t="n">
        <f aca="false">E86+E85</f>
        <v>1153.19823902812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431"/>
      <c r="D88" s="144"/>
      <c r="E88" s="424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(I32+(I32*B105))/(B58), (I32+(I32*B105))/(B57+B58))</f>
        <v>0</v>
      </c>
      <c r="C89" s="431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0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0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1153.19823902812</v>
      </c>
      <c r="C90" s="431"/>
      <c r="D90" s="144"/>
      <c r="E90" s="434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1153.19823902812</v>
      </c>
      <c r="C91" s="431"/>
      <c r="D91" s="435"/>
      <c r="E91" s="189"/>
      <c r="F91" s="134"/>
      <c r="G91" s="206" t="s">
        <v>112</v>
      </c>
      <c r="H91" s="207" t="n">
        <f aca="false">IF(G105="YES", H90+H89, H90)</f>
        <v>1189.86736688544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984.491094073066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436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 t="s">
        <v>329</v>
      </c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437"/>
      <c r="C97" s="437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330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26</v>
      </c>
      <c r="B105" s="113" t="n">
        <v>0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 t="s">
        <v>26</v>
      </c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0</v>
      </c>
      <c r="E112" s="112" t="n">
        <v>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IF(B110="YES",((E118*1.2)+E117)-E114,((E118*1.2)+E117))</f>
        <v>1239.988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0</v>
      </c>
      <c r="I127" s="213"/>
      <c r="J127" s="124" t="n">
        <f aca="false">H91</f>
        <v>1189.86736688544</v>
      </c>
      <c r="K127" s="145"/>
      <c r="L127" s="134"/>
      <c r="M127" s="122" t="n">
        <f aca="false">N90</f>
        <v>984.491094073066</v>
      </c>
      <c r="N127" s="213" t="n">
        <f aca="false">IF(M105="YES", N89*N57, 0)</f>
        <v>0</v>
      </c>
      <c r="O127" s="213"/>
      <c r="P127" s="213" t="n">
        <f aca="false">N91</f>
        <v>984.491094073066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1153.19823902812</v>
      </c>
      <c r="B128" s="395" t="n">
        <f aca="false">IF(A99="YES", B89, 0)</f>
        <v>0</v>
      </c>
      <c r="C128" s="399"/>
      <c r="D128" s="395" t="n">
        <f aca="false">B91</f>
        <v>1153.19823902812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Terminal pause with 9 down </v>
      </c>
      <c r="B131" s="126" t="n">
        <f aca="false">B90*B57</f>
        <v>10378.7841512531</v>
      </c>
      <c r="C131" s="13"/>
      <c r="D131" s="126" t="n">
        <f aca="false">IF(A105="YES", B89*B57, 0)</f>
        <v>0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0</v>
      </c>
      <c r="I133" s="154"/>
      <c r="J133" s="128" t="n">
        <f aca="false">H91*H57</f>
        <v>7139.20420131264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0</v>
      </c>
      <c r="O133" s="154"/>
      <c r="P133" s="128" t="n">
        <f aca="false">N91*N57</f>
        <v>5906.94656443839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10378.7841512531</v>
      </c>
      <c r="B134" s="126" t="n">
        <f aca="false">E114</f>
        <v>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1153.19823902812</v>
      </c>
      <c r="B137" s="126" t="n">
        <f aca="false">IF(A105="YES", B89, 0)</f>
        <v>0</v>
      </c>
      <c r="C137" s="13"/>
      <c r="D137" s="126" t="n">
        <f aca="false">B91</f>
        <v>1153.19823902812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0</v>
      </c>
      <c r="C140" s="13"/>
      <c r="D140" s="409" t="n">
        <f aca="false">A140+B140</f>
        <v>41.6772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e">
        <f aca="false">IF(G105="YES", ((B36*H105)*0.1)*(G130), 0)</f>
        <v>#VALUE!</v>
      </c>
      <c r="H142" s="214" t="n">
        <f aca="false">G102-100</f>
        <v>99.99</v>
      </c>
      <c r="I142" s="214"/>
      <c r="J142" s="214" t="e">
        <f aca="false">(H139+J139+G142+H142)-H145</f>
        <v>#VALUE!</v>
      </c>
      <c r="K142" s="130"/>
      <c r="L142" s="134"/>
      <c r="M142" s="129" t="e">
        <f aca="false">IF(M105="YES", ((B36*N105)*0.1)*(M130), 0)</f>
        <v>#VALUE!</v>
      </c>
      <c r="N142" s="214" t="n">
        <f aca="false">M102-100</f>
        <v>99.99</v>
      </c>
      <c r="O142" s="214"/>
      <c r="P142" s="214" t="e">
        <f aca="false">(N139+P139+M142+N142)-N145</f>
        <v>#VALUE!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e">
        <f aca="false">(H139+J139+G142+H142)*(G145/H64)</f>
        <v>#VALUE!</v>
      </c>
      <c r="I145" s="144"/>
      <c r="J145" s="144"/>
      <c r="K145" s="145"/>
      <c r="L145" s="134"/>
      <c r="M145" s="129" t="n">
        <v>0</v>
      </c>
      <c r="N145" s="214" t="e">
        <f aca="false">(N139+P139+M142+N142)*(M145/N64)</f>
        <v>#VALUE!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1157.7</v>
      </c>
      <c r="B148" s="126" t="n">
        <f aca="false">B102</f>
        <v>0</v>
      </c>
      <c r="C148" s="126"/>
      <c r="D148" s="126" t="n">
        <f aca="false">IF(A105="YES", (B40*B105)*B125, 0)</f>
        <v>0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1257.69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1189.86736688544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984.491094073066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1153.19823902812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1153.19823902812</v>
      </c>
      <c r="B177" s="416" t="n">
        <f aca="false">IF(A99="YES", B89, 0)</f>
        <v>0</v>
      </c>
      <c r="C177" s="417"/>
      <c r="D177" s="416" t="n">
        <f aca="false">B91</f>
        <v>1153.19823902812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Terminal pause with 9 down </v>
      </c>
      <c r="B180" s="214" t="n">
        <f aca="false">B90*B57</f>
        <v>10378.7841512531</v>
      </c>
      <c r="C180" s="28"/>
      <c r="D180" s="214" t="n">
        <f aca="false">IF(A99="YES", B89*B57, 0)</f>
        <v>0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10378.7841512531</v>
      </c>
      <c r="B183" s="214" t="n">
        <f aca="false">E114</f>
        <v>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1153.19823902812</v>
      </c>
      <c r="B186" s="214" t="n">
        <f aca="false">IF(A99="YES", B89, 0)</f>
        <v>0</v>
      </c>
      <c r="C186" s="28"/>
      <c r="D186" s="214" t="n">
        <f aca="false">B91</f>
        <v>1153.19823902812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IF(A99="YES", G18*0.000002, 0)*1.2*100</f>
        <v>0</v>
      </c>
      <c r="C189" s="28"/>
      <c r="D189" s="422" t="n">
        <f aca="false">A189+B189</f>
        <v>41.6772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1157.7</v>
      </c>
      <c r="B197" s="214" t="n">
        <f aca="false">B102</f>
        <v>0</v>
      </c>
      <c r="C197" s="214"/>
      <c r="D197" s="214" t="n">
        <f aca="false">IF(A105="YES", (B40*B105)*B125, 0)</f>
        <v>0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1257.69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n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4"/>
      <c r="G44" s="134" t="s">
        <v>187</v>
      </c>
      <c r="H44" s="164" t="n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n">
        <v>0.01</v>
      </c>
      <c r="C47" s="367"/>
      <c r="D47" s="42" t="n">
        <v>1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 t="s">
        <v>331</v>
      </c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155" t="s">
        <v>26</v>
      </c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205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12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10814.7942718838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((H44*B35)+((H44*B35)*B111))/(B63+B64)</f>
        <v>31.304347826087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IF(B105=Y104, (B93-D111)/(B64), B93/(B63+B64))</f>
        <v>470.208446603645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501.512794429732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 t="s">
        <v>122</v>
      </c>
      <c r="B105" s="109" t="s">
        <v>124</v>
      </c>
      <c r="C105" s="109"/>
      <c r="D105" s="110" t="n">
        <v>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0.2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/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0</v>
      </c>
      <c r="E118" s="112" t="n">
        <v>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0</v>
      </c>
      <c r="E119" s="112" t="n">
        <v>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0</v>
      </c>
      <c r="E120" s="115" t="n">
        <f aca="false">E118-E119</f>
        <v>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199.99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1200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5"/>
      <c r="F133" s="134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5"/>
      <c r="L133" s="134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470.208446603645</v>
      </c>
      <c r="B136" s="213" t="n">
        <f aca="false">IF(A111="YES", B95*B63, 0)</f>
        <v>375.652173913043</v>
      </c>
      <c r="C136" s="213"/>
      <c r="D136" s="213" t="n">
        <f aca="false">B97</f>
        <v>501.512794429732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5642.50135924373</v>
      </c>
      <c r="B139" s="214" t="n">
        <f aca="false">IF(A111="YES", B95*B63, 0)</f>
        <v>375.652173913043</v>
      </c>
      <c r="C139" s="154"/>
      <c r="D139" s="128" t="n">
        <f aca="false">B97*B63</f>
        <v>6018.15353315678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4" t="n">
        <f aca="false">A108-100</f>
        <v>99.99</v>
      </c>
      <c r="C148" s="214"/>
      <c r="D148" s="214" t="n">
        <f aca="false">(B145+D145+A148+B148)-B151</f>
        <v>594.365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4"/>
      <c r="E157" s="145"/>
      <c r="F157" s="134"/>
      <c r="G157" s="71"/>
      <c r="H157" s="73" t="n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4"/>
      <c r="E158" s="145"/>
      <c r="F158" s="134"/>
      <c r="G158" s="74" t="n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n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n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 t="n">
        <f aca="false">(A41*(B58+B57))</f>
        <v>0</v>
      </c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11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/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</f>
        <v>10723.95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IF(B110="YES",((B85+B86)-A151-E114),((B85+B86)-A151))</f>
        <v>6814.79427188382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IF(B99=Z102,(((H44*B35)+(H44*B35)*(B105/100))/(B58)),(((H44*B35)+(H44*B35)*(B105/100))/(B57+B58)))</f>
        <v>0</v>
      </c>
      <c r="C89" s="144" t="s">
        <v>75</v>
      </c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340.739713594191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340.739713594191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130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11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148</v>
      </c>
      <c r="B129" s="212" t="s">
        <v>149</v>
      </c>
      <c r="C129" s="212"/>
      <c r="D129" s="212" t="s">
        <v>112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340.739713594191</v>
      </c>
      <c r="B130" s="213" t="n">
        <f aca="false">IF(A105="YES", B89*B57, 0)</f>
        <v>0</v>
      </c>
      <c r="C130" s="213"/>
      <c r="D130" s="213" t="n">
        <f aca="false">B91</f>
        <v>340.739713594191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3066.65742234772</v>
      </c>
      <c r="B133" s="214" t="n">
        <f aca="false">IF(A105="YES", B89*B57, 0)</f>
        <v>0</v>
      </c>
      <c r="C133" s="154"/>
      <c r="D133" s="128" t="n">
        <f aca="false">B91*B57</f>
        <v>3066.65742234772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99.99</v>
      </c>
      <c r="C142" s="214"/>
      <c r="D142" s="214" t="n">
        <f aca="false">(B139+D139+A142+B142)-B145</f>
        <v>477.799019731241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201.040980268759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340.739713594191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3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3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3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0" sqref="Z103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571.541224059881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0</v>
      </c>
      <c r="C136" s="213"/>
      <c r="D136" s="213" t="n">
        <f aca="false">B97</f>
        <v>571.541224059881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0</v>
      </c>
      <c r="C139" s="154"/>
      <c r="D139" s="128" t="n">
        <f aca="false">B97*B63</f>
        <v>5143.87101653893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9" min="2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3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3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3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A34)*A117))/(B68)*1.2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3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6" min="2" style="215" width="18.88"/>
    <col collapsed="false" customWidth="true" hidden="false" outlineLevel="0" max="7" min="7" style="215" width="23.13"/>
    <col collapsed="false" customWidth="true" hidden="false" outlineLevel="0" max="9" min="8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6" min="2" style="215" width="18.88"/>
    <col collapsed="false" customWidth="true" hidden="false" outlineLevel="0" max="7" min="7" style="215" width="23.13"/>
    <col collapsed="false" customWidth="true" hidden="false" outlineLevel="0" max="9" min="8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17.625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1657.51041555755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17.625</v>
      </c>
      <c r="C167" s="360"/>
      <c r="D167" s="360"/>
      <c r="E167" s="213" t="n">
        <f aca="false">B96</f>
        <v>1657.51041555755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1657.51041555755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A95" activeCellId="0" sqref="A95"/>
    </sheetView>
  </sheetViews>
  <sheetFormatPr defaultColWidth="8.3125" defaultRowHeight="17.35" zeroHeight="false" outlineLevelRow="0" outlineLevelCol="0"/>
  <cols>
    <col collapsed="false" customWidth="true" hidden="false" outlineLevel="0" max="1" min="1" style="215" width="41.67"/>
    <col collapsed="false" customWidth="true" hidden="false" outlineLevel="0" max="6" min="2" style="215" width="18.88"/>
    <col collapsed="false" customWidth="true" hidden="false" outlineLevel="0" max="7" min="7" style="215" width="23.13"/>
    <col collapsed="false" customWidth="true" hidden="false" outlineLevel="0" max="9" min="8" style="215" width="18.88"/>
    <col collapsed="false" customWidth="true" hidden="false" outlineLevel="0" max="10" min="10" style="215" width="41.67"/>
    <col collapsed="false" customWidth="true" hidden="false" outlineLevel="0" max="17" min="11" style="215" width="18.88"/>
    <col collapsed="false" customWidth="false" hidden="false" outlineLevel="0" max="18" min="18" style="215" width="8.32"/>
    <col collapsed="false" customWidth="true" hidden="false" outlineLevel="0" max="19" min="19" style="215" width="41.67"/>
    <col collapsed="false" customWidth="true" hidden="false" outlineLevel="0" max="24" min="20" style="215" width="18.88"/>
    <col collapsed="false" customWidth="true" hidden="false" outlineLevel="0" max="26" min="25" style="50" width="18.88"/>
    <col collapsed="false" customWidth="false" hidden="false" outlineLevel="0" max="27" min="27" style="215" width="8.32"/>
    <col collapsed="false" customWidth="true" hidden="false" outlineLevel="0" max="28" min="28" style="215" width="41.67"/>
    <col collapsed="false" customWidth="true" hidden="false" outlineLevel="0" max="35" min="29" style="215" width="18.88"/>
    <col collapsed="false" customWidth="false" hidden="false" outlineLevel="0" max="1024" min="36" style="215" width="8.32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20.5090909090909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1769.93333287614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275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20.5090909090909</v>
      </c>
      <c r="C167" s="360"/>
      <c r="D167" s="360"/>
      <c r="E167" s="213" t="n">
        <f aca="false">B96</f>
        <v>1769.93333287614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1769.93333287614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5.28</v>
      </c>
      <c r="E32" s="158"/>
      <c r="F32" s="134"/>
      <c r="G32" s="159" t="s">
        <v>179</v>
      </c>
      <c r="H32" s="157" t="str">
        <f aca="false">A41</f>
        <v>5.28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505.28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str">
        <f aca="false">H32</f>
        <v>5.28</v>
      </c>
      <c r="I44" s="62" t="n">
        <f aca="false">((A41*(B35-1))+D32)/B35</f>
        <v>5.28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506.28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6814.79427188382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6.336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567.899522656985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567.899522656985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567.899522656985</v>
      </c>
      <c r="B136" s="213" t="n">
        <f aca="false">IF(A111="YES", B95*B63, 0)</f>
        <v>0</v>
      </c>
      <c r="C136" s="213"/>
      <c r="D136" s="213" t="n">
        <f aca="false">B97</f>
        <v>567.899522656985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5111.09570391287</v>
      </c>
      <c r="B139" s="214" t="n">
        <f aca="false">IF(A111="YES", B95*B63, 0)</f>
        <v>0</v>
      </c>
      <c r="C139" s="154"/>
      <c r="D139" s="128" t="n">
        <f aca="false">B97*B63</f>
        <v>5111.09570391287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1.2672</v>
      </c>
      <c r="H148" s="214" t="n">
        <f aca="false">G108-100</f>
        <v>139.988</v>
      </c>
      <c r="I148" s="214"/>
      <c r="J148" s="214" t="n">
        <f aca="false">(H145+J145+G148+H148)-H151</f>
        <v>1462.4427</v>
      </c>
      <c r="K148" s="130"/>
      <c r="L148" s="134"/>
      <c r="M148" s="129" t="n">
        <f aca="false">IF(M111="YES", ((A41*N111)*0.1)*(M133), 0)</f>
        <v>1.2672</v>
      </c>
      <c r="N148" s="214" t="n">
        <f aca="false">M108-100</f>
        <v>99.99</v>
      </c>
      <c r="O148" s="214"/>
      <c r="P148" s="214" t="n">
        <f aca="false">(N145+P145+M148+N148)-N151</f>
        <v>1422.4447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44929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12920.74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9011.95135538524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750.995946282103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750.995946282103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750.995946282103</v>
      </c>
      <c r="B136" s="213" t="n">
        <f aca="false">IF(A111="YES", B95*B63, 0)</f>
        <v>0</v>
      </c>
      <c r="C136" s="213"/>
      <c r="D136" s="213" t="n">
        <f aca="false">B97</f>
        <v>750.995946282103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6758.96351653893</v>
      </c>
      <c r="B139" s="214" t="n">
        <f aca="false">IF(A111="YES", B95*B63, 0)</f>
        <v>0</v>
      </c>
      <c r="C139" s="154"/>
      <c r="D139" s="128" t="n">
        <f aca="false">B97*B63</f>
        <v>6758.96351653893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139.99</v>
      </c>
      <c r="C148" s="214"/>
      <c r="D148" s="214" t="n">
        <f aca="false">(B145+D145+A148+B148)-B151</f>
        <v>622.365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2023-01-02T19:24:28Z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