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<sst xmlns="http://schemas.openxmlformats.org/spreadsheetml/2006/main" count="4471" uniqueCount="267">
  <si>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</si>
  <si>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</si>
  <si>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</si>
  <si>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</si>
  <si>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</si>
  <si>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</si>
  <si>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</si>
  <si>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</si>
  <si>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</si>
  <si>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</si>
  <si>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</si>
  <si>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</si>
  <si>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</si>
  <si>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</si>
  <si>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</si>
  <si>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</si>
  <si>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</si>
  <si>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</si>
  <si>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</si>
  <si>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</si>
  <si>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</si>
  <si>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</si>
  <si>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</si>
  <si>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</si>
  <si>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</si>
  <si>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</si>
  <si>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</si>
  <si>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</si>
  <si>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</si>
  <si>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</si>
  <si>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</si>
  <si>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</si>
  <si>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</si>
  <si>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</si>
  <si>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</si>
  <si>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</si>
  <si>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</si>
  <si>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</si>
  <si>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</si>
  <si>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</si>
  <si>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</si>
  <si>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</si>
  <si>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</si>
  <si>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</si>
  <si>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</si>
  <si>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</si>
  <si>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</si>
  <si>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</si>
  <si>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</si>
  <si>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</si>
  <si>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</si>
  <si>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</si>
  <si>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</si>
  <si>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</si>
  <si>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</si>
  <si>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</si>
  <si>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</si>
  <si>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</si>
  <si>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</si>
  <si>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</si>
  <si>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</si>
  <si>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</si>
  <si>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</si>
  <si>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</si>
  <si>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</si>
  <si>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</si>
  <si>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</si>
  <si>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</si>
  <si>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</si>
  <si>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</si>
  <si>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</si>
  <si>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</si>
  <si>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</si>
  <si>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</si>
  <si>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</si>
  <si>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</si>
  <si>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</si>
  <si>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</si>
  <si>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</si>
  <si>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</si>
  <si>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</si>
  <si>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</si>
  <si>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</si>
  <si>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</si>
  <si>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</si>
  <si>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</si>
  <si>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</si>
  <si>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</si>
  <si>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</si>
  <si>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</si>
  <si>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</si>
  <si>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</si>
  <si>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</si>
  <si>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</si>
  <si>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</si>
  <si>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</si>
  <si>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</si>
  <si>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</si>
  <si>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</si>
  <si>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</si>
  <si>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</si>
  <si>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</si>
  <si>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</si>
  <si>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</si>
  <si>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</si>
  <si>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</si>
  <si>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</si>
  <si>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</si>
  <si>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</si>
  <si>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</si>
  <si>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</si>
  <si>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</si>
  <si>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</si>
  <si>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</si>
  <si>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</si>
  <si>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</si>
  <si>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</si>
  <si>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</si>
  <si>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</si>
  <si>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</si>
  <si>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</si>
  <si>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</si>
  <si>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</si>
  <si>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</si>
  <si>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</si>
  <si>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</si>
  <si>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</si>
  <si>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</si>
  <si>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</si>
  <si>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</si>
  <si>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</si>
  <si>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</si>
  <si>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</si>
  <si>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</si>
  <si>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</si>
  <si>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</si>
  <si>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</si>
  <si>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</si>
  <si>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</si>
  <si>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</si>
  <si>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</si>
  <si>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</si>
  <si>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</si>
  <si>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</si>
  <si>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</si>
  <si>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</si>
  <si>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</si>
  <si>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</si>
  <si>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</si>
  <si>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</si>
  <si>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</si>
  <si>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</si>
  <si>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</si>
  <si>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</si>
  <si>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</si>
  <si>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</si>
  <si>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</si>
  <si>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</si>
  <si>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</si>
  <si>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</si>
  <si>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</si>
  <si>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0</t>
  </si>
  <si>
    <t xml:space="preserve">100</t>
  </si>
  <si>
    <t xml:space="preserve">A1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</si>
  <si>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</si>
  <si>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</si>
  <si>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</si>
  <si>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</si>
  <si>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</si>
  <si>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</si>
  <si>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</si>
  <si>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</si>
  <si>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</si>
  <si>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</si>
  <si>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</si>
  <si>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</si>
  <si>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</si>
  <si>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</si>
  <si>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</si>
  <si>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</si>
  <si>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</si>
  <si>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</si>
  <si>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</si>
  <si>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</si>
  <si>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</si>
  <si>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</si>
  <si>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</si>
  <si>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</si>
  <si>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</si>
  <si>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</si>
  <si>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</si>
  <si>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</si>
  <si>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</si>
  <si>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</si>
  <si>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</si>
  <si>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</si>
  <si>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</si>
  <si>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</si>
  <si>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</si>
  <si>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</si>
  <si>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</si>
  <si>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</si>
  <si>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</si>
  <si>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</si>
  <si>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</si>
  <si>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</si>
  <si>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</si>
  <si>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</si>
  <si>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</si>
  <si>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</si>
  <si>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</si>
  <si>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</si>
  <si>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</si>
  <si>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</si>
  <si>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</si>
  <si>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</si>
  <si>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</si>
  <si>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</si>
  <si>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</si>
  <si>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</si>
  <si>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</si>
  <si>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</si>
  <si>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</si>
  <si>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</si>
  <si>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</si>
  <si>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</si>
  <si>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</si>
  <si>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</si>
  <si>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</si>
  <si>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</si>
  <si>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</si>
  <si>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</si>
  <si>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</si>
  <si>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</si>
  <si>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</si>
  <si>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</si>
  <si>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</si>
  <si>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</si>
  <si>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</si>
  <si>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</si>
  <si>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</si>
  <si>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</si>
  <si>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</si>
  <si>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</si>
  <si>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</si>
  <si>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</si>
  <si>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</si>
  <si>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</si>
  <si>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</si>
  <si>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</si>
  <si>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</si>
  <si>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</si>
  <si>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</si>
  <si>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</si>
  <si>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</si>
  <si>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</si>
  <si>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</si>
  <si>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>YES</t>
  </si>
  <si>
    <t>0</t>
  </si>
  <si>
    <t>100</t>
  </si>
  <si>
    <t>A1 Credit</t>
  </si>
  <si>
    <t>239.99</t>
  </si>
  <si>
    <t>NO</t>
  </si>
  <si>
    <t>200</t>
  </si>
  <si>
    <t xml:space="preserve"> Terminal pause with 6 down </t>
  </si>
  <si>
    <t>Limited Credit</t>
  </si>
  <si>
    <t>199.99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</si>
</sst>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e">
        <f aca="false">(B89*B59)-(K47*K29)</f>
        <v>#DIV/0!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48676.84976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27500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e">
        <f aca="false">((1-(1/((1+B84)^B85)))/B84)</f>
        <v>#DIV/0!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21176.84976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e">
        <f aca="false">(B88/B87)</f>
        <v>#DIV/0!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e">
        <f aca="false">((B89*(B85))+B77)</f>
        <v>#DIV/0!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e">
        <f aca="false">(B90/(1-B71))*B71</f>
        <v>#DIV/0!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e">
        <f aca="false">(B90+B91)</f>
        <v>#DIV/0!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e">
        <f aca="false">B92/(B85)</f>
        <v>#DIV/0!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e">
        <f aca="false">(B94+B95)</f>
        <v>#DIV/0!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262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265</v>
      </c>
      <c r="C108" s="58"/>
      <c r="D108" s="58"/>
      <c r="E108" s="103" t="n">
        <f aca="false">B83</f>
        <v>0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261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48676.84976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e">
        <f aca="false">B95</f>
        <v>#DIV/0!</v>
      </c>
      <c r="B167" s="150" t="n">
        <f aca="false">B94</f>
        <v>35.3142857142857</v>
      </c>
      <c r="C167" s="148"/>
      <c r="D167" s="148"/>
      <c r="E167" s="150" t="e">
        <f aca="false">B96</f>
        <v>#DIV/0!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500</v>
      </c>
      <c r="C179" s="23"/>
      <c r="D179" s="31"/>
      <c r="E179" s="23" t="n">
        <f aca="false">A176-A179-B179</f>
        <v>48820.84976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e">
        <f aca="false">(A167*B59)+E185-E179-A185</f>
        <v>#DIV/0!</v>
      </c>
      <c r="B182" s="23" t="str">
        <f aca="false">B114</f>
        <v>239.99</v>
      </c>
      <c r="C182" s="23"/>
      <c r="D182" s="31"/>
      <c r="E182" s="23" t="e">
        <f aca="false">E179+A182+B182+A185</f>
        <v>#DIV/0!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304.230311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444.220311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e">
        <f aca="false">B96</f>
        <v>#DIV/0!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7378.54378485647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49176.84976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28100.0845022869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914.524297176548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32008.3504011792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32008.3504011792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914.524297176548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949.838582890833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262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265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49176.84976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914.524297176548</v>
      </c>
      <c r="B167" s="150" t="n">
        <f aca="false">B94</f>
        <v>35.3142857142857</v>
      </c>
      <c r="C167" s="148"/>
      <c r="D167" s="148"/>
      <c r="E167" s="150" t="n">
        <f aca="false">B96</f>
        <v>949.838582890833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49320.84976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10187.5006411792</v>
      </c>
      <c r="B182" s="23" t="str">
        <f aca="false">B114</f>
        <v>199.99</v>
      </c>
      <c r="C182" s="23"/>
      <c r="D182" s="31"/>
      <c r="E182" s="23" t="n">
        <f aca="false">E179+A182+B182+A185</f>
        <v>59718.3404011792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307.355311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427.945311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949.838582890833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1561.44413268187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102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41.2</v>
      </c>
      <c r="C167" s="148"/>
      <c r="D167" s="148"/>
      <c r="E167" s="150" t="n">
        <f aca="false">B96</f>
        <v>1561.44413268187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5187.68288386537</v>
      </c>
      <c r="B182" s="23" t="str">
        <f aca="false">B114</f>
        <v>239.99</v>
      </c>
      <c r="C182" s="23"/>
      <c r="D182" s="31"/>
      <c r="E182" s="23" t="n">
        <f aca="false">E179+A182+B182+A185</f>
        <v>53458.5346438654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-10419.1217134099</v>
      </c>
      <c r="T182" s="23" t="n">
        <f aca="false">T114</f>
        <v>199.99</v>
      </c>
      <c r="U182" s="23"/>
      <c r="V182" s="31"/>
      <c r="W182" s="23" t="n">
        <f aca="false">W179+S182+T182+S185</f>
        <v>48467.3061365901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299.230386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2459.820386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1561.44413268187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A42" activeCellId="0" sqref="A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10.0</v>
      </c>
      <c r="C4" s="54" t="n">
        <v>0.0</v>
      </c>
      <c r="D4" s="54" t="n">
        <v>10.0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10.0</v>
      </c>
      <c r="C5" s="163" t="n">
        <v>0.0</v>
      </c>
      <c r="D5" s="163" t="n">
        <v>10.0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100.0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262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161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162</v>
      </c>
      <c r="B45" s="168"/>
      <c r="C45" s="210" t="s">
        <v>162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964.75</v>
      </c>
      <c r="C67" s="168"/>
      <c r="D67" s="65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7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6857.925</v>
      </c>
      <c r="C81" s="168"/>
      <c r="D81" s="168"/>
      <c r="E81" s="169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190.497916666667</v>
      </c>
      <c r="C82" s="168"/>
      <c r="D82" s="168"/>
      <c r="E82" s="169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168"/>
      <c r="D83" s="168"/>
      <c r="E83" s="169"/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40083.0761241969</v>
      </c>
      <c r="C85" s="168"/>
      <c r="D85" s="168"/>
      <c r="E85" s="169"/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339.550059946807</v>
      </c>
      <c r="C86" s="168"/>
      <c r="D86" s="168"/>
      <c r="E86" s="169"/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40422.6261841437</v>
      </c>
      <c r="C87" s="168"/>
      <c r="D87" s="168"/>
      <c r="E87" s="169"/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</f>
        <v>34.3333333333333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1122.85072733733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1157.18406067066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262</v>
      </c>
      <c r="B105" s="249" t="n">
        <v>0.0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193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500</v>
      </c>
      <c r="E112" s="58" t="n">
        <v>300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200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9"/>
      <c r="D133" s="200" t="n">
        <f aca="false">B91*B57</f>
        <v>10414.6565460359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223</v>
      </c>
      <c r="B147" s="26" t="s">
        <v>224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225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39</v>
      </c>
      <c r="B153" s="221" t="s">
        <v>40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1157.18406067066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H42" activeCellId="0" sqref="H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10.0</v>
      </c>
      <c r="C4" s="54" t="n">
        <v>0.0</v>
      </c>
      <c r="D4" s="54" t="n">
        <v>10.0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10.0</v>
      </c>
      <c r="C5" s="163" t="n">
        <v>0.0</v>
      </c>
      <c r="D5" s="163" t="n">
        <v>10.0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-237.988689587288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40517.3748</v>
      </c>
      <c r="F9" s="157"/>
      <c r="G9" s="167" t="n">
        <f aca="false">E9-G11</f>
        <v>-111507.6252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8113.47496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49320.84976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100.0</v>
      </c>
      <c r="F16" s="157"/>
      <c r="G16" s="176" t="n">
        <f aca="false">(B3+C3+E10)*1.2</f>
        <v>56285.004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57285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49176.84976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257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258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712.772406008963</v>
      </c>
      <c r="E33" s="169"/>
      <c r="F33" s="157"/>
      <c r="G33" s="188" t="s">
        <v>43</v>
      </c>
      <c r="H33" s="196" t="n">
        <f aca="false">E21-E11+((E16*20%)+(E19*20%)+(E20*20%))</f>
        <v>41087.3748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41087.3748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-22422.5106689439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259</v>
      </c>
      <c r="B45" s="168"/>
      <c r="C45" s="257" t="s">
        <v>259</v>
      </c>
      <c r="D45" s="257"/>
      <c r="E45" s="169"/>
      <c r="F45" s="157"/>
      <c r="G45" s="157" t="s">
        <v>167</v>
      </c>
      <c r="H45" s="202" t="n">
        <f aca="false">(H39-H44)</f>
        <v>22322.4650294319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684.161294897852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712.772406008963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712.772406008963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57285</v>
      </c>
      <c r="C61" s="168"/>
      <c r="D61" s="168"/>
      <c r="E61" s="169"/>
      <c r="F61" s="157"/>
      <c r="G61" s="161" t="s">
        <v>21</v>
      </c>
      <c r="H61" s="65" t="n">
        <f aca="false">G18</f>
        <v>57285</v>
      </c>
      <c r="I61" s="168"/>
      <c r="J61" s="168"/>
      <c r="K61" s="169"/>
      <c r="L61" s="157"/>
      <c r="M61" s="161" t="s">
        <v>21</v>
      </c>
      <c r="N61" s="65" t="n">
        <f aca="false">G18</f>
        <v>57285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6014.925</v>
      </c>
      <c r="C64" s="168"/>
      <c r="D64" s="65" t="n">
        <f aca="false">B64-A145</f>
        <v>6014.925</v>
      </c>
      <c r="E64" s="258" t="n">
        <f aca="false">D64/(B58+B57)</f>
        <v>167.08125</v>
      </c>
      <c r="F64" s="157"/>
      <c r="G64" s="211" t="s">
        <v>72</v>
      </c>
      <c r="H64" s="121" t="n">
        <f aca="false">H61*H63</f>
        <v>6014.925</v>
      </c>
      <c r="I64" s="168"/>
      <c r="J64" s="65" t="n">
        <f aca="false">H64-G145</f>
        <v>6014.925</v>
      </c>
      <c r="K64" s="169"/>
      <c r="L64" s="157"/>
      <c r="M64" s="211" t="s">
        <v>72</v>
      </c>
      <c r="N64" s="121" t="n">
        <f aca="false">N61*N63</f>
        <v>6014.925</v>
      </c>
      <c r="O64" s="168"/>
      <c r="P64" s="65" t="n">
        <f aca="false">N64-M145</f>
        <v>6014.925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954.75</v>
      </c>
      <c r="C67" s="168"/>
      <c r="D67" s="65"/>
      <c r="E67" s="169"/>
      <c r="F67" s="157"/>
      <c r="G67" s="211" t="s">
        <v>75</v>
      </c>
      <c r="H67" s="121" t="n">
        <f aca="false">(H61*H66)/1.2</f>
        <v>954.75</v>
      </c>
      <c r="I67" s="168"/>
      <c r="J67" s="65"/>
      <c r="K67" s="169"/>
      <c r="L67" s="157"/>
      <c r="M67" s="211" t="s">
        <v>75</v>
      </c>
      <c r="N67" s="121" t="n">
        <f aca="false">(N61*N66)/1.2</f>
        <v>954.75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7878.25833333333</v>
      </c>
      <c r="C81" s="168"/>
      <c r="D81" s="168"/>
      <c r="E81" s="258"/>
      <c r="F81" s="157"/>
      <c r="G81" s="239" t="s">
        <v>84</v>
      </c>
      <c r="H81" s="240" t="n">
        <f aca="false">SUM(J64:J80)</f>
        <v>7080.675</v>
      </c>
      <c r="I81" s="168"/>
      <c r="J81" s="168"/>
      <c r="K81" s="169"/>
      <c r="L81" s="157"/>
      <c r="M81" s="239" t="s">
        <v>84</v>
      </c>
      <c r="N81" s="240" t="n">
        <f aca="false">SUM(P64:P80)</f>
        <v>6736.925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218.840509259259</v>
      </c>
      <c r="C82" s="168"/>
      <c r="D82" s="168"/>
      <c r="E82" s="258"/>
      <c r="F82" s="157"/>
      <c r="G82" s="161" t="s">
        <v>85</v>
      </c>
      <c r="H82" s="166" t="n">
        <f aca="false">H81/H29</f>
        <v>196.685416666667</v>
      </c>
      <c r="I82" s="168"/>
      <c r="J82" s="168"/>
      <c r="K82" s="169"/>
      <c r="L82" s="157"/>
      <c r="M82" s="161" t="s">
        <v>85</v>
      </c>
      <c r="N82" s="166" t="n">
        <f aca="false">N81/H29</f>
        <v>187.136805555556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684.161294897852</v>
      </c>
      <c r="C83" s="168"/>
      <c r="D83" s="168"/>
      <c r="E83" s="258" t="n">
        <f aca="false">B83+E80+E77+E64</f>
        <v>903.001804157112</v>
      </c>
      <c r="F83" s="157"/>
      <c r="G83" s="241" t="s">
        <v>86</v>
      </c>
      <c r="H83" s="242" t="n">
        <f aca="false">H47</f>
        <v>684.161294897852</v>
      </c>
      <c r="I83" s="168"/>
      <c r="J83" s="168"/>
      <c r="K83" s="169"/>
      <c r="L83" s="157"/>
      <c r="M83" s="241" t="s">
        <v>86</v>
      </c>
      <c r="N83" s="242" t="n">
        <f aca="false">H47</f>
        <v>684.161294897852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((B83*H29)+B81)*1.2</f>
        <v>39009.6779395872</v>
      </c>
      <c r="C85" s="168"/>
      <c r="D85" s="168"/>
      <c r="E85" s="258" t="n">
        <f aca="false">B85/(B58+B57)</f>
        <v>1083.60216498853</v>
      </c>
      <c r="F85" s="157"/>
      <c r="G85" s="204" t="s">
        <v>95</v>
      </c>
      <c r="H85" s="119" t="n">
        <f aca="false">((H83*H29)+H81)*1.2</f>
        <v>38052.5779395872</v>
      </c>
      <c r="I85" s="168"/>
      <c r="J85" s="168"/>
      <c r="K85" s="169"/>
      <c r="L85" s="157"/>
      <c r="M85" s="204" t="s">
        <v>95</v>
      </c>
      <c r="N85" s="119" t="n">
        <f aca="false">((N83*H29)+N81)</f>
        <v>31366.7316163227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((((B83*H29)+B81))/(1-B70))*B70</f>
        <v>275.380945519474</v>
      </c>
      <c r="C86" s="168"/>
      <c r="D86" s="168"/>
      <c r="E86" s="258" t="n">
        <f aca="false">B86/(B58+B57)</f>
        <v>7.64947070887428</v>
      </c>
      <c r="F86" s="157"/>
      <c r="G86" s="161" t="s">
        <v>96</v>
      </c>
      <c r="H86" s="166" t="n">
        <f aca="false">((((H83*H29)+H81))/(1-H70))*H70</f>
        <v>268.624491304065</v>
      </c>
      <c r="I86" s="168"/>
      <c r="J86" s="168"/>
      <c r="K86" s="169"/>
      <c r="L86" s="157"/>
      <c r="M86" s="161" t="s">
        <v>96</v>
      </c>
      <c r="N86" s="166" t="n">
        <f aca="false">(N85/(1-N70))*N70</f>
        <v>265.712530836134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39285.0588851067</v>
      </c>
      <c r="C87" s="168"/>
      <c r="D87" s="168"/>
      <c r="E87" s="258" t="n">
        <f aca="false">E86+E85</f>
        <v>1091.25163569741</v>
      </c>
      <c r="F87" s="157"/>
      <c r="G87" s="211" t="s">
        <v>97</v>
      </c>
      <c r="H87" s="121" t="n">
        <f aca="false">IF(H110="YES",((H85+H86)-K114),(H85+H86))</f>
        <v>38321.2024308913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31632.4441471588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(D40+(D40*B105))/(B57+B58))*1.2</f>
        <v>41.2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1091.25163569741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934.663473924178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771.523027979483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1132.45163569741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970.839083680275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801.669369442898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257</v>
      </c>
      <c r="B105" s="249" t="n">
        <v>0.2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200</v>
      </c>
      <c r="B126" s="252" t="s">
        <v>201</v>
      </c>
      <c r="C126" s="252"/>
      <c r="D126" s="252" t="s">
        <v>202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1091.25163569741</v>
      </c>
      <c r="B127" s="150" t="n">
        <f aca="false">IF(A105="YES", B89*B57, 0)</f>
        <v>370.8</v>
      </c>
      <c r="C127" s="150"/>
      <c r="D127" s="254" t="n">
        <f aca="false">B91</f>
        <v>1132.45163569741</v>
      </c>
      <c r="E127" s="169"/>
      <c r="F127" s="157"/>
      <c r="G127" s="253" t="n">
        <f aca="false">H90</f>
        <v>934.663473924178</v>
      </c>
      <c r="H127" s="150" t="n">
        <f aca="false">IF(G105="YES", H89*H57, 0)</f>
        <v>217.053658536585</v>
      </c>
      <c r="I127" s="150"/>
      <c r="J127" s="254" t="n">
        <f aca="false">H91</f>
        <v>970.839083680275</v>
      </c>
      <c r="K127" s="169"/>
      <c r="L127" s="157"/>
      <c r="M127" s="253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206</v>
      </c>
      <c r="B132" s="168" t="s">
        <v>207</v>
      </c>
      <c r="C132" s="168"/>
      <c r="D132" s="168" t="s">
        <v>208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9"/>
      <c r="D133" s="200" t="n">
        <f aca="false">B91*B57</f>
        <v>10192.0647212767</v>
      </c>
      <c r="E133" s="169"/>
      <c r="F133" s="157"/>
      <c r="G133" s="55" t="n">
        <f aca="false">H90*H57</f>
        <v>5607.98084354507</v>
      </c>
      <c r="H133" s="23" t="n">
        <f aca="false">IF(G105="YES", H89*H57, 0)</f>
        <v>217.053658536585</v>
      </c>
      <c r="I133" s="199"/>
      <c r="J133" s="200" t="n">
        <f aca="false">H91*H57</f>
        <v>5825.03450208165</v>
      </c>
      <c r="K133" s="169"/>
      <c r="L133" s="157"/>
      <c r="M133" s="55" t="n">
        <f aca="false">N90*N57</f>
        <v>4629.1381678769</v>
      </c>
      <c r="N133" s="23" t="n">
        <f aca="false">IF(M105="YES", N89*N57, 0)</f>
        <v>180.878048780488</v>
      </c>
      <c r="O133" s="199"/>
      <c r="P133" s="200" t="n">
        <f aca="false">N91*N57</f>
        <v>4810.01621665739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212</v>
      </c>
      <c r="B135" s="168" t="s">
        <v>213</v>
      </c>
      <c r="C135" s="168"/>
      <c r="D135" s="168" t="s">
        <v>214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7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7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217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1132.45163569741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970.839083680275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801.669369442898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B89" activeCellId="0" sqref="B89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257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258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928.643086783248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5.72222222222222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64256.692436241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5.72222222222222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-15379.192436241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5.72222222222222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259</v>
      </c>
      <c r="B45" s="168"/>
      <c r="C45" s="210" t="s">
        <v>259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928.643086783248</v>
      </c>
      <c r="I48" s="202" t="n">
        <f aca="false">I49-H42</f>
        <v>1394.27777777778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928.643086783248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65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</f>
        <v>1157.7</v>
      </c>
      <c r="C67" s="261"/>
      <c r="D67" s="262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263"/>
      <c r="D68" s="65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220.590509259259</v>
      </c>
      <c r="C82" s="264"/>
      <c r="D82" s="168"/>
      <c r="E82" s="258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228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257</v>
      </c>
      <c r="B105" s="249" t="n">
        <v>0.2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9"/>
      <c r="D133" s="200" t="n">
        <f aca="false">B91*B57</f>
        <v>10687.7841512531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4.12</v>
      </c>
      <c r="B142" s="23" t="n">
        <f aca="false">A102-100</f>
        <v>99.99</v>
      </c>
      <c r="C142" s="23"/>
      <c r="D142" s="23" t="n">
        <f aca="false">(B139+D139+A142+B142)-B145</f>
        <v>1261.81</v>
      </c>
      <c r="E142" s="153"/>
      <c r="F142" s="157"/>
      <c r="G142" s="22" t="n">
        <f aca="false">IF(G105="YES", ((B36*H105)*0.1)*(G130), 0)</f>
        <v>4.12</v>
      </c>
      <c r="H142" s="23" t="n">
        <f aca="false">G102-100</f>
        <v>99.99</v>
      </c>
      <c r="I142" s="23"/>
      <c r="J142" s="23" t="n">
        <f aca="false">(H139+J139+G142+H142)-H145</f>
        <v>1068.86</v>
      </c>
      <c r="K142" s="153"/>
      <c r="L142" s="157"/>
      <c r="M142" s="22" t="n">
        <f aca="false">IF(M105="YES", ((B36*N105)*0.1)*(M130), 0)</f>
        <v>4.12</v>
      </c>
      <c r="N142" s="23" t="n">
        <f aca="false">M102-100</f>
        <v>99.99</v>
      </c>
      <c r="O142" s="23"/>
      <c r="P142" s="23" t="n">
        <f aca="false">(N139+P139+M142+N142)-N145</f>
        <v>1068.86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106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118</v>
      </c>
      <c r="B43" s="287" t="s">
        <v>209</v>
      </c>
      <c r="C43" s="194"/>
      <c r="D43" s="287" t="s">
        <v>210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211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64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39</v>
      </c>
      <c r="B56" s="221" t="s">
        <v>40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53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53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53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67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67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67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72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72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72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73</v>
      </c>
      <c r="B71" s="225" t="n">
        <v>0.01</v>
      </c>
      <c r="C71" s="168"/>
      <c r="D71" s="168"/>
      <c r="E71" s="169"/>
      <c r="F71" s="157"/>
      <c r="G71" s="224" t="s">
        <v>73</v>
      </c>
      <c r="H71" s="225" t="n">
        <v>0.005</v>
      </c>
      <c r="I71" s="168"/>
      <c r="J71" s="168"/>
      <c r="K71" s="169"/>
      <c r="L71" s="157"/>
      <c r="M71" s="224" t="s">
        <v>73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74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74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74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75</v>
      </c>
      <c r="B73" s="121" t="n">
        <f aca="false">B67*B72</f>
        <v>3116.25</v>
      </c>
      <c r="C73" s="168"/>
      <c r="D73" s="65"/>
      <c r="E73" s="169"/>
      <c r="F73" s="157"/>
      <c r="G73" s="211" t="s">
        <v>75</v>
      </c>
      <c r="H73" s="121" t="n">
        <f aca="false">H67*H72</f>
        <v>1558.125</v>
      </c>
      <c r="I73" s="168"/>
      <c r="J73" s="65"/>
      <c r="K73" s="169"/>
      <c r="L73" s="157"/>
      <c r="M73" s="211" t="s">
        <v>75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76</v>
      </c>
      <c r="B74" s="225" t="n">
        <v>0.0075</v>
      </c>
      <c r="C74" s="168"/>
      <c r="D74" s="168"/>
      <c r="E74" s="169"/>
      <c r="F74" s="157"/>
      <c r="G74" s="224" t="s">
        <v>76</v>
      </c>
      <c r="H74" s="225" t="n">
        <v>0.0075</v>
      </c>
      <c r="I74" s="168"/>
      <c r="J74" s="168"/>
      <c r="K74" s="169"/>
      <c r="L74" s="157"/>
      <c r="M74" s="224" t="s">
        <v>76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77</v>
      </c>
      <c r="B75" s="226" t="n">
        <v>0.12</v>
      </c>
      <c r="C75" s="168"/>
      <c r="D75" s="168"/>
      <c r="E75" s="169"/>
      <c r="F75" s="157"/>
      <c r="G75" s="158" t="s">
        <v>77</v>
      </c>
      <c r="H75" s="226" t="n">
        <v>0.12</v>
      </c>
      <c r="I75" s="168"/>
      <c r="J75" s="168"/>
      <c r="K75" s="169"/>
      <c r="L75" s="157"/>
      <c r="M75" s="158" t="s">
        <v>77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78</v>
      </c>
      <c r="B76" s="228" t="n">
        <f aca="false">B74*(1+B75)</f>
        <v>0.0084</v>
      </c>
      <c r="C76" s="168"/>
      <c r="D76" s="168"/>
      <c r="E76" s="169"/>
      <c r="F76" s="157"/>
      <c r="G76" s="211" t="s">
        <v>78</v>
      </c>
      <c r="H76" s="228" t="n">
        <f aca="false">H74*(1+H75)</f>
        <v>0.0084</v>
      </c>
      <c r="I76" s="168"/>
      <c r="J76" s="168"/>
      <c r="K76" s="169"/>
      <c r="L76" s="157"/>
      <c r="M76" s="211" t="s">
        <v>78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79</v>
      </c>
      <c r="B77" s="229" t="n">
        <v>160</v>
      </c>
      <c r="C77" s="168"/>
      <c r="D77" s="168"/>
      <c r="E77" s="169"/>
      <c r="F77" s="157"/>
      <c r="G77" s="224" t="s">
        <v>79</v>
      </c>
      <c r="H77" s="229" t="n">
        <v>160</v>
      </c>
      <c r="I77" s="168"/>
      <c r="J77" s="168"/>
      <c r="K77" s="169"/>
      <c r="L77" s="157"/>
      <c r="M77" s="224" t="s">
        <v>79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80</v>
      </c>
      <c r="B78" s="230" t="n">
        <v>4.5</v>
      </c>
      <c r="C78" s="168"/>
      <c r="D78" s="168"/>
      <c r="E78" s="169"/>
      <c r="F78" s="157"/>
      <c r="G78" s="158" t="s">
        <v>80</v>
      </c>
      <c r="H78" s="230" t="n">
        <v>4.5</v>
      </c>
      <c r="I78" s="168"/>
      <c r="J78" s="168"/>
      <c r="K78" s="169"/>
      <c r="L78" s="157"/>
      <c r="M78" s="158" t="s">
        <v>80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81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81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81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82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82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82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83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83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83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84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84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84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85</v>
      </c>
      <c r="B88" s="166" t="n">
        <f aca="false">B87/H29</f>
        <v>549.415404040404</v>
      </c>
      <c r="C88" s="168"/>
      <c r="D88" s="168"/>
      <c r="E88" s="169"/>
      <c r="F88" s="157"/>
      <c r="G88" s="161" t="s">
        <v>85</v>
      </c>
      <c r="H88" s="166" t="n">
        <f aca="false">H87/H29</f>
        <v>630.400252525253</v>
      </c>
      <c r="I88" s="168"/>
      <c r="J88" s="168"/>
      <c r="K88" s="169"/>
      <c r="L88" s="157"/>
      <c r="M88" s="161" t="s">
        <v>85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86</v>
      </c>
      <c r="B89" s="242" t="n">
        <f aca="false">H46</f>
        <v>51.5151515151515</v>
      </c>
      <c r="C89" s="168"/>
      <c r="D89" s="168"/>
      <c r="E89" s="169"/>
      <c r="F89" s="157"/>
      <c r="G89" s="241" t="s">
        <v>86</v>
      </c>
      <c r="H89" s="242" t="n">
        <f aca="false">H46</f>
        <v>51.5151515151515</v>
      </c>
      <c r="I89" s="168"/>
      <c r="J89" s="168"/>
      <c r="K89" s="169"/>
      <c r="L89" s="157"/>
      <c r="M89" s="241" t="s">
        <v>86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95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95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95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96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96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96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97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97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97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98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98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98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99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99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99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100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100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100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</row>
    <row r="104" customFormat="false" ht="18.75" hidden="false" customHeight="true" outlineLevel="0" collapsed="false">
      <c r="A104" s="161" t="s">
        <v>104</v>
      </c>
      <c r="B104" s="168" t="s">
        <v>30</v>
      </c>
      <c r="C104" s="168"/>
      <c r="D104" s="168" t="s">
        <v>178</v>
      </c>
      <c r="E104" s="169"/>
      <c r="F104" s="157"/>
      <c r="G104" s="161" t="s">
        <v>104</v>
      </c>
      <c r="H104" s="168" t="s">
        <v>30</v>
      </c>
      <c r="I104" s="168"/>
      <c r="J104" s="168" t="s">
        <v>178</v>
      </c>
      <c r="K104" s="169"/>
      <c r="L104" s="157"/>
      <c r="M104" s="161" t="s">
        <v>104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106</v>
      </c>
      <c r="C105" s="248"/>
      <c r="D105" s="297" t="n">
        <v>0</v>
      </c>
      <c r="E105" s="297"/>
      <c r="F105" s="157"/>
      <c r="G105" s="185" t="s">
        <v>180</v>
      </c>
      <c r="H105" s="248" t="s">
        <v>189</v>
      </c>
      <c r="I105" s="248"/>
      <c r="J105" s="297" t="n">
        <v>5000</v>
      </c>
      <c r="K105" s="297"/>
      <c r="L105" s="157"/>
      <c r="M105" s="185" t="s">
        <v>180</v>
      </c>
      <c r="N105" s="248" t="s">
        <v>188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184</v>
      </c>
      <c r="B107" s="168" t="s">
        <v>185</v>
      </c>
      <c r="C107" s="168"/>
      <c r="D107" s="168" t="s">
        <v>186</v>
      </c>
      <c r="E107" s="169"/>
      <c r="F107" s="157"/>
      <c r="G107" s="161" t="s">
        <v>184</v>
      </c>
      <c r="H107" s="168" t="s">
        <v>185</v>
      </c>
      <c r="I107" s="168"/>
      <c r="J107" s="168" t="s">
        <v>186</v>
      </c>
      <c r="K107" s="169"/>
      <c r="L107" s="157"/>
      <c r="M107" s="161" t="s">
        <v>184</v>
      </c>
      <c r="N107" s="168" t="s">
        <v>185</v>
      </c>
      <c r="O107" s="168"/>
      <c r="P107" s="168" t="s">
        <v>186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107</v>
      </c>
      <c r="C110" s="168"/>
      <c r="D110" s="168" t="s">
        <v>119</v>
      </c>
      <c r="E110" s="169"/>
      <c r="F110" s="157"/>
      <c r="G110" s="185" t="s">
        <v>29</v>
      </c>
      <c r="H110" s="157" t="s">
        <v>107</v>
      </c>
      <c r="I110" s="168"/>
      <c r="J110" s="168" t="s">
        <v>119</v>
      </c>
      <c r="K110" s="169"/>
      <c r="L110" s="157"/>
      <c r="M110" s="185" t="s">
        <v>29</v>
      </c>
      <c r="N110" s="157" t="s">
        <v>107</v>
      </c>
      <c r="O110" s="168"/>
      <c r="P110" s="168" t="s">
        <v>119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193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194</v>
      </c>
      <c r="B114" s="189"/>
      <c r="C114" s="189"/>
      <c r="D114" s="189"/>
      <c r="E114" s="189"/>
      <c r="F114" s="157"/>
      <c r="G114" s="189" t="s">
        <v>194</v>
      </c>
      <c r="H114" s="189"/>
      <c r="I114" s="189"/>
      <c r="J114" s="189"/>
      <c r="K114" s="189"/>
      <c r="L114" s="157"/>
      <c r="M114" s="189" t="s">
        <v>194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195</v>
      </c>
      <c r="B116" s="186" t="s">
        <v>26</v>
      </c>
      <c r="C116" s="168"/>
      <c r="D116" s="168"/>
      <c r="E116" s="169"/>
      <c r="F116" s="157"/>
      <c r="G116" s="161" t="s">
        <v>195</v>
      </c>
      <c r="H116" s="186" t="s">
        <v>25</v>
      </c>
      <c r="I116" s="168"/>
      <c r="J116" s="168"/>
      <c r="K116" s="169"/>
      <c r="L116" s="157"/>
      <c r="M116" s="161" t="s">
        <v>195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133</v>
      </c>
      <c r="B118" s="168"/>
      <c r="C118" s="168"/>
      <c r="D118" s="57" t="n">
        <v>0</v>
      </c>
      <c r="E118" s="58" t="n">
        <v>0</v>
      </c>
      <c r="F118" s="157"/>
      <c r="G118" s="161" t="s">
        <v>133</v>
      </c>
      <c r="H118" s="168"/>
      <c r="I118" s="168"/>
      <c r="J118" s="57" t="n">
        <v>10000</v>
      </c>
      <c r="K118" s="58" t="n">
        <v>5000</v>
      </c>
      <c r="L118" s="157"/>
      <c r="M118" s="161" t="s">
        <v>133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134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134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134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135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135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135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136</v>
      </c>
      <c r="B121" s="168"/>
      <c r="C121" s="168"/>
      <c r="D121" s="26" t="n">
        <f aca="false">D120-E120</f>
        <v>0</v>
      </c>
      <c r="E121" s="169"/>
      <c r="F121" s="157"/>
      <c r="G121" s="161" t="s">
        <v>136</v>
      </c>
      <c r="H121" s="168"/>
      <c r="I121" s="168"/>
      <c r="J121" s="26" t="n">
        <f aca="false">J120-K120</f>
        <v>5000</v>
      </c>
      <c r="K121" s="169"/>
      <c r="L121" s="157"/>
      <c r="M121" s="161" t="s">
        <v>136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115</v>
      </c>
      <c r="B123" s="205"/>
      <c r="C123" s="205"/>
      <c r="D123" s="205"/>
      <c r="E123" s="119" t="n">
        <f aca="false">D105</f>
        <v>0</v>
      </c>
      <c r="F123" s="157"/>
      <c r="G123" s="204" t="s">
        <v>115</v>
      </c>
      <c r="H123" s="205"/>
      <c r="I123" s="205"/>
      <c r="J123" s="205"/>
      <c r="K123" s="119" t="n">
        <f aca="false">J105</f>
        <v>5000</v>
      </c>
      <c r="L123" s="157"/>
      <c r="M123" s="204" t="s">
        <v>115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139</v>
      </c>
      <c r="B124" s="168"/>
      <c r="C124" s="168"/>
      <c r="D124" s="168"/>
      <c r="E124" s="166" t="n">
        <f aca="false">A108</f>
        <v>199.99</v>
      </c>
      <c r="F124" s="157"/>
      <c r="G124" s="161" t="s">
        <v>139</v>
      </c>
      <c r="H124" s="168"/>
      <c r="I124" s="168"/>
      <c r="J124" s="168"/>
      <c r="K124" s="166" t="n">
        <f aca="false">G108</f>
        <v>239.988</v>
      </c>
      <c r="L124" s="157"/>
      <c r="M124" s="161" t="s">
        <v>139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196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196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196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197</v>
      </c>
      <c r="B128" s="189"/>
      <c r="C128" s="189"/>
      <c r="D128" s="189"/>
      <c r="E128" s="189"/>
      <c r="F128" s="157"/>
      <c r="G128" s="189" t="s">
        <v>197</v>
      </c>
      <c r="H128" s="189"/>
      <c r="I128" s="189"/>
      <c r="J128" s="189"/>
      <c r="K128" s="189"/>
      <c r="L128" s="157"/>
      <c r="M128" s="189" t="s">
        <v>197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39</v>
      </c>
      <c r="B132" s="168" t="s">
        <v>40</v>
      </c>
      <c r="C132" s="168"/>
      <c r="D132" s="168" t="s">
        <v>67</v>
      </c>
      <c r="E132" s="169"/>
      <c r="F132" s="157"/>
      <c r="G132" s="161" t="s">
        <v>39</v>
      </c>
      <c r="H132" s="168" t="s">
        <v>40</v>
      </c>
      <c r="I132" s="168"/>
      <c r="J132" s="168" t="s">
        <v>67</v>
      </c>
      <c r="K132" s="169"/>
      <c r="L132" s="157"/>
      <c r="M132" s="161" t="s">
        <v>39</v>
      </c>
      <c r="N132" s="168" t="s">
        <v>40</v>
      </c>
      <c r="O132" s="168"/>
      <c r="P132" s="168" t="s">
        <v>67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198</v>
      </c>
      <c r="B135" s="252" t="s">
        <v>199</v>
      </c>
      <c r="C135" s="252"/>
      <c r="D135" s="252" t="s">
        <v>100</v>
      </c>
      <c r="E135" s="169"/>
      <c r="F135" s="157"/>
      <c r="G135" s="251" t="s">
        <v>200</v>
      </c>
      <c r="H135" s="252" t="s">
        <v>201</v>
      </c>
      <c r="I135" s="252"/>
      <c r="J135" s="252" t="s">
        <v>202</v>
      </c>
      <c r="K135" s="169"/>
      <c r="L135" s="157"/>
      <c r="M135" s="251" t="s">
        <v>198</v>
      </c>
      <c r="N135" s="252" t="s">
        <v>199</v>
      </c>
      <c r="O135" s="252"/>
      <c r="P135" s="252" t="s">
        <v>100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203</v>
      </c>
      <c r="B138" s="168" t="s">
        <v>204</v>
      </c>
      <c r="C138" s="168"/>
      <c r="D138" s="168" t="s">
        <v>205</v>
      </c>
      <c r="E138" s="169"/>
      <c r="F138" s="157"/>
      <c r="G138" s="161" t="s">
        <v>206</v>
      </c>
      <c r="H138" s="168" t="s">
        <v>207</v>
      </c>
      <c r="I138" s="168"/>
      <c r="J138" s="168" t="s">
        <v>208</v>
      </c>
      <c r="K138" s="169"/>
      <c r="L138" s="157"/>
      <c r="M138" s="161" t="s">
        <v>203</v>
      </c>
      <c r="N138" s="168" t="s">
        <v>204</v>
      </c>
      <c r="O138" s="168"/>
      <c r="P138" s="168" t="s">
        <v>205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209</v>
      </c>
      <c r="B141" s="168" t="s">
        <v>210</v>
      </c>
      <c r="C141" s="168"/>
      <c r="D141" s="168" t="s">
        <v>211</v>
      </c>
      <c r="E141" s="169"/>
      <c r="F141" s="157"/>
      <c r="G141" s="161" t="s">
        <v>212</v>
      </c>
      <c r="H141" s="168" t="s">
        <v>213</v>
      </c>
      <c r="I141" s="168"/>
      <c r="J141" s="168" t="s">
        <v>214</v>
      </c>
      <c r="K141" s="169"/>
      <c r="L141" s="157"/>
      <c r="M141" s="161" t="s">
        <v>209</v>
      </c>
      <c r="N141" s="168" t="s">
        <v>210</v>
      </c>
      <c r="O141" s="168"/>
      <c r="P141" s="168" t="s">
        <v>211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118</v>
      </c>
      <c r="B144" s="168" t="s">
        <v>215</v>
      </c>
      <c r="C144" s="168"/>
      <c r="D144" s="168" t="s">
        <v>216</v>
      </c>
      <c r="E144" s="169"/>
      <c r="F144" s="157"/>
      <c r="G144" s="161" t="s">
        <v>217</v>
      </c>
      <c r="H144" s="168" t="s">
        <v>215</v>
      </c>
      <c r="I144" s="168"/>
      <c r="J144" s="168" t="s">
        <v>216</v>
      </c>
      <c r="K144" s="169"/>
      <c r="L144" s="157"/>
      <c r="M144" s="161" t="s">
        <v>118</v>
      </c>
      <c r="N144" s="168" t="s">
        <v>215</v>
      </c>
      <c r="O144" s="168"/>
      <c r="P144" s="168" t="s">
        <v>216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218</v>
      </c>
      <c r="B147" s="168" t="s">
        <v>219</v>
      </c>
      <c r="C147" s="168"/>
      <c r="D147" s="168" t="s">
        <v>220</v>
      </c>
      <c r="E147" s="169"/>
      <c r="F147" s="157"/>
      <c r="G147" s="161" t="s">
        <v>218</v>
      </c>
      <c r="H147" s="168" t="s">
        <v>219</v>
      </c>
      <c r="I147" s="168"/>
      <c r="J147" s="168" t="s">
        <v>220</v>
      </c>
      <c r="K147" s="169"/>
      <c r="L147" s="157"/>
      <c r="M147" s="161" t="s">
        <v>218</v>
      </c>
      <c r="N147" s="168" t="s">
        <v>219</v>
      </c>
      <c r="O147" s="168"/>
      <c r="P147" s="168" t="s">
        <v>220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221</v>
      </c>
      <c r="B150" s="168" t="s">
        <v>222</v>
      </c>
      <c r="C150" s="168"/>
      <c r="D150" s="168"/>
      <c r="E150" s="169"/>
      <c r="F150" s="157"/>
      <c r="G150" s="161" t="s">
        <v>221</v>
      </c>
      <c r="H150" s="168" t="s">
        <v>222</v>
      </c>
      <c r="I150" s="168"/>
      <c r="J150" s="168"/>
      <c r="K150" s="169"/>
      <c r="L150" s="157"/>
      <c r="M150" s="161" t="s">
        <v>221</v>
      </c>
      <c r="N150" s="168" t="s">
        <v>222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223</v>
      </c>
      <c r="N153" s="26" t="s">
        <v>224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225</v>
      </c>
      <c r="B154" s="168"/>
      <c r="C154" s="168"/>
      <c r="D154" s="215"/>
      <c r="E154" s="216"/>
      <c r="F154" s="157"/>
      <c r="G154" s="214" t="s">
        <v>225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39</v>
      </c>
      <c r="B156" s="221" t="s">
        <v>40</v>
      </c>
      <c r="C156" s="221"/>
      <c r="D156" s="168"/>
      <c r="E156" s="169"/>
      <c r="F156" s="157"/>
      <c r="G156" s="220" t="s">
        <v>39</v>
      </c>
      <c r="H156" s="221" t="s">
        <v>40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225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39</v>
      </c>
      <c r="N159" s="221" t="s">
        <v>40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187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118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209</v>
      </c>
      <c r="B43" s="287" t="s">
        <v>210</v>
      </c>
      <c r="C43" s="194"/>
      <c r="D43" s="287" t="s">
        <v>211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53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67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72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0.005</v>
      </c>
      <c r="C65" s="168"/>
      <c r="D65" s="168"/>
      <c r="E65" s="169"/>
      <c r="F65" s="157"/>
      <c r="G65" s="224" t="s">
        <v>73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B61*B66</f>
        <v>1629</v>
      </c>
      <c r="C67" s="168"/>
      <c r="D67" s="65"/>
      <c r="E67" s="169"/>
      <c r="F67" s="157"/>
      <c r="G67" s="211" t="s">
        <v>75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160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4.5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82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83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84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550.446759259259</v>
      </c>
      <c r="C82" s="168"/>
      <c r="D82" s="168"/>
      <c r="E82" s="169"/>
      <c r="F82" s="157"/>
      <c r="G82" s="161" t="s">
        <v>85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H46</f>
        <v>3480.46444444444</v>
      </c>
      <c r="C83" s="168"/>
      <c r="D83" s="168"/>
      <c r="E83" s="169"/>
      <c r="F83" s="157"/>
      <c r="G83" s="241" t="s">
        <v>86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95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96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97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(A41+(A41*B105))</f>
        <v>138.108</v>
      </c>
      <c r="C89" s="168"/>
      <c r="D89" s="168"/>
      <c r="E89" s="169"/>
      <c r="F89" s="157"/>
      <c r="G89" s="239" t="s">
        <v>98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99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106</v>
      </c>
      <c r="C99" s="248"/>
      <c r="D99" s="58" t="n">
        <v>0</v>
      </c>
      <c r="E99" s="58"/>
      <c r="F99" s="157"/>
      <c r="G99" s="185" t="s">
        <v>180</v>
      </c>
      <c r="H99" s="248" t="s">
        <v>106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  <c r="AA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10000</v>
      </c>
      <c r="E112" s="58" t="n">
        <v>5000</v>
      </c>
      <c r="F112" s="157"/>
      <c r="G112" s="161" t="s">
        <v>133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134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135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5000</v>
      </c>
      <c r="E115" s="169"/>
      <c r="F115" s="157"/>
      <c r="G115" s="161" t="s">
        <v>136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196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39</v>
      </c>
      <c r="B126" s="168" t="s">
        <v>40</v>
      </c>
      <c r="C126" s="168"/>
      <c r="D126" s="168" t="s">
        <v>67</v>
      </c>
      <c r="E126" s="169"/>
      <c r="F126" s="157"/>
      <c r="G126" s="161" t="s">
        <v>39</v>
      </c>
      <c r="H126" s="168" t="s">
        <v>40</v>
      </c>
      <c r="I126" s="168"/>
      <c r="J126" s="168" t="s">
        <v>67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198</v>
      </c>
      <c r="B129" s="252" t="s">
        <v>199</v>
      </c>
      <c r="C129" s="252"/>
      <c r="D129" s="252" t="s">
        <v>100</v>
      </c>
      <c r="E129" s="169"/>
      <c r="F129" s="157"/>
      <c r="G129" s="251" t="s">
        <v>200</v>
      </c>
      <c r="H129" s="252" t="s">
        <v>201</v>
      </c>
      <c r="I129" s="252"/>
      <c r="J129" s="252" t="s">
        <v>202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/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259</v>
      </c>
      <c r="B45" s="14"/>
      <c r="C45" s="301" t="s">
        <v>259</v>
      </c>
      <c r="D45" s="301"/>
      <c r="E45" s="301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957.5372352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303" t="n">
        <f aca="false">IF(B26="YES",((E40/B85)*(1+A108)),"0")</f>
        <v>28.6111111111111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1548.85524379298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625.91790057485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266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9</v>
      </c>
      <c r="G122" s="117" t="n"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15</v>
      </c>
      <c r="G123" s="114" t="n"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1000.01</v>
      </c>
      <c r="I148" s="1" t="n">
        <f aca="false">(H148-G81)/1.2</f>
        <v>833.341666666668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28.6111111111111</v>
      </c>
      <c r="C167" s="148"/>
      <c r="D167" s="148"/>
      <c r="E167" s="150" t="n">
        <f aca="false">B96</f>
        <v>1548.85524379298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590.603614860565</v>
      </c>
      <c r="T167" s="150" t="n">
        <f aca="false">T94</f>
        <v>35.3142857142857</v>
      </c>
      <c r="U167" s="148"/>
      <c r="V167" s="148"/>
      <c r="W167" s="150" t="n">
        <f aca="false">T96</f>
        <v>625.91790057485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50376.86176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47876.86176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5331.68288386537</v>
      </c>
      <c r="B182" s="23" t="str">
        <f aca="false">B114</f>
        <v>199.99</v>
      </c>
      <c r="C182" s="23"/>
      <c r="D182" s="31"/>
      <c r="E182" s="23" t="n">
        <f aca="false">E179+A182+B182+A185</f>
        <v>53418.5346438654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</f>
        <v>957.5372352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3057.5272352</v>
      </c>
      <c r="C191" s="14"/>
      <c r="D191" s="14"/>
      <c r="E191" s="23" t="n">
        <f aca="false">H148</f>
        <v>1000.01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1418.14654166667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1548.85524379298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625.91790057485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2022-11-18T16:40:03Z</dcterms:modified>
  <cp:revision>162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