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<sst xmlns="http://schemas.openxmlformats.org/spreadsheetml/2006/main" count="32029" uniqueCount="384">
  <si>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</si>
  <si>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</si>
  <si>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</si>
  <si>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</si>
  <si>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</si>
  <si>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</si>
  <si>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</si>
  <si>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</si>
  <si>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</si>
  <si>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</si>
  <si>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</si>
  <si>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</si>
  <si>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</si>
  <si>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</si>
  <si>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</si>
  <si>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</si>
  <si>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</si>
  <si>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</si>
  <si>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</si>
  <si>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</si>
  <si>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</si>
  <si>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</si>
  <si>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</si>
  <si>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</si>
  <si>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</si>
  <si>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</si>
  <si>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</si>
  <si>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</si>
  <si>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</si>
  <si>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</si>
  <si>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</si>
  <si>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</si>
  <si>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</si>
  <si>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</si>
  <si>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</si>
  <si>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</si>
  <si>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</si>
  <si>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</si>
  <si>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</si>
  <si>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</si>
  <si>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</si>
  <si>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</si>
  <si>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</si>
  <si>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</si>
  <si>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</si>
  <si>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</si>
  <si>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</si>
  <si>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</si>
  <si>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</si>
  <si>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</si>
  <si>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</si>
  <si>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</si>
  <si>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</si>
  <si>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</si>
  <si>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</si>
  <si>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</si>
  <si>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</si>
  <si>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</si>
  <si>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</si>
  <si>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</si>
  <si>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</si>
  <si>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</si>
  <si>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</si>
  <si>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</si>
  <si>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</si>
  <si>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</si>
  <si>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</si>
  <si>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</si>
  <si>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</si>
  <si>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</si>
  <si>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</si>
  <si>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</si>
  <si>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</si>
  <si>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</si>
  <si>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</si>
  <si>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</si>
  <si>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</si>
  <si>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</si>
  <si>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</si>
  <si>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</si>
  <si>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</si>
  <si>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</si>
  <si>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</si>
  <si>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</si>
  <si>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</si>
  <si>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</si>
  <si>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</si>
  <si>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</si>
  <si>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</si>
  <si>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</si>
  <si>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</si>
  <si>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</si>
  <si>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</si>
  <si>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</si>
  <si>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</si>
  <si>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</si>
  <si>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</si>
  <si>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</si>
  <si>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</si>
  <si>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</si>
  <si>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</si>
  <si>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</si>
  <si>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</si>
  <si>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</si>
  <si>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</si>
  <si>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</si>
  <si>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</si>
  <si>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</si>
  <si>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</si>
  <si>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</si>
  <si>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</si>
  <si>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</si>
  <si>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</si>
  <si>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</si>
  <si>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</si>
  <si>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</si>
  <si>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</si>
  <si>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</si>
  <si>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</si>
  <si>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</si>
  <si>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</si>
  <si>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</si>
  <si>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</si>
  <si>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</si>
  <si>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</si>
  <si>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</si>
  <si>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</si>
  <si>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</si>
  <si>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</si>
  <si>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</si>
  <si>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</si>
  <si>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</si>
  <si>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</si>
  <si>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</si>
  <si>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</si>
  <si>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</si>
  <si>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</si>
  <si>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</si>
  <si>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</si>
  <si>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</si>
  <si>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</si>
  <si>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</si>
  <si>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</si>
  <si>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</si>
  <si>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</si>
  <si>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</si>
  <si>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</si>
  <si>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</si>
  <si>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</si>
  <si>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</si>
  <si>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</si>
  <si>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</si>
  <si>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</si>
  <si>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</si>
  <si>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</si>
  <si>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</si>
  <si>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</si>
  <si>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</si>
  <si>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</si>
  <si>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</si>
  <si>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</si>
  <si>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</si>
  <si>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</si>
  <si>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</si>
  <si>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</si>
  <si>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</si>
  <si>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</si>
  <si>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</si>
  <si>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</si>
  <si>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</si>
  <si>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</si>
  <si>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</si>
  <si>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</si>
  <si>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</si>
  <si>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</si>
  <si>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</si>
  <si>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</si>
  <si>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</si>
  <si>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</si>
  <si>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</si>
  <si>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</si>
  <si>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</si>
  <si>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</si>
  <si>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</si>
  <si>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</si>
  <si>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</si>
  <si>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</si>
  <si>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</si>
  <si>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</si>
  <si>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</si>
  <si>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</si>
  <si>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</si>
  <si>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</si>
  <si>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</si>
  <si>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</si>
  <si>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</si>
  <si>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</si>
  <si>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</si>
  <si>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</si>
  <si>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</si>
  <si>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</si>
  <si>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</si>
  <si>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</si>
  <si>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</si>
  <si>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</si>
  <si>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</si>
  <si>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</si>
  <si>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</si>
  <si>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</si>
  <si>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</si>
  <si>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</si>
  <si>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</si>
  <si>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</si>
  <si>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</si>
  <si>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</si>
  <si>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</si>
  <si>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</si>
  <si>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</si>
  <si>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</si>
  <si>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</si>
  <si>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</si>
  <si>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</si>
  <si>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</si>
  <si>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</si>
  <si>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</si>
  <si>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</si>
  <si>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</si>
  <si>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</si>
  <si>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</si>
  <si>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</si>
  <si>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</si>
  <si>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107.00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</si>
  <si>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</si>
  <si>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</si>
  <si>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</si>
  <si>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</si>
  <si>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</si>
  <si>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</si>
  <si>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</si>
  <si>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</si>
  <si>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</si>
  <si>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</si>
  <si>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</si>
  <si>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</si>
  <si>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</si>
  <si>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</si>
  <si>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</si>
  <si>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</si>
  <si>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</si>
  <si>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</si>
  <si>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</si>
  <si>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</si>
  <si>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</si>
  <si>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</si>
  <si>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</si>
  <si>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</si>
  <si>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</si>
  <si>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</si>
  <si>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</si>
  <si>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</si>
  <si>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</si>
  <si>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</si>
  <si>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</si>
  <si>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</si>
  <si>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</si>
  <si>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</si>
  <si>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</si>
  <si>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</si>
  <si>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</si>
  <si>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</si>
  <si>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</si>
  <si>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</si>
  <si>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</si>
  <si>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</si>
  <si>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</si>
  <si>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</si>
  <si>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</si>
  <si>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</si>
  <si>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</si>
  <si>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</si>
  <si>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</si>
  <si>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</si>
  <si>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</si>
  <si>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</si>
  <si>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</si>
  <si>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</si>
  <si>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</si>
  <si>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</si>
  <si>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</si>
  <si>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</si>
  <si>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</si>
  <si>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</si>
  <si>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</si>
  <si>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</si>
  <si>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</si>
  <si>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</si>
  <si>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</si>
  <si>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</si>
  <si>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</si>
  <si>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</si>
  <si>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</si>
  <si>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</si>
  <si>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</si>
  <si>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</si>
  <si>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</si>
  <si>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</si>
  <si>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</si>
  <si>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</si>
  <si>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</si>
  <si>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</si>
  <si>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</si>
  <si>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</si>
  <si>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</si>
  <si>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</si>
  <si>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</si>
  <si>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</si>
  <si>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</si>
  <si>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</si>
  <si>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</si>
  <si>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</si>
  <si>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</si>
  <si>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</si>
  <si>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</si>
  <si>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</si>
  <si>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</si>
  <si>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</si>
  <si>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</si>
  <si>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</si>
  <si>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</si>
  <si>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</si>
  <si>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</si>
  <si>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</si>
  <si>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</si>
  <si>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</si>
  <si>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</si>
  <si>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</si>
  <si>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</si>
  <si>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</si>
  <si>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</si>
  <si>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</si>
  <si>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</si>
  <si>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</si>
  <si>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</si>
  <si>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</si>
  <si>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</si>
  <si>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</si>
  <si>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</si>
  <si>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</si>
  <si>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</si>
  <si>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</si>
  <si>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</si>
  <si>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</si>
  <si>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</si>
  <si>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</si>
  <si>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</si>
  <si>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</si>
  <si>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</si>
  <si>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</si>
  <si>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</si>
  <si>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</si>
  <si>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</si>
  <si>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</si>
  <si>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</si>
  <si>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</si>
  <si>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</si>
  <si>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</si>
  <si>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</si>
  <si>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</si>
  <si>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Monthly Finance Payment</t>
  </si>
  <si>
    <t xml:space="preserve">Holding Finance Charges</t>
  </si>
  <si>
    <t xml:space="preserve">Holding Balance Payable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</si>
  <si>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</si>
  <si>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</si>
  <si>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</si>
  <si>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</si>
  <si>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</si>
  <si>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</si>
  <si>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</si>
  <si>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</si>
  <si>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22458.33</t>
  </si>
  <si>
    <t xml:space="preserve">OTR Calculation</t>
  </si>
  <si>
    <t xml:space="preserve">296.00</t>
  </si>
  <si>
    <t xml:space="preserve">17770.00</t>
  </si>
  <si>
    <t xml:space="preserve">RFL included?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</si>
</sst>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2.47"/>
    <col collapsed="false" customWidth="true" hidden="false" outlineLevel="0" max="14" min="14" style="1" width="20.93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13395.9613806795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12603.3882001204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1218.90558006177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13407.9613806795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13407.9613806795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1218.90558006177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1218.90558006177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23949.996</v>
      </c>
      <c r="C130" s="117" t="n">
        <v>21875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23949.996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23949.996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23949.996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23949.996</v>
      </c>
      <c r="C134" s="129" t="n">
        <f aca="false">C130-C133</f>
        <v>21875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19958.33</v>
      </c>
      <c r="H144" s="150" t="n">
        <f aca="false">C134+E134+G134+H137</f>
        <v>21875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3991.666</v>
      </c>
      <c r="H146" s="33" t="n">
        <f aca="false">(H144+H145)*20%</f>
        <v>4375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23949.996</v>
      </c>
      <c r="H150" s="154" t="n">
        <f aca="false">(H144+H145+H148+H149+H146)-H147</f>
        <v>26250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23949.996</v>
      </c>
      <c r="H156" s="161" t="n">
        <f aca="false">H150-((H153*1.2)+(H154*1.2)+(H155*1.2)+(H151*1.2))</f>
        <v>26250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26250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1218.90558006177</v>
      </c>
      <c r="B176" s="174" t="n">
        <f aca="false">B103</f>
        <v>0</v>
      </c>
      <c r="C176" s="171"/>
      <c r="D176" s="171"/>
      <c r="E176" s="174" t="n">
        <f aca="false">B105</f>
        <v>1218.90558006177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21875</v>
      </c>
      <c r="B182" s="99" t="n">
        <f aca="false">H146</f>
        <v>4375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26250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26250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-6842.0386193205</v>
      </c>
      <c r="B191" s="99" t="str">
        <f aca="false">B123</f>
        <v>239.99</v>
      </c>
      <c r="C191" s="99"/>
      <c r="D191" s="23"/>
      <c r="E191" s="99" t="n">
        <f aca="false">E188+A191+B191+A194</f>
        <v>19657.9513806795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109.375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209.366666666667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1218.90558006177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1218.90558006177</v>
      </c>
      <c r="B221" s="174" t="n">
        <f aca="false">B176</f>
        <v>0</v>
      </c>
      <c r="C221" s="171"/>
      <c r="D221" s="171"/>
      <c r="E221" s="174" t="n">
        <f aca="false">E176</f>
        <v>1218.90558006177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21875</v>
      </c>
      <c r="B224" s="99" t="n">
        <f aca="false">B182</f>
        <v>4375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26250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26250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-6842.0386193205</v>
      </c>
      <c r="B233" s="99" t="str">
        <f aca="false">B191</f>
        <v>239.99</v>
      </c>
      <c r="C233" s="99"/>
      <c r="D233" s="109"/>
      <c r="E233" s="99" t="n">
        <f aca="false">E191</f>
        <v>19657.9513806795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1218.90558006177</v>
      </c>
      <c r="B239" s="99" t="n">
        <f aca="false">B176</f>
        <v>0</v>
      </c>
      <c r="C239" s="183"/>
      <c r="D239" s="183"/>
      <c r="E239" s="99" t="n">
        <f aca="false">E176</f>
        <v>1218.90558006177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109.375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2126.03666666666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-31.2583333333333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13407.9613806795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-31.2583333333333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4.23"/>
    <col collapsed="false" customWidth="true" hidden="false" outlineLevel="0" max="14" min="14" style="1" width="16.72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20500</v>
      </c>
      <c r="B37" s="32"/>
      <c r="C37" s="41" t="s">
        <v>45</v>
      </c>
      <c r="D37" s="41"/>
      <c r="E37" s="32"/>
      <c r="F37" s="43" t="n">
        <f aca="false">A37-C37</f>
        <v>19500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258.333333333333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291.666666666667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294.333333333333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244.333333333333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294.333333333333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14269.273195982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294.333333333333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294.333333333333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294.333333333333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19500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13281.8018648348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1298.29756327109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14281.273195982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14281.273195982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1298.29756327109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1363.75210872564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24600</v>
      </c>
      <c r="C130" s="117" t="n">
        <v>22500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24600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24600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24600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24600</v>
      </c>
      <c r="C134" s="129" t="n">
        <f aca="false">C130-C133</f>
        <v>22500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20500</v>
      </c>
      <c r="H144" s="150" t="n">
        <f aca="false">C134+E134+G134+H137</f>
        <v>22500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4100</v>
      </c>
      <c r="H146" s="33" t="n">
        <f aca="false">(H144+H145)*20%</f>
        <v>4500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24600</v>
      </c>
      <c r="H150" s="154" t="n">
        <f aca="false">(H144+H145+H148+H149+H146)-H147</f>
        <v>27000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24600</v>
      </c>
      <c r="H156" s="161" t="n">
        <f aca="false">H150-((H153*1.2)+(H154*1.2)+(H155*1.2)+(H151*1.2))</f>
        <v>27000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2000</v>
      </c>
      <c r="I157" s="1" t="n">
        <f aca="false">(H157-G90)/1.2</f>
        <v>1666.66666666667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27000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1298.29756327109</v>
      </c>
      <c r="B176" s="174" t="n">
        <f aca="false">B103</f>
        <v>65.4545454545455</v>
      </c>
      <c r="C176" s="171"/>
      <c r="D176" s="171"/>
      <c r="E176" s="174" t="n">
        <f aca="false">B105</f>
        <v>1363.75210872564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22500</v>
      </c>
      <c r="B182" s="99" t="n">
        <f aca="false">H146</f>
        <v>4500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27000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27000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-6718.726804018</v>
      </c>
      <c r="B191" s="99" t="str">
        <f aca="false">B123</f>
        <v>199.99</v>
      </c>
      <c r="C191" s="99"/>
      <c r="D191" s="23"/>
      <c r="E191" s="99" t="n">
        <f aca="false">E188+A191+B191+A194</f>
        <v>20491.263195982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112.5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212.49</v>
      </c>
      <c r="C200" s="130"/>
      <c r="D200" s="130"/>
      <c r="E200" s="99" t="n">
        <f aca="false">H157</f>
        <v>2000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1363.75210872564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1298.29756327109</v>
      </c>
      <c r="B221" s="174" t="n">
        <f aca="false">B176</f>
        <v>65.4545454545455</v>
      </c>
      <c r="C221" s="171"/>
      <c r="D221" s="171"/>
      <c r="E221" s="174" t="n">
        <f aca="false">E176</f>
        <v>1363.75210872564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22500</v>
      </c>
      <c r="B224" s="99" t="n">
        <f aca="false">B182</f>
        <v>4500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27000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27000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-6718.726804018</v>
      </c>
      <c r="B233" s="99" t="str">
        <f aca="false">B191</f>
        <v>199.99</v>
      </c>
      <c r="C233" s="99"/>
      <c r="D233" s="109"/>
      <c r="E233" s="99" t="n">
        <f aca="false">E191</f>
        <v>20491.263195982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1298.29756327109</v>
      </c>
      <c r="B239" s="99" t="n">
        <f aca="false">B176</f>
        <v>65.4545454545455</v>
      </c>
      <c r="C239" s="183"/>
      <c r="D239" s="183"/>
      <c r="E239" s="99" t="n">
        <f aca="false">E176</f>
        <v>1363.75210872564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2000</v>
      </c>
      <c r="B249" s="99" t="n">
        <f aca="false">B197</f>
        <v>112.5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2212.49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-35.01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14281.273195982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-35.01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247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16950.4342312353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130" t="n">
        <f aca="false">(B82/((1+B84)^(B85+1)))</f>
        <v>4950.38529500718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130" t="n">
        <f aca="false">((1-(1/((1+B84)^B85)))/B84)</f>
        <v>26.6800219733353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14549.6147049928</v>
      </c>
      <c r="C88" s="130" t="n">
        <f aca="false">B81-B86</f>
        <v>14549.6147049928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545.337433362465</v>
      </c>
      <c r="C89" s="130" t="n">
        <f aca="false">(B88/B87)</f>
        <v>545.337433362465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17450.7978675989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17450.7978675989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545.337433362465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545.337433362465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0.137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545.337433362465</v>
      </c>
      <c r="B167" s="174" t="n">
        <f aca="false">B94</f>
        <v>0</v>
      </c>
      <c r="C167" s="171"/>
      <c r="D167" s="171"/>
      <c r="E167" s="174" t="n">
        <f aca="false">B96</f>
        <v>545.337433362465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-2349.20213240111</v>
      </c>
      <c r="B182" s="99" t="str">
        <f aca="false">B114</f>
        <v>239.99</v>
      </c>
      <c r="C182" s="99"/>
      <c r="D182" s="23"/>
      <c r="E182" s="99" t="n">
        <f aca="false">E179+A182+B182+A185</f>
        <v>24900.7878675989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210.9375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310.929166666667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545.337433362465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545.337433362465</v>
      </c>
      <c r="B212" s="174" t="n">
        <f aca="false">B167</f>
        <v>0</v>
      </c>
      <c r="C212" s="171"/>
      <c r="D212" s="171"/>
      <c r="E212" s="174" t="n">
        <f aca="false">E167</f>
        <v>545.337433362465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-2349.20213240111</v>
      </c>
      <c r="B224" s="99" t="str">
        <f aca="false">B182</f>
        <v>239.99</v>
      </c>
      <c r="C224" s="99"/>
      <c r="D224" s="109"/>
      <c r="E224" s="99" t="n">
        <f aca="false">E182</f>
        <v>24900.7878675989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545.337433362465</v>
      </c>
      <c r="B230" s="99" t="n">
        <f aca="false">B167</f>
        <v>0</v>
      </c>
      <c r="C230" s="183"/>
      <c r="D230" s="183"/>
      <c r="E230" s="99" t="n">
        <f aca="false">E167</f>
        <v>545.337433362465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210.9375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2310.92916666667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-153.133333333333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-153.133333333333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130" t="n">
        <f aca="false">B81-B86</f>
        <v>13281.8018648348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130" t="n">
        <f aca="false">(B88/B87)</f>
        <v>1298.29756327109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1298.29756327109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1298.29756327109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1298.29756327109</v>
      </c>
      <c r="B167" s="174" t="str">
        <f aca="false">B94</f>
        <v>0</v>
      </c>
      <c r="C167" s="171"/>
      <c r="D167" s="171"/>
      <c r="E167" s="174" t="n">
        <f aca="false">B96</f>
        <v>1298.29756327109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-5518.726804018</v>
      </c>
      <c r="B182" s="99" t="str">
        <f aca="false">B114</f>
        <v>199.99</v>
      </c>
      <c r="C182" s="99"/>
      <c r="D182" s="23"/>
      <c r="E182" s="99" t="n">
        <f aca="false">E179+A182+B182+A185</f>
        <v>21691.263195982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112.5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212.49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1298.29756327109</v>
      </c>
      <c r="B212" s="174" t="str">
        <f aca="false">B167</f>
        <v>0</v>
      </c>
      <c r="C212" s="171"/>
      <c r="D212" s="171"/>
      <c r="E212" s="174" t="n">
        <f aca="false">E167</f>
        <v>1298.29756327109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-5518.726804018</v>
      </c>
      <c r="B224" s="99" t="str">
        <f aca="false">B182</f>
        <v>199.99</v>
      </c>
      <c r="C224" s="99"/>
      <c r="D224" s="109"/>
      <c r="E224" s="99" t="n">
        <f aca="false">E182</f>
        <v>21691.263195982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1298.29756327109</v>
      </c>
      <c r="B230" s="99" t="str">
        <f aca="false">B167</f>
        <v>0</v>
      </c>
      <c r="C230" s="183"/>
      <c r="D230" s="183"/>
      <c r="E230" s="99" t="n">
        <f aca="false">E167</f>
        <v>1298.29756327109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2212.49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85" zoomScaleNormal="8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130" t="n">
        <f aca="false">B81-B86</f>
        <v>13145.0582001204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130" t="n">
        <f aca="false">(B88/B87)</f>
        <v>1271.29185707463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1271.29185707463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1271.29185707463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1271.29185707463</v>
      </c>
      <c r="B167" s="174" t="str">
        <f aca="false">B94</f>
        <v>0</v>
      </c>
      <c r="C167" s="171"/>
      <c r="D167" s="171"/>
      <c r="E167" s="174" t="n">
        <f aca="false">B96</f>
        <v>1271.29185707463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-5815.78957217909</v>
      </c>
      <c r="B182" s="99" t="str">
        <f aca="false">B114</f>
        <v>239.99</v>
      </c>
      <c r="C182" s="99"/>
      <c r="D182" s="23"/>
      <c r="E182" s="99" t="n">
        <f aca="false">E179+A182+B182+A185</f>
        <v>21434.2004278209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112.5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212.491666666667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1271.29185707463</v>
      </c>
      <c r="B212" s="174" t="str">
        <f aca="false">B167</f>
        <v>0</v>
      </c>
      <c r="C212" s="171"/>
      <c r="D212" s="171"/>
      <c r="E212" s="174" t="n">
        <f aca="false">E167</f>
        <v>1271.29185707463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-5815.78957217909</v>
      </c>
      <c r="B224" s="99" t="str">
        <f aca="false">B182</f>
        <v>239.99</v>
      </c>
      <c r="C224" s="99"/>
      <c r="D224" s="109"/>
      <c r="E224" s="99" t="n">
        <f aca="false">E182</f>
        <v>21434.2004278209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1271.29185707463</v>
      </c>
      <c r="B230" s="99" t="str">
        <f aca="false">B167</f>
        <v>0</v>
      </c>
      <c r="C230" s="183"/>
      <c r="D230" s="183"/>
      <c r="E230" s="99" t="n">
        <f aca="false">E167</f>
        <v>1271.29185707463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2212.49166666667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-35.0083333333333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-35.0083333333333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202" colorId="64" zoomScale="85" zoomScaleNormal="8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130" t="n">
        <f aca="false">B81-B86</f>
        <v>13145.0582001204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130" t="n">
        <f aca="false">(B88/B87)</f>
        <v>1271.29185707463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1271.29185707463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1271.29185707463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1271.29185707463</v>
      </c>
      <c r="B167" s="174" t="str">
        <f aca="false">B94</f>
        <v>0</v>
      </c>
      <c r="C167" s="171"/>
      <c r="D167" s="171"/>
      <c r="E167" s="174" t="n">
        <f aca="false">B96</f>
        <v>1271.29185707463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-5815.78957217909</v>
      </c>
      <c r="B182" s="99" t="str">
        <f aca="false">B114</f>
        <v>199.99</v>
      </c>
      <c r="C182" s="99"/>
      <c r="D182" s="23"/>
      <c r="E182" s="99" t="n">
        <f aca="false">E179+A182+B182+A185</f>
        <v>21394.2004278209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112.5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212.49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1271.29185707463</v>
      </c>
      <c r="B212" s="174" t="str">
        <f aca="false">B167</f>
        <v>0</v>
      </c>
      <c r="C212" s="171"/>
      <c r="D212" s="171"/>
      <c r="E212" s="174" t="n">
        <f aca="false">E167</f>
        <v>1271.29185707463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-5815.78957217909</v>
      </c>
      <c r="B224" s="99" t="str">
        <f aca="false">B182</f>
        <v>199.99</v>
      </c>
      <c r="C224" s="99"/>
      <c r="D224" s="109"/>
      <c r="E224" s="99" t="n">
        <f aca="false">E182</f>
        <v>21394.2004278209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1271.29185707463</v>
      </c>
      <c r="B230" s="99" t="str">
        <f aca="false">B167</f>
        <v>0</v>
      </c>
      <c r="C230" s="183"/>
      <c r="D230" s="183"/>
      <c r="E230" s="99" t="n">
        <f aca="false">E167</f>
        <v>1271.29185707463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2212.49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211" t="n">
        <v>10000</v>
      </c>
      <c r="D64" s="290" t="n">
        <f aca="false">B64</f>
        <v>1722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246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10872.8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76.7543364259782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10949.554336426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912.462861368832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984.462861368832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912.462861368832</v>
      </c>
      <c r="B128" s="320" t="n">
        <f aca="false">IF(A105="YES", B89, 0)</f>
        <v>72</v>
      </c>
      <c r="C128" s="325"/>
      <c r="D128" s="320" t="n">
        <f aca="false">B91</f>
        <v>984.462861368832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8212.16575231948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8860.16575231949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912.462861368832</v>
      </c>
      <c r="B137" s="38" t="n">
        <f aca="false">IF(A105="YES", B89, 0)</f>
        <v>72</v>
      </c>
      <c r="C137" s="316"/>
      <c r="D137" s="38" t="n">
        <f aca="false">B91</f>
        <v>984.462861368832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984.462861368832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912.462861368832</v>
      </c>
      <c r="B171" s="354" t="n">
        <f aca="false">IF(A105="YES", B89, 0)</f>
        <v>72</v>
      </c>
      <c r="C171" s="357"/>
      <c r="D171" s="354" t="n">
        <f aca="false">B91</f>
        <v>984.462861368832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8212.16575231948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8860.16575231949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912.462861368832</v>
      </c>
      <c r="B180" s="99" t="n">
        <f aca="false">IF(A105="YES", B89, 0)</f>
        <v>72</v>
      </c>
      <c r="C180" s="352"/>
      <c r="D180" s="99" t="n">
        <f aca="false">B91</f>
        <v>984.462861368832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246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757.99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1722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246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1935.99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1722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246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211" t="n">
        <v>10000</v>
      </c>
      <c r="D64" s="290" t="n">
        <f aca="false">B64</f>
        <v>1722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246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9060.66666666667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76.7543364259782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9137.42100309265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761.451750257721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821.451750257721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761.451750257721</v>
      </c>
      <c r="B128" s="320" t="n">
        <f aca="false">IF(A105="YES", B89, 0)</f>
        <v>60</v>
      </c>
      <c r="C128" s="325"/>
      <c r="D128" s="320" t="n">
        <f aca="false">B91</f>
        <v>821.451750257721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6853.06575231948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7393.06575231948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761.451750257721</v>
      </c>
      <c r="B137" s="38" t="n">
        <f aca="false">IF(A105="YES", B89, 0)</f>
        <v>60</v>
      </c>
      <c r="C137" s="316"/>
      <c r="D137" s="38" t="n">
        <f aca="false">B91</f>
        <v>821.451750257721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821.451750257721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761.451750257721</v>
      </c>
      <c r="B171" s="354" t="n">
        <f aca="false">IF(A105="YES", B89, 0)</f>
        <v>60</v>
      </c>
      <c r="C171" s="357"/>
      <c r="D171" s="354" t="n">
        <f aca="false">B91</f>
        <v>821.451750257721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6853.06575231948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7393.06575231948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761.451750257721</v>
      </c>
      <c r="B180" s="99" t="n">
        <f aca="false">IF(A105="YES", B89, 0)</f>
        <v>60</v>
      </c>
      <c r="C180" s="352"/>
      <c r="D180" s="99" t="n">
        <f aca="false">B91</f>
        <v>821.451750257721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246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757.99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1722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246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1935.99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1722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246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45119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4100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258.333333333333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241.666666666667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244.333333333333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244.333333333333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244.333333333333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244.333333333333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371.783611111111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244.333333333333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8872.084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62.6306857603873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8934.71468576039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744.559557146699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744.559557146699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744.559557146699</v>
      </c>
      <c r="B134" s="320" t="n">
        <f aca="false">IF(A111="YES", B95, 0)</f>
        <v>0</v>
      </c>
      <c r="C134" s="324"/>
      <c r="D134" s="320" t="n">
        <f aca="false">B97</f>
        <v>744.559557146699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744.559557146699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744.559557146699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744.559557146699</v>
      </c>
      <c r="B143" s="38" t="n">
        <f aca="false">IF(A111="YES", B95, 0)</f>
        <v>0</v>
      </c>
      <c r="C143" s="316"/>
      <c r="D143" s="38" t="n">
        <f aca="false">B97</f>
        <v>744.559557146699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4100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745.991666666667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744.559557146699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744.559557146699</v>
      </c>
      <c r="B177" s="354" t="n">
        <f aca="false">IF(A111="YES", B95, 0)</f>
        <v>0</v>
      </c>
      <c r="C177" s="356"/>
      <c r="D177" s="354" t="n">
        <f aca="false">A177+B177</f>
        <v>744.559557146699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744.559557146699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744.559557146699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744.559557146699</v>
      </c>
      <c r="B186" s="99" t="n">
        <f aca="false">IF(A111="YES", B95, 0)</f>
        <v>0</v>
      </c>
      <c r="C186" s="352"/>
      <c r="D186" s="99" t="n">
        <f aca="false">B97</f>
        <v>744.559557146699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745.991666666667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2930.81166666667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2930.81166666667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62.6306857603873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45119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4100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258.333333333333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291.666666666667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294.333333333333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244.333333333333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294.333333333333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371.783611111111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244.333333333333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7393.40333333333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62.6306857603873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7456.03401909372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621.33616825781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686.33616825781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621.33616825781</v>
      </c>
      <c r="B134" s="320" t="n">
        <f aca="false">IF(A111="YES", B95, 0)</f>
        <v>65</v>
      </c>
      <c r="C134" s="325"/>
      <c r="D134" s="320" t="n">
        <f aca="false">B97</f>
        <v>686.33616825781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621.33616825781</v>
      </c>
      <c r="C137" s="316"/>
      <c r="D137" s="38" t="n">
        <f aca="false">IF(A111="YES", B95*B63, 0)</f>
        <v>65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686.33616825781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621.33616825781</v>
      </c>
      <c r="B143" s="38" t="n">
        <f aca="false">IF(A111="YES", B95, 0)</f>
        <v>65</v>
      </c>
      <c r="C143" s="316"/>
      <c r="D143" s="38" t="n">
        <f aca="false">B97</f>
        <v>686.33616825781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246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4100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686.33616825781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621.33616825781</v>
      </c>
      <c r="B177" s="354" t="n">
        <f aca="false">IF(A111="YES", B95, 0)</f>
        <v>65</v>
      </c>
      <c r="C177" s="357"/>
      <c r="D177" s="354" t="n">
        <f aca="false">B91</f>
        <v>7393.40333333333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621.33616825781</v>
      </c>
      <c r="C180" s="352"/>
      <c r="D180" s="99" t="n">
        <f aca="false">IF(A111="YES", B95*B63, 0)</f>
        <v>65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686.33616825781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621.33616825781</v>
      </c>
      <c r="B186" s="99" t="n">
        <f aca="false">IF(A111="YES", B95, 0)</f>
        <v>65</v>
      </c>
      <c r="C186" s="352"/>
      <c r="D186" s="99" t="n">
        <f aca="false">B97</f>
        <v>686.33616825781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763.99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3110.81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3110.81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62.6306857603873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2382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198.5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8394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71.1068979427188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8465.10689794272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705.42557482856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705.42557482856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705.42557482856</v>
      </c>
      <c r="B134" s="320" t="n">
        <f aca="false">IF(A111="YES", B95, 0)</f>
        <v>0</v>
      </c>
      <c r="C134" s="325"/>
      <c r="D134" s="320" t="n">
        <f aca="false">B97</f>
        <v>705.42557482856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705.42557482856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705.42557482856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705.42557482856</v>
      </c>
      <c r="B143" s="38" t="n">
        <f aca="false">IF(A111="YES", B95, 0)</f>
        <v>0</v>
      </c>
      <c r="C143" s="316"/>
      <c r="D143" s="38" t="n">
        <f aca="false">B97</f>
        <v>705.42557482856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99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705.42557482856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705.42557482856</v>
      </c>
      <c r="B177" s="354" t="n">
        <f aca="false">IF(A111="YES", B95, 0)</f>
        <v>0</v>
      </c>
      <c r="C177" s="357"/>
      <c r="D177" s="354" t="n">
        <f aca="false">B91</f>
        <v>8394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705.42557482856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705.42557482856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705.42557482856</v>
      </c>
      <c r="B186" s="99" t="n">
        <f aca="false">IF(A111="YES", B95, 0)</f>
        <v>0</v>
      </c>
      <c r="C186" s="352"/>
      <c r="D186" s="99" t="n">
        <f aca="false">B97</f>
        <v>705.42557482856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345.99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1575.99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1575.99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71.1068979427188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2679.91666666667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223.326388888889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10430.3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73.6305970149254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10503.9305970149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875.327549751244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875.327549751244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875.327549751244</v>
      </c>
      <c r="B134" s="320" t="n">
        <f aca="false">IF(A111="YES", B95, 0)</f>
        <v>0</v>
      </c>
      <c r="C134" s="325"/>
      <c r="D134" s="320" t="n">
        <f aca="false">B97</f>
        <v>875.327549751244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875.327549751244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875.327549751244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875.327549751244</v>
      </c>
      <c r="B143" s="38" t="n">
        <f aca="false">IF(A111="YES", B95, 0)</f>
        <v>0</v>
      </c>
      <c r="C143" s="316"/>
      <c r="D143" s="38" t="n">
        <f aca="false">B97</f>
        <v>875.327549751244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875.327549751244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875.327549751244</v>
      </c>
      <c r="B177" s="354" t="n">
        <f aca="false">IF(A111="YES", B95, 0)</f>
        <v>0</v>
      </c>
      <c r="C177" s="357"/>
      <c r="D177" s="354" t="n">
        <f aca="false">B97</f>
        <v>875.327549751244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875.327549751244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875.327549751244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875.327549751244</v>
      </c>
      <c r="B186" s="99" t="n">
        <f aca="false">IF(A111="YES", B95, 0)</f>
        <v>0</v>
      </c>
      <c r="C186" s="352"/>
      <c r="D186" s="99" t="n">
        <f aca="false">B97</f>
        <v>875.327549751244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345.991666666667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1575.99166666667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9358.58333333333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9437.86136883152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786.488447402627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851.488447402627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786.488447402627</v>
      </c>
      <c r="B134" s="320" t="n">
        <f aca="false">IF(A111="YES", B95, 0)</f>
        <v>65</v>
      </c>
      <c r="C134" s="325"/>
      <c r="D134" s="320" t="n">
        <f aca="false">B97</f>
        <v>851.488447402627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786.488447402627</v>
      </c>
      <c r="C137" s="316"/>
      <c r="D137" s="38" t="n">
        <f aca="false">IF(A111="YES", B95*B63, 0)</f>
        <v>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851.488447402627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786.488447402627</v>
      </c>
      <c r="B143" s="38" t="n">
        <f aca="false">IF(A111="YES", B95, 0)</f>
        <v>65</v>
      </c>
      <c r="C143" s="316"/>
      <c r="D143" s="38" t="n">
        <f aca="false">B97</f>
        <v>851.488447402627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851.488447402627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786.488447402627</v>
      </c>
      <c r="B177" s="354" t="n">
        <f aca="false">IF(A111="YES", B95, 0)</f>
        <v>65</v>
      </c>
      <c r="C177" s="357"/>
      <c r="D177" s="354" t="n">
        <f aca="false">B91</f>
        <v>9358.58333333333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786.488447402627</v>
      </c>
      <c r="C180" s="352"/>
      <c r="D180" s="99" t="n">
        <f aca="false">IF(A111="YES", B95*B63,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851.488447402627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786.488447402627</v>
      </c>
      <c r="B186" s="99" t="n">
        <f aca="false">IF(A111="YES", B95, 0)</f>
        <v>65</v>
      </c>
      <c r="C186" s="352"/>
      <c r="D186" s="99" t="n">
        <f aca="false">B97</f>
        <v>851.488447402627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763.99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1995.99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3048.66666666667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254.055555555556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9060.66666666667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76.7543364259782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9137.42100309265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761.451750257721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761.451750257721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761.451750257721</v>
      </c>
      <c r="B134" s="320" t="n">
        <f aca="false">IF(A111="YES", B95, 0)</f>
        <v>0</v>
      </c>
      <c r="C134" s="325"/>
      <c r="D134" s="320" t="n">
        <f aca="false">B97</f>
        <v>761.451750257721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6853.06575231948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6853.06575231948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761.451750257721</v>
      </c>
      <c r="B143" s="38" t="n">
        <f aca="false">IF(A111="YES", B95, 0)</f>
        <v>0</v>
      </c>
      <c r="C143" s="316"/>
      <c r="D143" s="38" t="n">
        <f aca="false">B97</f>
        <v>761.451750257721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761.451750257721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761.451750257721</v>
      </c>
      <c r="B177" s="354" t="n">
        <f aca="false">IF(A111="YES", B95, 0)</f>
        <v>0</v>
      </c>
      <c r="C177" s="357"/>
      <c r="D177" s="354" t="n">
        <f aca="false">B91</f>
        <v>9060.66666666667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6853.06575231948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6853.06575231948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761.451750257721</v>
      </c>
      <c r="B186" s="99" t="n">
        <f aca="false">IF(A111="YES", B95, 0)</f>
        <v>0</v>
      </c>
      <c r="C186" s="352"/>
      <c r="D186" s="99" t="n">
        <f aca="false">B97</f>
        <v>761.451750257721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1815.99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2679.91666666667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223.326388888889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10430.3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73.6305970149254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10503.9305970149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875.327549751244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875.327549751244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875.327549751244</v>
      </c>
      <c r="B134" s="320" t="n">
        <f aca="false">IF(A111="YES", B95, 0)</f>
        <v>0</v>
      </c>
      <c r="C134" s="325"/>
      <c r="D134" s="320" t="n">
        <f aca="false">B97</f>
        <v>875.327549751244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875.327549751244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875.327549751244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875.327549751244</v>
      </c>
      <c r="B143" s="38" t="n">
        <f aca="false">IF(A111="YES", B95, 0)</f>
        <v>0</v>
      </c>
      <c r="C143" s="316"/>
      <c r="D143" s="38" t="n">
        <f aca="false">B97</f>
        <v>875.327549751244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875.327549751244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875.327549751244</v>
      </c>
      <c r="B177" s="354" t="n">
        <f aca="false">IF(A111="YES", B95, 0)</f>
        <v>0</v>
      </c>
      <c r="C177" s="357"/>
      <c r="D177" s="354" t="n">
        <f aca="false">B91</f>
        <v>10430.3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875.327549751244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875.327549751244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875.327549751244</v>
      </c>
      <c r="B186" s="99" t="n">
        <f aca="false">IF(A111="YES", B95, 0)</f>
        <v>0</v>
      </c>
      <c r="C186" s="352"/>
      <c r="D186" s="99" t="n">
        <f aca="false">B97</f>
        <v>875.327549751244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345.991666666667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1575.99166666667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8.92</v>
      </c>
      <c r="E32" s="222"/>
      <c r="F32" s="63"/>
      <c r="G32" s="223" t="s">
        <v>241</v>
      </c>
      <c r="H32" s="221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508.92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349</v>
      </c>
      <c r="B41" s="237" t="n">
        <f aca="false">IF(B38="YES", D38+A41, D38)</f>
        <v>508.92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8.92</v>
      </c>
      <c r="I44" s="393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509.92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509.92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9358.58333333333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9437.86136883152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11.596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786.488447402627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798.084447402627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786.488447402627</v>
      </c>
      <c r="B134" s="320" t="n">
        <f aca="false">IF(A111="YES", B95, 0)</f>
        <v>11.596</v>
      </c>
      <c r="C134" s="325"/>
      <c r="D134" s="320" t="n">
        <f aca="false">B97</f>
        <v>798.084447402627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786.488447402627</v>
      </c>
      <c r="C137" s="316"/>
      <c r="D137" s="38" t="n">
        <f aca="false">IF(A111="YES", B95*B63, 0)</f>
        <v>11.596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798.084447402627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786.488447402627</v>
      </c>
      <c r="B143" s="38" t="n">
        <f aca="false">IF(A111="YES", B95, 0)</f>
        <v>11.596</v>
      </c>
      <c r="C143" s="316"/>
      <c r="D143" s="38" t="n">
        <f aca="false">B97</f>
        <v>798.084447402627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2.1408</v>
      </c>
      <c r="H148" s="99" t="n">
        <f aca="false">G108-100</f>
        <v>139.988</v>
      </c>
      <c r="I148" s="99"/>
      <c r="J148" s="99" t="n">
        <f aca="false">(H145+J145+G148+H148)-H151</f>
        <v>1390.98713333333</v>
      </c>
      <c r="K148" s="101"/>
      <c r="L148" s="63"/>
      <c r="M148" s="107" t="n">
        <f aca="false">IF(M111="YES", ((A41*N111)*0.1)*(M133), 0)</f>
        <v>2.1408</v>
      </c>
      <c r="N148" s="99" t="n">
        <f aca="false">M108-100</f>
        <v>99.99</v>
      </c>
      <c r="O148" s="99"/>
      <c r="P148" s="99" t="n">
        <f aca="false">(N145+P145+M148+N148)-N151</f>
        <v>1350.98913333333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749.2012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798.084447402627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786.488447402627</v>
      </c>
      <c r="B177" s="354" t="n">
        <f aca="false">IF(A111="YES", B95, 0)</f>
        <v>11.596</v>
      </c>
      <c r="C177" s="357"/>
      <c r="D177" s="354" t="n">
        <f aca="false">B91</f>
        <v>9358.58333333333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786.488447402627</v>
      </c>
      <c r="C180" s="352"/>
      <c r="D180" s="99" t="n">
        <f aca="false">IF(A111="YES", B95*B63, 0)</f>
        <v>11.596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798.084447402627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786.488447402627</v>
      </c>
      <c r="B186" s="99" t="n">
        <f aca="false">IF(A111="YES", B95, 0)</f>
        <v>11.596</v>
      </c>
      <c r="C186" s="352"/>
      <c r="D186" s="99" t="n">
        <f aca="false">B97</f>
        <v>798.084447402627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3.2112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749.2012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372.102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1848.102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1848.102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32.112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351.616777736605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351.616777736605</v>
      </c>
      <c r="B36" s="228" t="str">
        <f aca="false">IF(B26="YES", K42, "0.00")</f>
        <v>0.00</v>
      </c>
      <c r="C36" s="228"/>
      <c r="D36" s="228"/>
      <c r="E36" s="228" t="n">
        <f aca="false">K31</f>
        <v>13230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35129.6185905299</v>
      </c>
      <c r="N39" s="1" t="n">
        <f aca="false">K39-L39</f>
        <v>-14629.6185905299</v>
      </c>
      <c r="P39" s="208"/>
    </row>
    <row r="40" customFormat="false" ht="17.35" hidden="false" customHeight="false" outlineLevel="0" collapsed="false">
      <c r="A40" s="103" t="n">
        <f aca="false">E36*A45/100</f>
        <v>11025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11025</v>
      </c>
      <c r="L40" s="2" t="n">
        <f aca="false">K39-L39</f>
        <v>-14629.6185905299</v>
      </c>
      <c r="N40" s="1" t="n">
        <f aca="false">N38-N39</f>
        <v>17541.2985905299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9027.62750053148</v>
      </c>
      <c r="L44" s="2"/>
      <c r="P44" s="208"/>
    </row>
    <row r="45" customFormat="false" ht="17.35" hidden="false" customHeight="false" outlineLevel="0" collapsed="false">
      <c r="A45" s="449" t="n">
        <v>30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11472.3724994685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351.616777736605</v>
      </c>
      <c r="L47" s="2" t="n">
        <f aca="false">L49-K42</f>
        <v>800</v>
      </c>
      <c r="M47" s="1" t="n">
        <f aca="false">K47-L47</f>
        <v>-448.383222263395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351.616777736605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351.616777736605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5204.60304471171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204.166666666667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351.616777736605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351.616777736605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351.616777736605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351.616777736605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13230</v>
      </c>
      <c r="C82" s="130"/>
      <c r="D82" s="130"/>
      <c r="E82" s="109"/>
      <c r="F82" s="31" t="s">
        <v>106</v>
      </c>
      <c r="G82" s="33" t="n">
        <f aca="false">IF(A111 = "Yes", A40, 0)</f>
        <v>13230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13230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13230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9385.15904697932</v>
      </c>
      <c r="C86" s="130"/>
      <c r="D86" s="130"/>
      <c r="E86" s="109"/>
      <c r="F86" s="31" t="s">
        <v>110</v>
      </c>
      <c r="G86" s="33" t="n">
        <f aca="false">(G82/((1+G84)^(G85+1)))</f>
        <v>10891.8325793912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8949.66962411474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8949.66962411474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15114.8409530207</v>
      </c>
      <c r="C88" s="130"/>
      <c r="D88" s="130"/>
      <c r="E88" s="109"/>
      <c r="F88" s="31" t="s">
        <v>112</v>
      </c>
      <c r="G88" s="33" t="n">
        <f aca="false">G81-G86</f>
        <v>13608.1674206088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510.365915520842</v>
      </c>
      <c r="C89" s="130"/>
      <c r="D89" s="130"/>
      <c r="E89" s="109"/>
      <c r="F89" s="31" t="s">
        <v>113</v>
      </c>
      <c r="G89" s="33" t="n">
        <f aca="false">(G88/G87)</f>
        <v>427.872997752677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17862.8070432295</v>
      </c>
      <c r="C90" s="130"/>
      <c r="D90" s="130"/>
      <c r="E90" s="109"/>
      <c r="F90" s="31" t="s">
        <v>114</v>
      </c>
      <c r="G90" s="33" t="n">
        <f aca="false">((G89*(G85))+G77)</f>
        <v>14975.5549213437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17862.8070432295</v>
      </c>
      <c r="C92" s="130"/>
      <c r="D92" s="130"/>
      <c r="E92" s="109"/>
      <c r="F92" s="56" t="s">
        <v>116</v>
      </c>
      <c r="G92" s="65" t="n">
        <f aca="false">(G90+G91)</f>
        <v>14975.5549213437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510.365915520842</v>
      </c>
      <c r="C95" s="130"/>
      <c r="D95" s="130"/>
      <c r="E95" s="109"/>
      <c r="F95" s="91" t="s">
        <v>118</v>
      </c>
      <c r="G95" s="92" t="n">
        <f aca="false">G92/(G85)</f>
        <v>427.872997752677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510.365915520842</v>
      </c>
      <c r="C96" s="130"/>
      <c r="D96" s="130"/>
      <c r="E96" s="109"/>
      <c r="F96" s="93" t="s">
        <v>119</v>
      </c>
      <c r="G96" s="94" t="n">
        <f aca="false">G94+G95</f>
        <v>427.872997752677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510.365915520842</v>
      </c>
      <c r="B167" s="174" t="str">
        <f aca="false">B94</f>
        <v>0</v>
      </c>
      <c r="C167" s="171"/>
      <c r="D167" s="171"/>
      <c r="E167" s="174" t="n">
        <f aca="false">B96</f>
        <v>510.365915520842</v>
      </c>
      <c r="F167" s="23"/>
      <c r="G167" s="23" t="n">
        <f aca="false">ROUND(G95, 2)</f>
        <v>427.87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177" t="n">
        <f aca="false">K30</f>
        <v>10000</v>
      </c>
      <c r="C170" s="178"/>
      <c r="D170" s="23"/>
      <c r="E170" s="179" t="n">
        <f aca="false">IF(A111="YES",A40, 0)</f>
        <v>13230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13230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13230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13230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6592.80704322948</v>
      </c>
      <c r="B182" s="99" t="str">
        <f aca="false">B114</f>
        <v>239.99</v>
      </c>
      <c r="C182" s="99"/>
      <c r="D182" s="23"/>
      <c r="E182" s="99" t="n">
        <f aca="false">E179+A182+B182+A185</f>
        <v>31342.7970432295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2239.99</v>
      </c>
      <c r="C185" s="99"/>
      <c r="D185" s="23"/>
      <c r="E185" s="99" t="n">
        <f aca="false">IF(A40=0,(E167),(E170+A185))</f>
        <v>13240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13250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13240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13240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</v>
      </c>
      <c r="B188" s="99" t="n">
        <f aca="false">(G158*B67)/1.2</f>
        <v>204.166666666667</v>
      </c>
      <c r="C188" s="130"/>
      <c r="D188" s="130"/>
      <c r="E188" s="99" t="n">
        <f aca="false">(E40*A108)*0.1*C45/100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304.158333333333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510.365915520842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3705.45</v>
      </c>
      <c r="B201" s="183" t="n">
        <f aca="false">E179+A201+B182+A185</f>
        <v>28455.44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510.365915520842</v>
      </c>
      <c r="B212" s="174" t="str">
        <f aca="false">B167</f>
        <v>0</v>
      </c>
      <c r="C212" s="171"/>
      <c r="D212" s="171"/>
      <c r="E212" s="174" t="n">
        <f aca="false">E167</f>
        <v>510.365915520842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6592.80704322948</v>
      </c>
      <c r="B224" s="99" t="str">
        <f aca="false">B182</f>
        <v>239.99</v>
      </c>
      <c r="C224" s="99"/>
      <c r="D224" s="109"/>
      <c r="E224" s="99" t="n">
        <f aca="false">E182</f>
        <v>31342.7970432295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510.365915520842</v>
      </c>
      <c r="B230" s="99" t="str">
        <f aca="false">B167</f>
        <v>0</v>
      </c>
      <c r="C230" s="183"/>
      <c r="D230" s="183"/>
      <c r="E230" s="99" t="n">
        <f aca="false">E167</f>
        <v>510.365915520842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13230</v>
      </c>
      <c r="B233" s="99" t="n">
        <f aca="false">E185</f>
        <v>13240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29.17872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204.166666666667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2304.15833333333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2897.35704322948</v>
      </c>
      <c r="C254" s="194"/>
      <c r="D254" s="195" t="s">
        <v>213</v>
      </c>
      <c r="E254" s="195"/>
      <c r="F254" s="196" t="n">
        <f aca="false">F261+F267+F269+B270+B271</f>
        <v>245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2752.34870989615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2897.35704322948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245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2752.34870989615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7.2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351.616777736605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351.616777736605</v>
      </c>
      <c r="B36" s="228" t="str">
        <f aca="false">IF(B26="YES", K42, "0.00")</f>
        <v>0.00</v>
      </c>
      <c r="C36" s="228"/>
      <c r="D36" s="228"/>
      <c r="E36" s="228" t="n">
        <f aca="false">K31</f>
        <v>13230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35129.6185905299</v>
      </c>
      <c r="N39" s="1" t="n">
        <f aca="false">K39-L39</f>
        <v>-14629.6185905299</v>
      </c>
      <c r="P39" s="208"/>
    </row>
    <row r="40" customFormat="false" ht="17.35" hidden="false" customHeight="false" outlineLevel="0" collapsed="false">
      <c r="A40" s="103" t="n">
        <f aca="false">E36*A45/100</f>
        <v>13230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11025</v>
      </c>
      <c r="L40" s="2" t="n">
        <f aca="false">K39-L39</f>
        <v>-14629.6185905299</v>
      </c>
      <c r="N40" s="1" t="n">
        <f aca="false">N38-N39</f>
        <v>17541.2985905299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9027.62750053148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11472.3724994685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351.616777736605</v>
      </c>
      <c r="L47" s="2" t="n">
        <f aca="false">L49-K42</f>
        <v>800</v>
      </c>
      <c r="M47" s="1" t="n">
        <f aca="false">K47-L47</f>
        <v>-448.383222263395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351.616777736605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351.616777736605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6485.18280361218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204.166666666667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351.616777736605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351.616777736605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351.616777736605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351.616777736605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13230</v>
      </c>
      <c r="C82" s="130"/>
      <c r="D82" s="130"/>
      <c r="E82" s="109"/>
      <c r="F82" s="31" t="s">
        <v>106</v>
      </c>
      <c r="G82" s="33" t="n">
        <f aca="false">IF(A111 = "Yes", A40, 0)</f>
        <v>13230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13230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13230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8791.76420982348</v>
      </c>
      <c r="C86" s="130"/>
      <c r="D86" s="130"/>
      <c r="E86" s="109"/>
      <c r="F86" s="31" t="s">
        <v>110</v>
      </c>
      <c r="G86" s="33" t="n">
        <f aca="false">(G82/((1+G84)^(G85+1)))</f>
        <v>10891.8325793912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8949.66962411474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8949.66962411474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15708.2357901765</v>
      </c>
      <c r="C88" s="130"/>
      <c r="D88" s="130"/>
      <c r="E88" s="109"/>
      <c r="F88" s="31" t="s">
        <v>112</v>
      </c>
      <c r="G88" s="33" t="n">
        <f aca="false">G81-G86</f>
        <v>13608.1674206088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546.953908632284</v>
      </c>
      <c r="C89" s="130"/>
      <c r="D89" s="130"/>
      <c r="E89" s="109"/>
      <c r="F89" s="31" t="s">
        <v>113</v>
      </c>
      <c r="G89" s="33" t="n">
        <f aca="false">(G88/G87)</f>
        <v>427.872997752677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19143.3868021299</v>
      </c>
      <c r="C90" s="130"/>
      <c r="D90" s="130"/>
      <c r="E90" s="109"/>
      <c r="F90" s="31" t="s">
        <v>114</v>
      </c>
      <c r="G90" s="33" t="n">
        <f aca="false">((G89*(G85))+G77)</f>
        <v>14975.5549213437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19143.3868021299</v>
      </c>
      <c r="C92" s="130"/>
      <c r="D92" s="130"/>
      <c r="E92" s="109"/>
      <c r="F92" s="56" t="s">
        <v>116</v>
      </c>
      <c r="G92" s="65" t="n">
        <f aca="false">(G90+G91)</f>
        <v>14975.5549213437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546.953908632284</v>
      </c>
      <c r="C95" s="130"/>
      <c r="D95" s="130"/>
      <c r="E95" s="109"/>
      <c r="F95" s="91" t="s">
        <v>118</v>
      </c>
      <c r="G95" s="92" t="n">
        <f aca="false">G92/(G85)</f>
        <v>427.872997752677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546.953908632284</v>
      </c>
      <c r="C96" s="130"/>
      <c r="D96" s="130"/>
      <c r="E96" s="109"/>
      <c r="F96" s="93" t="s">
        <v>119</v>
      </c>
      <c r="G96" s="94" t="n">
        <f aca="false">G94+G95</f>
        <v>427.872997752677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546.953908632284</v>
      </c>
      <c r="B167" s="174" t="str">
        <f aca="false">B94</f>
        <v>0</v>
      </c>
      <c r="C167" s="171"/>
      <c r="D167" s="171"/>
      <c r="E167" s="174" t="n">
        <f aca="false">B96</f>
        <v>546.953908632284</v>
      </c>
      <c r="F167" s="23"/>
      <c r="G167" s="23" t="n">
        <f aca="false">ROUND(G95, 2)</f>
        <v>427.87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177" t="n">
        <f aca="false">K30</f>
        <v>10000</v>
      </c>
      <c r="C170" s="178"/>
      <c r="D170" s="23"/>
      <c r="E170" s="179" t="n">
        <f aca="false">IF(A111="YES",A40, 0)</f>
        <v>13230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13230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13230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13230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7873.38680212995</v>
      </c>
      <c r="B182" s="99" t="str">
        <f aca="false">B114</f>
        <v>199.99</v>
      </c>
      <c r="C182" s="99"/>
      <c r="D182" s="23"/>
      <c r="E182" s="99" t="n">
        <f aca="false">E179+A182+(B182*1.2)+A185</f>
        <v>32623.37480213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13240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13250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13240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13240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204.166666666667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304.156666666667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546.953908632284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3705.45</v>
      </c>
      <c r="B201" s="183" t="n">
        <f aca="false">E179+A201+(B182*1.2)+A185</f>
        <v>28455.438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546.953908632284</v>
      </c>
      <c r="B212" s="174" t="str">
        <f aca="false">B167</f>
        <v>0</v>
      </c>
      <c r="C212" s="171"/>
      <c r="D212" s="171"/>
      <c r="E212" s="174" t="n">
        <f aca="false">E167</f>
        <v>546.953908632284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7873.38680212995</v>
      </c>
      <c r="B224" s="99" t="str">
        <f aca="false">B182</f>
        <v>199.99</v>
      </c>
      <c r="C224" s="99"/>
      <c r="D224" s="109"/>
      <c r="E224" s="99" t="n">
        <f aca="false">E182</f>
        <v>32623.37480213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546.953908632284</v>
      </c>
      <c r="B230" s="99" t="str">
        <f aca="false">B167</f>
        <v>0</v>
      </c>
      <c r="C230" s="183"/>
      <c r="D230" s="183"/>
      <c r="E230" s="99" t="n">
        <f aca="false">E167</f>
        <v>546.953908632284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13230</v>
      </c>
      <c r="B233" s="99" t="n">
        <f aca="false">E185</f>
        <v>13240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24.3156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204.166666666667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2304.15666666667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4177.93680212995</v>
      </c>
      <c r="C254" s="194"/>
      <c r="D254" s="195" t="s">
        <v>213</v>
      </c>
      <c r="E254" s="195"/>
      <c r="F254" s="196" t="n">
        <f aca="false">F261+F267+F269+B270+B271</f>
        <v>245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4032.92680212995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B254</f>
        <v>4177.93680212995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245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4032.92680212995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474.611354378281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461.861354378281</v>
      </c>
      <c r="B36" s="228" t="n">
        <f aca="false">IF(B26="YES", K42, "0.00")</f>
        <v>12.75</v>
      </c>
      <c r="C36" s="228"/>
      <c r="D36" s="228"/>
      <c r="E36" s="228" t="n">
        <f aca="false">K31</f>
        <v>19500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08"/>
    </row>
    <row r="40" customFormat="false" ht="17.35" hidden="false" customHeight="false" outlineLevel="0" collapsed="false">
      <c r="A40" s="103" t="n">
        <f aca="false">E36*A45/100</f>
        <v>11025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15147.966037908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5352.03396209199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474.611354378281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461.861354378281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474.611354378281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474.611354378281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130"/>
      <c r="D82" s="130"/>
      <c r="E82" s="109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19500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19500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130"/>
      <c r="D86" s="130"/>
      <c r="E86" s="109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16941.0932752196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16941.0932752196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130"/>
      <c r="D88" s="130"/>
      <c r="E88" s="109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130"/>
      <c r="D89" s="130"/>
      <c r="E89" s="109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130"/>
      <c r="D90" s="130"/>
      <c r="E90" s="109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130"/>
      <c r="D92" s="130"/>
      <c r="E92" s="109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21.6981818181818</v>
      </c>
      <c r="C94" s="130"/>
      <c r="D94" s="130"/>
      <c r="E94" s="109"/>
      <c r="F94" s="88" t="s">
        <v>117</v>
      </c>
      <c r="G94" s="259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704.908560883441</v>
      </c>
      <c r="C95" s="130"/>
      <c r="D95" s="130"/>
      <c r="E95" s="109"/>
      <c r="F95" s="91" t="s">
        <v>118</v>
      </c>
      <c r="G95" s="92" t="n">
        <f aca="false">G92/(G85)</f>
        <v>584.370853512356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726.606742701623</v>
      </c>
      <c r="C96" s="130"/>
      <c r="D96" s="130"/>
      <c r="E96" s="109"/>
      <c r="F96" s="93" t="s">
        <v>119</v>
      </c>
      <c r="G96" s="94" t="n">
        <f aca="false">G94+G95</f>
        <v>602.452671694174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704.908560883441</v>
      </c>
      <c r="B167" s="174" t="n">
        <f aca="false">B94</f>
        <v>21.6981818181818</v>
      </c>
      <c r="C167" s="171"/>
      <c r="D167" s="171"/>
      <c r="E167" s="174" t="n">
        <f aca="false">B96</f>
        <v>726.606742701623</v>
      </c>
      <c r="F167" s="23"/>
      <c r="G167" s="23" t="n">
        <f aca="false">ROUND(G95, 2)</f>
        <v>584.37</v>
      </c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19500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19500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19500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2753.99416971785</v>
      </c>
      <c r="B182" s="99" t="str">
        <f aca="false">B114</f>
        <v>239.99</v>
      </c>
      <c r="C182" s="99"/>
      <c r="D182" s="23"/>
      <c r="E182" s="99" t="n">
        <f aca="false">E179+A182+B182+A185</f>
        <v>27503.9841697179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19510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19520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19510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19510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9.72624</v>
      </c>
      <c r="B188" s="99" t="n">
        <f aca="false">(G158*B67)</f>
        <v>122.5</v>
      </c>
      <c r="C188" s="130"/>
      <c r="D188" s="130"/>
      <c r="E188" s="99" t="n">
        <f aca="false">(E40*A108)*0.1*(C45/100)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227.081666666667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3" t="n">
        <f aca="false">E179+A201+B182+A185</f>
        <v>26178.06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704.908560883441</v>
      </c>
      <c r="B212" s="174" t="n">
        <f aca="false">B167</f>
        <v>21.6981818181818</v>
      </c>
      <c r="C212" s="171"/>
      <c r="D212" s="171"/>
      <c r="E212" s="174" t="n">
        <f aca="false">E167</f>
        <v>726.606742701623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2753.99416971785</v>
      </c>
      <c r="B224" s="99" t="str">
        <f aca="false">B182</f>
        <v>239.99</v>
      </c>
      <c r="C224" s="99"/>
      <c r="D224" s="109"/>
      <c r="E224" s="99" t="n">
        <f aca="false">E182</f>
        <v>27503.9841697179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704.908560883441</v>
      </c>
      <c r="B230" s="99" t="n">
        <f aca="false">B167</f>
        <v>21.6981818181818</v>
      </c>
      <c r="C230" s="183"/>
      <c r="D230" s="183"/>
      <c r="E230" s="99" t="n">
        <f aca="false">E167</f>
        <v>726.606742701623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19500</v>
      </c>
      <c r="B233" s="99" t="n">
        <f aca="false">E185</f>
        <v>19510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102.083333333333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2206.665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1335.92416971785</v>
      </c>
      <c r="C254" s="194"/>
      <c r="D254" s="195" t="s">
        <v>213</v>
      </c>
      <c r="E254" s="195"/>
      <c r="F254" s="196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145.891666666667</v>
      </c>
      <c r="C255" s="194"/>
      <c r="D255" s="195" t="s">
        <v>215</v>
      </c>
      <c r="E255" s="195"/>
      <c r="F255" s="196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7.2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644.568528797354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644.568528797354</v>
      </c>
      <c r="B36" s="228" t="str">
        <f aca="false">IF(B26="YES", K42, "0.00")</f>
        <v>0.00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25443.3768750692</v>
      </c>
      <c r="N39" s="1" t="n">
        <f aca="false">K39-L39</f>
        <v>-4943.37687506925</v>
      </c>
      <c r="P39" s="208"/>
    </row>
    <row r="40" customFormat="false" ht="17.35" hidden="false" customHeight="false" outlineLevel="0" collapsed="false">
      <c r="A40" s="103" t="n">
        <f aca="false">E36*A45/100</f>
        <v>11025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0</v>
      </c>
      <c r="L40" s="2" t="n">
        <f aca="false">K39-L39</f>
        <v>-4943.37687506925</v>
      </c>
      <c r="N40" s="1" t="n">
        <f aca="false">N38-N39</f>
        <v>7855.05687506925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20500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644.568528797354</v>
      </c>
      <c r="L47" s="2" t="n">
        <f aca="false">L49-K42</f>
        <v>800</v>
      </c>
      <c r="M47" s="1" t="n">
        <f aca="false">K47-L47</f>
        <v>-155.431471202646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644.568528797354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644.568528797354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7316.6417117402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220.3125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2997.23541666667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396.817083333333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644.568528797354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644.568528797354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644.568528797354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644.568528797354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27000</v>
      </c>
      <c r="C81" s="130"/>
      <c r="D81" s="130"/>
      <c r="E81" s="109"/>
      <c r="F81" s="25" t="s">
        <v>105</v>
      </c>
      <c r="G81" s="27" t="n">
        <f aca="false">G158</f>
        <v>27000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130"/>
      <c r="D82" s="130"/>
      <c r="E82" s="109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130"/>
      <c r="D86" s="130"/>
      <c r="E86" s="109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27000</v>
      </c>
      <c r="C88" s="130"/>
      <c r="D88" s="130"/>
      <c r="E88" s="109"/>
      <c r="F88" s="31" t="s">
        <v>112</v>
      </c>
      <c r="G88" s="33" t="n">
        <f aca="false">G81-G86</f>
        <v>27000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878.721771166105</v>
      </c>
      <c r="C89" s="130"/>
      <c r="D89" s="130"/>
      <c r="E89" s="109"/>
      <c r="F89" s="31" t="s">
        <v>113</v>
      </c>
      <c r="G89" s="33" t="n">
        <f aca="false">(G88/G87)</f>
        <v>848.943915977003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30755.2619908137</v>
      </c>
      <c r="C90" s="130"/>
      <c r="D90" s="130"/>
      <c r="E90" s="109"/>
      <c r="F90" s="31" t="s">
        <v>114</v>
      </c>
      <c r="G90" s="33" t="n">
        <f aca="false">((G89*(G85))+G77)</f>
        <v>29713.0370591951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30755.2619908137</v>
      </c>
      <c r="C92" s="130"/>
      <c r="D92" s="130"/>
      <c r="E92" s="109"/>
      <c r="F92" s="56" t="s">
        <v>116</v>
      </c>
      <c r="G92" s="65" t="n">
        <f aca="false">(G90+G91)</f>
        <v>29713.0370591951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878.721771166105</v>
      </c>
      <c r="C95" s="130"/>
      <c r="D95" s="130"/>
      <c r="E95" s="109"/>
      <c r="F95" s="91" t="s">
        <v>118</v>
      </c>
      <c r="G95" s="92" t="n">
        <f aca="false">G92/(G85)</f>
        <v>848.943915977003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878.721771166105</v>
      </c>
      <c r="C96" s="130"/>
      <c r="D96" s="130"/>
      <c r="E96" s="109"/>
      <c r="F96" s="93" t="s">
        <v>119</v>
      </c>
      <c r="G96" s="94" t="n">
        <f aca="false">G94+G95</f>
        <v>848.943915977003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-20833.3333333333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878.721771166105</v>
      </c>
      <c r="B167" s="174" t="str">
        <f aca="false">B94</f>
        <v>0</v>
      </c>
      <c r="C167" s="171"/>
      <c r="D167" s="171"/>
      <c r="E167" s="174" t="n">
        <f aca="false">B96</f>
        <v>878.721771166105</v>
      </c>
      <c r="F167" s="23"/>
      <c r="G167" s="23" t="n">
        <f aca="false">ROUND(G95, 2)</f>
        <v>848.94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2876.54021964758</v>
      </c>
      <c r="B182" s="99" t="str">
        <f aca="false">B114</f>
        <v>199.99</v>
      </c>
      <c r="C182" s="99"/>
      <c r="D182" s="23"/>
      <c r="E182" s="99" t="n">
        <f aca="false">E179+A182+(B182*1.2)+A185</f>
        <v>30126.5282196476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220.3125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320.3025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878.721771166105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1863.96</v>
      </c>
      <c r="B201" s="183" t="n">
        <f aca="false">E179+A201+(B182*1.2)+A185</f>
        <v>29113.948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878.721771166105</v>
      </c>
      <c r="B212" s="174" t="str">
        <f aca="false">B167</f>
        <v>0</v>
      </c>
      <c r="C212" s="171"/>
      <c r="D212" s="171"/>
      <c r="E212" s="174" t="n">
        <f aca="false">E167</f>
        <v>878.721771166105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2876.54021964758</v>
      </c>
      <c r="B224" s="99" t="str">
        <f aca="false">B182</f>
        <v>199.99</v>
      </c>
      <c r="C224" s="99"/>
      <c r="D224" s="109"/>
      <c r="E224" s="99" t="n">
        <f aca="false">E182</f>
        <v>30126.5282196476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878.721771166105</v>
      </c>
      <c r="B230" s="99" t="str">
        <f aca="false">B167</f>
        <v>0</v>
      </c>
      <c r="C230" s="183"/>
      <c r="D230" s="183"/>
      <c r="E230" s="99" t="n">
        <f aca="false">E167</f>
        <v>878.721771166105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10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220.3125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2320.3025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1022.58021964758</v>
      </c>
      <c r="C254" s="194"/>
      <c r="D254" s="195" t="s">
        <v>213</v>
      </c>
      <c r="E254" s="195"/>
      <c r="F254" s="196" t="n">
        <f aca="false">F261+F267+F269+B270+B271</f>
        <v>264.375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858.195219647582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1022.58021964758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264.375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858.195219647582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9" t="n">
        <f aca="false">H48</f>
        <v>1442.82509593885</v>
      </c>
      <c r="E33" s="212"/>
      <c r="F33" s="63"/>
      <c r="G33" s="215" t="s">
        <v>352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1419.14509593885</v>
      </c>
      <c r="B36" s="99" t="n">
        <f aca="false">IF(B26="YES", H42, "")</f>
        <v>23.68</v>
      </c>
      <c r="C36" s="217"/>
      <c r="D36" s="181" t="n">
        <f aca="false">H31</f>
        <v>17400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20003.7442173461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5220</v>
      </c>
      <c r="B40" s="103" t="n">
        <f aca="false">IF(B26="YES",H42,"0")</f>
        <v>23.68</v>
      </c>
      <c r="C40" s="103"/>
      <c r="D40" s="181" t="n">
        <f aca="false">I32</f>
        <v>947.2</v>
      </c>
      <c r="E40" s="212"/>
      <c r="F40" s="63"/>
      <c r="G40" s="63" t="s">
        <v>106</v>
      </c>
      <c r="H40" s="234" t="n">
        <f aca="false">A40/1.2</f>
        <v>4350</v>
      </c>
      <c r="I40" s="234" t="n">
        <f aca="false">H39-I39</f>
        <v>496.255782653898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23.68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4054.9939855323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16445.0060144677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1419.14509593885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1442.82509593885</v>
      </c>
      <c r="I48" s="234" t="n">
        <f aca="false">I49-H42</f>
        <v>1376.32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1442.82509593885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465" t="n">
        <v>10000</v>
      </c>
      <c r="D64" s="290" t="n">
        <f aca="false">B64</f>
        <v>1722</v>
      </c>
      <c r="E64" s="466" t="n">
        <f aca="false">D64/(B58+B57)</f>
        <v>143.5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405.26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472" t="n">
        <f aca="false">B73+B71</f>
        <v>260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55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473"/>
      <c r="D81" s="474"/>
      <c r="E81" s="466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473"/>
      <c r="D82" s="211"/>
      <c r="E82" s="466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1419.14509593885</v>
      </c>
      <c r="C83" s="473"/>
      <c r="D83" s="211"/>
      <c r="E83" s="466" t="n">
        <f aca="false">B83+E80+E77+E64</f>
        <v>1654.68213297589</v>
      </c>
      <c r="F83" s="63"/>
      <c r="G83" s="304" t="s">
        <v>104</v>
      </c>
      <c r="H83" s="305" t="n">
        <f aca="false">H47</f>
        <v>1419.14509593885</v>
      </c>
      <c r="I83" s="211"/>
      <c r="J83" s="211"/>
      <c r="K83" s="212"/>
      <c r="L83" s="63"/>
      <c r="M83" s="304" t="s">
        <v>104</v>
      </c>
      <c r="N83" s="305" t="n">
        <f aca="false">H47</f>
        <v>1419.14509593885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20078.4078179329</v>
      </c>
      <c r="C85" s="473"/>
      <c r="D85" s="473"/>
      <c r="E85" s="466" t="n">
        <f aca="false">B85/(B58+B57)</f>
        <v>1673.20065149441</v>
      </c>
      <c r="F85" s="63"/>
      <c r="G85" s="287" t="s">
        <v>114</v>
      </c>
      <c r="H85" s="127" t="n">
        <f aca="false">((H83*H29)+H81)*1.2</f>
        <v>21188.9893815195</v>
      </c>
      <c r="I85" s="211"/>
      <c r="J85" s="211"/>
      <c r="K85" s="212"/>
      <c r="L85" s="63"/>
      <c r="M85" s="287" t="s">
        <v>114</v>
      </c>
      <c r="N85" s="127" t="n">
        <f aca="false">((N83*H29)+N81)</f>
        <v>17643.7411512662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170.087359490355</v>
      </c>
      <c r="C86" s="473" t="s">
        <v>227</v>
      </c>
      <c r="D86" s="211"/>
      <c r="E86" s="466" t="n">
        <f aca="false">B86/(B58+B57)</f>
        <v>14.1739466241963</v>
      </c>
      <c r="F86" s="63"/>
      <c r="G86" s="210" t="s">
        <v>115</v>
      </c>
      <c r="H86" s="299" t="n">
        <f aca="false">((((H83*H29)+H81))/(1-H70))*H70</f>
        <v>149.579392568209</v>
      </c>
      <c r="I86" s="211"/>
      <c r="J86" s="211"/>
      <c r="K86" s="212"/>
      <c r="L86" s="63"/>
      <c r="M86" s="210" t="s">
        <v>115</v>
      </c>
      <c r="N86" s="299" t="n">
        <f aca="false">(N85/(1-N70))*N70</f>
        <v>149.462914149492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20248.4951774232</v>
      </c>
      <c r="C87" s="473"/>
      <c r="D87" s="475"/>
      <c r="E87" s="466" t="n">
        <f aca="false">E86+E85</f>
        <v>1687.3745981186</v>
      </c>
      <c r="F87" s="63"/>
      <c r="G87" s="284" t="s">
        <v>116</v>
      </c>
      <c r="H87" s="129" t="n">
        <f aca="false">IF(H110="YES",((H85+H86)-K114),(H85+H86))</f>
        <v>21338.5687740877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17793.2040654157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28.416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80.2334117647059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66.8611764705882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1687.3745981186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1255.20992788751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1046.65906267151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1715.7905981186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1335.44333965222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1113.5202391421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1255.20992788751</v>
      </c>
      <c r="H127" s="174" t="n">
        <f aca="false">IF(G105="YES", H89*H57, 0)</f>
        <v>481.400470588235</v>
      </c>
      <c r="I127" s="174"/>
      <c r="J127" s="333" t="n">
        <f aca="false">H91</f>
        <v>1335.44333965222</v>
      </c>
      <c r="K127" s="212"/>
      <c r="L127" s="63"/>
      <c r="M127" s="332" t="n">
        <f aca="false">N90</f>
        <v>1046.65906267151</v>
      </c>
      <c r="N127" s="174" t="n">
        <f aca="false">IF(M105="YES", N89*N57, 0)</f>
        <v>401.16705882353</v>
      </c>
      <c r="O127" s="174"/>
      <c r="P127" s="174" t="n">
        <f aca="false">N91</f>
        <v>1113.5202391421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1687.3745981186</v>
      </c>
      <c r="B128" s="320" t="n">
        <f aca="false">IF(A105="YES", B89, 0)</f>
        <v>28.416</v>
      </c>
      <c r="C128" s="324"/>
      <c r="D128" s="320" t="n">
        <f aca="false">B91</f>
        <v>1715.7905981186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1687.3745981186</v>
      </c>
      <c r="C131" s="316"/>
      <c r="D131" s="38" t="n">
        <f aca="false">IF(A105="YES", B89*B57, 0)</f>
        <v>28.416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7531.25956732506</v>
      </c>
      <c r="H133" s="99" t="n">
        <f aca="false">IF(G105="YES", H89*H57, 0)</f>
        <v>481.400470588235</v>
      </c>
      <c r="I133" s="217"/>
      <c r="J133" s="181" t="n">
        <f aca="false">H91*H57</f>
        <v>8012.6600379133</v>
      </c>
      <c r="K133" s="212"/>
      <c r="L133" s="63"/>
      <c r="M133" s="182" t="n">
        <f aca="false">N90*N57</f>
        <v>6279.95437602908</v>
      </c>
      <c r="N133" s="99" t="n">
        <f aca="false">IF(M105="YES", N89*N57, 0)</f>
        <v>401.16705882353</v>
      </c>
      <c r="O133" s="217"/>
      <c r="P133" s="181" t="n">
        <f aca="false">N91*N57</f>
        <v>6681.12143485261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1715.7905981186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1687.3745981186</v>
      </c>
      <c r="B137" s="38" t="n">
        <f aca="false">IF(A105="YES", B89, 0)</f>
        <v>28.416</v>
      </c>
      <c r="C137" s="316"/>
      <c r="D137" s="38" t="n">
        <f aca="false">B91</f>
        <v>1715.7905981186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5.6832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5.6832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99" t="n">
        <f aca="false">B102</f>
        <v>400</v>
      </c>
      <c r="C148" s="38"/>
      <c r="D148" s="38" t="n">
        <f aca="false">IF(A105="YES", (B40*B105)*B125, 0)*0.1</f>
        <v>5.6832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910.9332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1335.44333965222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1113.5202391421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1715.7905981186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1687.3745981186</v>
      </c>
      <c r="B177" s="354" t="n">
        <f aca="false">IF(A105="YES", B89, 0)</f>
        <v>28.416</v>
      </c>
      <c r="C177" s="356"/>
      <c r="D177" s="354" t="n">
        <f aca="false">B91</f>
        <v>1715.7905981186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1687.3745981186</v>
      </c>
      <c r="C180" s="352"/>
      <c r="D180" s="99" t="n">
        <f aca="false">IF(A105="YES", B89*B57, 0)</f>
        <v>28.416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1715.7905981186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1687.3745981186</v>
      </c>
      <c r="B186" s="99" t="n">
        <f aca="false">IF(A105="YES", B89, 0)</f>
        <v>28.416</v>
      </c>
      <c r="C186" s="352"/>
      <c r="D186" s="99" t="n">
        <f aca="false">B91</f>
        <v>1715.7905981186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405.26</v>
      </c>
      <c r="B197" s="99" t="n">
        <f aca="false">B102</f>
        <v>400</v>
      </c>
      <c r="C197" s="99"/>
      <c r="D197" s="99" t="n">
        <f aca="false">IF(A105="YES", (B40*B105)*B125, 0)*0.1</f>
        <v>5.6832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910.9332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405.26</v>
      </c>
      <c r="C211" s="319" t="s">
        <v>214</v>
      </c>
      <c r="D211" s="369" t="n">
        <f aca="false">B225+E221+B221+B223</f>
        <v>396.822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1713.562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1722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405.26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1713.562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56.832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170.087359490355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17400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947.2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566.94386734833</v>
      </c>
      <c r="E33" s="212"/>
      <c r="F33" s="63"/>
      <c r="G33" s="215" t="s">
        <v>352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566.94386734833</v>
      </c>
      <c r="B36" s="99" t="n">
        <f aca="false">IF(B26="YES", H42, "")</f>
        <v>0</v>
      </c>
      <c r="C36" s="217"/>
      <c r="D36" s="181" t="n">
        <f aca="false">H31</f>
        <v>2934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47680.529689928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2934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2445</v>
      </c>
      <c r="I40" s="234" t="n">
        <f aca="false">H39-I39</f>
        <v>-27180.529689928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2002.04528243079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1"/>
      <c r="C45" s="463" t="n">
        <v>30</v>
      </c>
      <c r="D45" s="463"/>
      <c r="E45" s="212"/>
      <c r="F45" s="63"/>
      <c r="G45" s="63" t="s">
        <v>373</v>
      </c>
      <c r="H45" s="234" t="n">
        <f aca="false">(H39-H44)</f>
        <v>18497.9547175692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566.94386734833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566.94386734833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566.94386734833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2583</v>
      </c>
      <c r="C64" s="465" t="n">
        <v>10000</v>
      </c>
      <c r="D64" s="290" t="n">
        <f aca="false">B64</f>
        <v>2583</v>
      </c>
      <c r="E64" s="466" t="n">
        <f aca="false">D64/(B58+B57)</f>
        <v>71.75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810.52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275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847.916666666667</v>
      </c>
      <c r="C76" s="211"/>
      <c r="D76" s="290" t="n">
        <f aca="false">B76</f>
        <v>847.916666666667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45.2199074074074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4877.58333333333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135.488425925926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566.94386734833</v>
      </c>
      <c r="C83" s="473"/>
      <c r="D83" s="211"/>
      <c r="E83" s="466" t="n">
        <f aca="false">B83+E80+E77+E64</f>
        <v>696.259453768084</v>
      </c>
      <c r="F83" s="63"/>
      <c r="G83" s="304" t="s">
        <v>104</v>
      </c>
      <c r="H83" s="305" t="n">
        <f aca="false">H47</f>
        <v>566.94386734833</v>
      </c>
      <c r="I83" s="211"/>
      <c r="J83" s="211"/>
      <c r="K83" s="212"/>
      <c r="L83" s="63"/>
      <c r="M83" s="304" t="s">
        <v>104</v>
      </c>
      <c r="N83" s="305" t="n">
        <f aca="false">H47</f>
        <v>566.94386734833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30345.0750694479</v>
      </c>
      <c r="C85" s="473"/>
      <c r="D85" s="473"/>
      <c r="E85" s="466" t="n">
        <f aca="false">B85/(B58+B57)</f>
        <v>842.918751929108</v>
      </c>
      <c r="F85" s="63"/>
      <c r="G85" s="287" t="s">
        <v>114</v>
      </c>
      <c r="H85" s="127" t="n">
        <f aca="false">((H83*H29)+H81)*1.2</f>
        <v>25770.8750694479</v>
      </c>
      <c r="I85" s="211"/>
      <c r="J85" s="211"/>
      <c r="K85" s="212"/>
      <c r="L85" s="63"/>
      <c r="M85" s="287" t="s">
        <v>114</v>
      </c>
      <c r="N85" s="127" t="n">
        <f aca="false">((N83*H29)+N81)</f>
        <v>21131.9792245399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214.214930905743</v>
      </c>
      <c r="C86" s="473" t="s">
        <v>227</v>
      </c>
      <c r="D86" s="211"/>
      <c r="E86" s="466" t="n">
        <f aca="false">B86/(B58+B57)</f>
        <v>5.95041474738176</v>
      </c>
      <c r="F86" s="63"/>
      <c r="G86" s="210" t="s">
        <v>115</v>
      </c>
      <c r="H86" s="299" t="n">
        <f aca="false">((((H83*H29)+H81))/(1-H70))*H70</f>
        <v>181.924289518087</v>
      </c>
      <c r="I86" s="211"/>
      <c r="J86" s="211"/>
      <c r="K86" s="212"/>
      <c r="L86" s="63"/>
      <c r="M86" s="210" t="s">
        <v>115</v>
      </c>
      <c r="N86" s="299" t="n">
        <f aca="false">(N85/(1-N70))*N70</f>
        <v>179.012329050156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30559.2900003536</v>
      </c>
      <c r="C87" s="473"/>
      <c r="D87" s="475"/>
      <c r="E87" s="466" t="n">
        <f aca="false">E86+E85</f>
        <v>848.869166676489</v>
      </c>
      <c r="F87" s="63"/>
      <c r="G87" s="284" t="s">
        <v>116</v>
      </c>
      <c r="H87" s="129" t="n">
        <f aca="false">IF(H110="YES",((H85+H86)-K114),(H85+H86))</f>
        <v>25952.799358966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21310.99155359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848.869166676489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632.995106316243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519.780281794879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848.869166676489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632.995106316243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519.780281794879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(E118)+E117-E114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632.995106316243</v>
      </c>
      <c r="H127" s="174" t="n">
        <f aca="false">IF(G105="YES", H89*H57, 0)</f>
        <v>0</v>
      </c>
      <c r="I127" s="174"/>
      <c r="J127" s="333" t="n">
        <f aca="false">H91</f>
        <v>632.995106316243</v>
      </c>
      <c r="K127" s="212"/>
      <c r="L127" s="63"/>
      <c r="M127" s="332" t="n">
        <f aca="false">N90</f>
        <v>519.780281794879</v>
      </c>
      <c r="N127" s="174" t="n">
        <f aca="false">IF(M105="YES", N89*N57, 0)</f>
        <v>0</v>
      </c>
      <c r="O127" s="174"/>
      <c r="P127" s="174" t="n">
        <f aca="false">N91</f>
        <v>519.780281794879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848.869166676489</v>
      </c>
      <c r="B128" s="320" t="n">
        <f aca="false">IF(A105="YES", B89, 0)</f>
        <v>0</v>
      </c>
      <c r="C128" s="324"/>
      <c r="D128" s="320" t="n">
        <f aca="false">B91</f>
        <v>848.869166676489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848.869166676489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3797.97063789746</v>
      </c>
      <c r="H133" s="99" t="n">
        <f aca="false">IF(G105="YES", H89*H57, 0)</f>
        <v>0</v>
      </c>
      <c r="I133" s="217"/>
      <c r="J133" s="181" t="n">
        <f aca="false">H91*H57</f>
        <v>3797.97063789746</v>
      </c>
      <c r="K133" s="212"/>
      <c r="L133" s="63"/>
      <c r="M133" s="182" t="n">
        <f aca="false">N90*N57</f>
        <v>3118.68169076928</v>
      </c>
      <c r="N133" s="99" t="n">
        <f aca="false">IF(M105="YES", N89*N57, 0)</f>
        <v>0</v>
      </c>
      <c r="O133" s="217"/>
      <c r="P133" s="181" t="n">
        <f aca="false">N91*N57</f>
        <v>3118.68169076928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848.869166676489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848.869166676489</v>
      </c>
      <c r="B137" s="38" t="n">
        <f aca="false">IF(A105="YES", B89, 0)</f>
        <v>0</v>
      </c>
      <c r="C137" s="316"/>
      <c r="D137" s="38" t="n">
        <f aca="false">B91</f>
        <v>848.869166676489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810.52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1310.51166666667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632.995106316243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519.780281794879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848.869166676489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848.869166676489</v>
      </c>
      <c r="B177" s="354" t="n">
        <f aca="false">IF(A105="YES", B89, 0)</f>
        <v>0</v>
      </c>
      <c r="C177" s="356"/>
      <c r="D177" s="354" t="n">
        <f aca="false">B91</f>
        <v>848.869166676489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848.869166676489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848.869166676489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848.869166676489</v>
      </c>
      <c r="B186" s="99" t="n">
        <f aca="false">IF(A105="YES", B89, 0)</f>
        <v>0</v>
      </c>
      <c r="C186" s="352"/>
      <c r="D186" s="99" t="n">
        <f aca="false">B91</f>
        <v>848.869166676489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810.52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1310.51166666667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2583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810.52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2112.47166666667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2583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810.52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2112.47166666667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214.214930905743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9" t="n">
        <f aca="false">H48</f>
        <v>1442.82509593885</v>
      </c>
      <c r="E33" s="212"/>
      <c r="F33" s="63"/>
      <c r="G33" s="215" t="s">
        <v>352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1419.14509593885</v>
      </c>
      <c r="B36" s="99" t="n">
        <f aca="false">IF(B26="YES", H42, "")</f>
        <v>23.68</v>
      </c>
      <c r="C36" s="217"/>
      <c r="D36" s="181" t="n">
        <f aca="false">H31</f>
        <v>17400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20003.7442173461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5220</v>
      </c>
      <c r="B40" s="103" t="n">
        <f aca="false">IF(B26="YES",H42,"0")</f>
        <v>23.68</v>
      </c>
      <c r="C40" s="103"/>
      <c r="D40" s="181" t="n">
        <f aca="false">I32</f>
        <v>947.2</v>
      </c>
      <c r="E40" s="212"/>
      <c r="F40" s="63"/>
      <c r="G40" s="63" t="s">
        <v>106</v>
      </c>
      <c r="H40" s="234" t="n">
        <f aca="false">A40/1.2</f>
        <v>4350</v>
      </c>
      <c r="I40" s="234" t="n">
        <f aca="false">H39-I39</f>
        <v>496.255782653898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23.68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4054.9939855323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16445.0060144677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1419.14509593885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1442.82509593885</v>
      </c>
      <c r="I48" s="234" t="n">
        <f aca="false">I49-H42</f>
        <v>1376.32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1442.82509593885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465" t="n">
        <v>10000</v>
      </c>
      <c r="D64" s="290" t="n">
        <f aca="false">B64</f>
        <v>1722</v>
      </c>
      <c r="E64" s="466" t="n">
        <f aca="false">D64/(B58+B57)</f>
        <v>143.5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405.26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472" t="n">
        <f aca="false">B73+B71</f>
        <v>260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275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297.916666666667</v>
      </c>
      <c r="C76" s="211"/>
      <c r="D76" s="290" t="n">
        <f aca="false">B76</f>
        <v>297.916666666667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79.8263888888889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3346.58333333333</v>
      </c>
      <c r="C81" s="473"/>
      <c r="D81" s="474"/>
      <c r="E81" s="466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278.881944444444</v>
      </c>
      <c r="C82" s="473"/>
      <c r="D82" s="211"/>
      <c r="E82" s="466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1419.14509593885</v>
      </c>
      <c r="C83" s="473"/>
      <c r="D83" s="211"/>
      <c r="E83" s="466" t="n">
        <f aca="false">B83+E80+E77+E64</f>
        <v>1679.50852186478</v>
      </c>
      <c r="F83" s="63"/>
      <c r="G83" s="304" t="s">
        <v>104</v>
      </c>
      <c r="H83" s="305" t="n">
        <f aca="false">H47</f>
        <v>1419.14509593885</v>
      </c>
      <c r="I83" s="211"/>
      <c r="J83" s="211"/>
      <c r="K83" s="212"/>
      <c r="L83" s="63"/>
      <c r="M83" s="304" t="s">
        <v>104</v>
      </c>
      <c r="N83" s="305" t="n">
        <f aca="false">H47</f>
        <v>1419.14509593885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20376.3244845996</v>
      </c>
      <c r="C85" s="473"/>
      <c r="D85" s="473"/>
      <c r="E85" s="466" t="n">
        <f aca="false">B85/(B58+B57)</f>
        <v>1698.0270403833</v>
      </c>
      <c r="F85" s="63"/>
      <c r="G85" s="287" t="s">
        <v>114</v>
      </c>
      <c r="H85" s="127" t="n">
        <f aca="false">((H83*H29)+H81)*1.2</f>
        <v>21188.9893815195</v>
      </c>
      <c r="I85" s="211"/>
      <c r="J85" s="211"/>
      <c r="K85" s="212"/>
      <c r="L85" s="63"/>
      <c r="M85" s="287" t="s">
        <v>114</v>
      </c>
      <c r="N85" s="127" t="n">
        <f aca="false">((N83*H29)+N81)</f>
        <v>17643.7411512662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172.611058562562</v>
      </c>
      <c r="C86" s="473" t="s">
        <v>227</v>
      </c>
      <c r="D86" s="211"/>
      <c r="E86" s="466" t="n">
        <f aca="false">B86/(B58+B57)</f>
        <v>14.3842548802135</v>
      </c>
      <c r="F86" s="63"/>
      <c r="G86" s="210" t="s">
        <v>115</v>
      </c>
      <c r="H86" s="299" t="n">
        <f aca="false">((((H83*H29)+H81))/(1-H70))*H70</f>
        <v>149.579392568209</v>
      </c>
      <c r="I86" s="211"/>
      <c r="J86" s="211"/>
      <c r="K86" s="212"/>
      <c r="L86" s="63"/>
      <c r="M86" s="210" t="s">
        <v>115</v>
      </c>
      <c r="N86" s="299" t="n">
        <f aca="false">(N85/(1-N70))*N70</f>
        <v>149.462914149492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20548.9355431621</v>
      </c>
      <c r="C87" s="473"/>
      <c r="D87" s="475"/>
      <c r="E87" s="466" t="n">
        <f aca="false">E86+E85</f>
        <v>1712.41129526351</v>
      </c>
      <c r="F87" s="63"/>
      <c r="G87" s="284" t="s">
        <v>116</v>
      </c>
      <c r="H87" s="129" t="n">
        <f aca="false">IF(H110="YES",((H85+H86)-K114),(H85+H86))</f>
        <v>21338.5687740877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17793.2040654157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30.784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80.2334117647059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66.8611764705882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1712.41129526351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1255.20992788751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1046.65906267151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1743.19529526351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1335.44333965222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1113.5202391421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1255.20992788751</v>
      </c>
      <c r="H127" s="174" t="n">
        <f aca="false">IF(G105="YES", H89*H57, 0)</f>
        <v>481.400470588235</v>
      </c>
      <c r="I127" s="174"/>
      <c r="J127" s="333" t="n">
        <f aca="false">H91</f>
        <v>1335.44333965222</v>
      </c>
      <c r="K127" s="212"/>
      <c r="L127" s="63"/>
      <c r="M127" s="332" t="n">
        <f aca="false">N90</f>
        <v>1046.65906267151</v>
      </c>
      <c r="N127" s="174" t="n">
        <f aca="false">IF(M105="YES", N89*N57, 0)</f>
        <v>401.16705882353</v>
      </c>
      <c r="O127" s="174"/>
      <c r="P127" s="174" t="n">
        <f aca="false">N91</f>
        <v>1113.5202391421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1712.41129526351</v>
      </c>
      <c r="B128" s="320" t="n">
        <f aca="false">IF(A105="YES", B89, 0)</f>
        <v>30.784</v>
      </c>
      <c r="C128" s="324"/>
      <c r="D128" s="320" t="n">
        <f aca="false">B91</f>
        <v>1743.19529526351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1712.41129526351</v>
      </c>
      <c r="C131" s="316"/>
      <c r="D131" s="38" t="n">
        <f aca="false">IF(A105="YES", B89*B57, 0)</f>
        <v>30.784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7531.25956732506</v>
      </c>
      <c r="H133" s="99" t="n">
        <f aca="false">IF(G105="YES", H89*H57, 0)</f>
        <v>481.400470588235</v>
      </c>
      <c r="I133" s="217"/>
      <c r="J133" s="181" t="n">
        <f aca="false">H91*H57</f>
        <v>8012.6600379133</v>
      </c>
      <c r="K133" s="212"/>
      <c r="L133" s="63"/>
      <c r="M133" s="182" t="n">
        <f aca="false">N90*N57</f>
        <v>6279.95437602908</v>
      </c>
      <c r="N133" s="99" t="n">
        <f aca="false">IF(M105="YES", N89*N57, 0)</f>
        <v>401.16705882353</v>
      </c>
      <c r="O133" s="217"/>
      <c r="P133" s="181" t="n">
        <f aca="false">N91*N57</f>
        <v>6681.12143485261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1743.19529526351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1712.41129526351</v>
      </c>
      <c r="B137" s="38" t="n">
        <f aca="false">IF(A105="YES", B89, 0)</f>
        <v>30.784</v>
      </c>
      <c r="C137" s="316"/>
      <c r="D137" s="38" t="n">
        <f aca="false">B91</f>
        <v>1743.19529526351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5.6832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5.6832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99" t="n">
        <f aca="false">B102</f>
        <v>400</v>
      </c>
      <c r="C148" s="38"/>
      <c r="D148" s="38" t="n">
        <f aca="false">IF(A105="YES", (B40*B105)*B125, 0)*0.1</f>
        <v>8.5248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913.7748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1335.44333965222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1113.5202391421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1743.19529526351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1712.41129526351</v>
      </c>
      <c r="B177" s="354" t="n">
        <f aca="false">IF(A105="YES", B89, 0)</f>
        <v>30.784</v>
      </c>
      <c r="C177" s="356"/>
      <c r="D177" s="354" t="n">
        <f aca="false">B91</f>
        <v>1743.19529526351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1712.41129526351</v>
      </c>
      <c r="C180" s="352"/>
      <c r="D180" s="99" t="n">
        <f aca="false">IF(A105="YES", B89*B57, 0)</f>
        <v>30.784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1743.19529526351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1712.41129526351</v>
      </c>
      <c r="B186" s="99" t="n">
        <f aca="false">IF(A105="YES", B89, 0)</f>
        <v>30.784</v>
      </c>
      <c r="C186" s="352"/>
      <c r="D186" s="99" t="n">
        <f aca="false">B91</f>
        <v>1743.19529526351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405.26</v>
      </c>
      <c r="B197" s="99" t="n">
        <f aca="false">B102</f>
        <v>400</v>
      </c>
      <c r="C197" s="99"/>
      <c r="D197" s="99" t="n">
        <f aca="false">IF(A105="YES", (B40*B105)*B125, 0)*0.1</f>
        <v>8.5248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913.7748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405.26</v>
      </c>
      <c r="C211" s="319" t="s">
        <v>214</v>
      </c>
      <c r="D211" s="369" t="n">
        <f aca="false">B225+E221+B221+B223</f>
        <v>425.238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1741.978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1722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405.26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1741.978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85.248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172.611058562562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93" colorId="64" zoomScale="85" zoomScaleNormal="85" zoomScalePageLayoutView="100" workbookViewId="0">
      <selection pane="topLeft" activeCell="E198" activeCellId="0" sqref="E198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2.47"/>
    <col collapsed="false" customWidth="true" hidden="false" outlineLevel="0" max="14" min="14" style="1" width="20.93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22458.33</v>
      </c>
      <c r="B37" s="32"/>
      <c r="C37" s="41" t="s">
        <v>45</v>
      </c>
      <c r="D37" s="41"/>
      <c r="E37" s="32"/>
      <c r="F37" s="43" t="n">
        <f aca="false">A37-C37</f>
        <v>21458.33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209.027833333333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17182.3272688712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146.25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21458.33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16162.545166767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1563.12066080648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17194.3272688712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17194.3272688712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1563.12066080648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1563.12066080648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26949.996</v>
      </c>
      <c r="C130" s="117" t="n">
        <v>24375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26949.996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26949.996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26949.996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26949.996</v>
      </c>
      <c r="C134" s="129" t="n">
        <f aca="false">C130-C133</f>
        <v>24375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22458.33</v>
      </c>
      <c r="H144" s="150" t="n">
        <f aca="false">C134+E134+G134+H137</f>
        <v>24375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4491.666</v>
      </c>
      <c r="H146" s="33" t="n">
        <f aca="false">(H144+H145)*20%</f>
        <v>4875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26949.996</v>
      </c>
      <c r="H150" s="154" t="n">
        <f aca="false">(H144+H145+H148+H149+H146)-H147</f>
        <v>29250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26949.996</v>
      </c>
      <c r="H156" s="161" t="n">
        <f aca="false">H150-((H153*1.2)+(H154*1.2)+(H155*1.2)+(H151*1.2))</f>
        <v>29250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1563.12066080648</v>
      </c>
      <c r="B176" s="174" t="n">
        <f aca="false">B103</f>
        <v>0</v>
      </c>
      <c r="C176" s="171"/>
      <c r="D176" s="171"/>
      <c r="E176" s="174" t="n">
        <f aca="false">B105</f>
        <v>1563.12066080648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24375</v>
      </c>
      <c r="B182" s="99" t="n">
        <f aca="false">H146</f>
        <v>4875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-6055.67273112877</v>
      </c>
      <c r="B191" s="99" t="str">
        <f aca="false">B123</f>
        <v>199.99</v>
      </c>
      <c r="C191" s="99"/>
      <c r="D191" s="23"/>
      <c r="E191" s="99" t="n">
        <f aca="false">E188+A191+B191+A194</f>
        <v>23404.3172688712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199.99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121.875</v>
      </c>
      <c r="C197" s="130"/>
      <c r="D197" s="130"/>
      <c r="E197" s="99" t="n">
        <f aca="false">K55*A117*0.1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66.6583333333334</v>
      </c>
      <c r="B200" s="99" t="n">
        <f aca="false">B197+E197+A200</f>
        <v>188.533333333333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1563.12066080648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1563.12066080648</v>
      </c>
      <c r="B221" s="174" t="n">
        <f aca="false">B176</f>
        <v>0</v>
      </c>
      <c r="C221" s="171"/>
      <c r="D221" s="171"/>
      <c r="E221" s="174" t="n">
        <f aca="false">E176</f>
        <v>1563.12066080648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24375</v>
      </c>
      <c r="B224" s="99" t="n">
        <f aca="false">B182</f>
        <v>4875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-6055.67273112877</v>
      </c>
      <c r="B233" s="99" t="str">
        <f aca="false">B191</f>
        <v>199.99</v>
      </c>
      <c r="C233" s="99"/>
      <c r="D233" s="109"/>
      <c r="E233" s="99" t="n">
        <f aca="false">E191</f>
        <v>23404.3172688712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199.99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1563.12066080648</v>
      </c>
      <c r="B239" s="99" t="n">
        <f aca="false">B176</f>
        <v>0</v>
      </c>
      <c r="C239" s="183"/>
      <c r="D239" s="183"/>
      <c r="E239" s="99" t="n">
        <f aca="false">E176</f>
        <v>1563.12066080648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121.875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66.6583333333334</v>
      </c>
      <c r="B252" s="99" t="n">
        <f aca="false">B249+E249+A252+A249</f>
        <v>2105.20333333333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146.25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66.6583333333334</v>
      </c>
      <c r="C264" s="194"/>
      <c r="D264" s="195" t="s">
        <v>215</v>
      </c>
      <c r="E264" s="195"/>
      <c r="F264" s="196" t="n">
        <f aca="false">(B263-F263)+B264</f>
        <v>-79.5916666666666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17194.3272688712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146.25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66.6583333333334</v>
      </c>
      <c r="C272" s="32"/>
      <c r="D272" s="39" t="s">
        <v>215</v>
      </c>
      <c r="E272" s="39"/>
      <c r="F272" s="143" t="n">
        <f aca="false">(B263-F263)+B264</f>
        <v>-79.5916666666666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E249" activeCellId="0" sqref="E249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4.23"/>
    <col collapsed="false" customWidth="true" hidden="false" outlineLevel="0" max="14" min="14" style="1" width="16.72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22458.33</v>
      </c>
      <c r="B37" s="32"/>
      <c r="C37" s="41" t="s">
        <v>45</v>
      </c>
      <c r="D37" s="41"/>
      <c r="E37" s="32"/>
      <c r="F37" s="43" t="n">
        <f aca="false">A37-C37</f>
        <v>21458.33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259.027833333333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17182.3272688712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146.25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21458.33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16162.545166767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1563.12066080648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17194.3272688712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17194.3272688712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1563.12066080648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1634.02975171557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26949.996</v>
      </c>
      <c r="C130" s="117" t="n">
        <v>24375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26949.996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26949.996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26949.996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26949.996</v>
      </c>
      <c r="C134" s="129" t="n">
        <f aca="false">C130-C133</f>
        <v>24375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22458.33</v>
      </c>
      <c r="H144" s="150" t="n">
        <f aca="false">C134+E134+G134+H137</f>
        <v>24375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4491.666</v>
      </c>
      <c r="H146" s="33" t="n">
        <f aca="false">(H144+H145)*20%</f>
        <v>4875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26949.996</v>
      </c>
      <c r="H150" s="154" t="n">
        <f aca="false">(H144+H145+H148+H149+H146)-H147</f>
        <v>29250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26949.996</v>
      </c>
      <c r="H156" s="161" t="n">
        <f aca="false">H150-((H153*1.2)+(H154*1.2)+(H155*1.2)+(H151*1.2))</f>
        <v>29250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1563.12066080648</v>
      </c>
      <c r="B176" s="174" t="n">
        <f aca="false">B103</f>
        <v>70.9090909090909</v>
      </c>
      <c r="C176" s="171"/>
      <c r="D176" s="171"/>
      <c r="E176" s="174" t="n">
        <f aca="false">B105</f>
        <v>1634.02975171557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24375</v>
      </c>
      <c r="B182" s="99" t="n">
        <f aca="false">H146</f>
        <v>4875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-6055.67273112877</v>
      </c>
      <c r="B191" s="99" t="str">
        <f aca="false">B123</f>
        <v>199.99</v>
      </c>
      <c r="C191" s="99"/>
      <c r="D191" s="23"/>
      <c r="E191" s="99" t="n">
        <f aca="false">E188+A191+B191+A194</f>
        <v>23404.3172688712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121.875</v>
      </c>
      <c r="C197" s="130"/>
      <c r="D197" s="130"/>
      <c r="E197" s="99" t="n">
        <f aca="false">K55*A117*0.1</f>
        <v>18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239.865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1634.02975171557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1563.12066080648</v>
      </c>
      <c r="B221" s="174" t="n">
        <f aca="false">B176</f>
        <v>70.9090909090909</v>
      </c>
      <c r="C221" s="171"/>
      <c r="D221" s="171"/>
      <c r="E221" s="174" t="n">
        <f aca="false">E176</f>
        <v>1634.02975171557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24375</v>
      </c>
      <c r="B224" s="99" t="n">
        <f aca="false">B182</f>
        <v>4875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-6055.67273112877</v>
      </c>
      <c r="B233" s="99" t="str">
        <f aca="false">B191</f>
        <v>199.99</v>
      </c>
      <c r="C233" s="99"/>
      <c r="D233" s="109"/>
      <c r="E233" s="99" t="n">
        <f aca="false">E191</f>
        <v>23404.3172688712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1563.12066080648</v>
      </c>
      <c r="B239" s="99" t="n">
        <f aca="false">B176</f>
        <v>70.9090909090909</v>
      </c>
      <c r="C239" s="183"/>
      <c r="D239" s="183"/>
      <c r="E239" s="99" t="n">
        <f aca="false">E176</f>
        <v>1634.02975171557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121.875</v>
      </c>
      <c r="C249" s="130"/>
      <c r="D249" s="130"/>
      <c r="E249" s="99" t="n">
        <f aca="false">E197</f>
        <v>18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2156.535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146.25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279.99</v>
      </c>
      <c r="C264" s="194"/>
      <c r="D264" s="195" t="s">
        <v>215</v>
      </c>
      <c r="E264" s="195"/>
      <c r="F264" s="196" t="n">
        <f aca="false">(B263-F263)+B264</f>
        <v>133.74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17194.3272688712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146.25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133.74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19411.5181887308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274.21875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17078.4767407538</v>
      </c>
      <c r="C88" s="130" t="n">
        <f aca="false">B81-B86</f>
        <v>17078.4767407538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622.246307034202</v>
      </c>
      <c r="C89" s="130" t="n">
        <f aca="false">(B88/B87)</f>
        <v>622.246307034202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19911.8818250945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19911.8818250945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622.246307034202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622.246307034202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622.246307034202</v>
      </c>
      <c r="B167" s="174" t="str">
        <f aca="false">B94</f>
        <v>0</v>
      </c>
      <c r="C167" s="171"/>
      <c r="D167" s="171"/>
      <c r="E167" s="174" t="n">
        <f aca="false">B96</f>
        <v>622.246307034202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-3338.11817490552</v>
      </c>
      <c r="B182" s="99" t="str">
        <f aca="false">B114</f>
        <v>239.99</v>
      </c>
      <c r="C182" s="99"/>
      <c r="D182" s="23"/>
      <c r="E182" s="99" t="n">
        <f aca="false">E179+A182+B182+A185</f>
        <v>26161.8718250945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228.515625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328.507291666667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622.246307034202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622.246307034202</v>
      </c>
      <c r="B212" s="174" t="str">
        <f aca="false">B167</f>
        <v>0</v>
      </c>
      <c r="C212" s="171"/>
      <c r="D212" s="171"/>
      <c r="E212" s="174" t="n">
        <f aca="false">E167</f>
        <v>622.246307034202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-3338.11817490552</v>
      </c>
      <c r="B224" s="99" t="str">
        <f aca="false">B182</f>
        <v>239.99</v>
      </c>
      <c r="C224" s="99"/>
      <c r="D224" s="109"/>
      <c r="E224" s="99" t="n">
        <f aca="false">E182</f>
        <v>26161.8718250945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622.246307034202</v>
      </c>
      <c r="B230" s="99" t="str">
        <f aca="false">B167</f>
        <v>0</v>
      </c>
      <c r="C230" s="183"/>
      <c r="D230" s="183"/>
      <c r="E230" s="99" t="n">
        <f aca="false">E167</f>
        <v>622.246307034202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228.515625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2245.17729166666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274.21875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-174.227083333333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274.21875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-174.227083333333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247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17000.3240017612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16276.4982206957</v>
      </c>
      <c r="C88" s="130" t="n">
        <f aca="false">B81-B86</f>
        <v>16276.4982206957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1591.02945470556</v>
      </c>
      <c r="C89" s="130" t="n">
        <f aca="false">(B88/B87)</f>
        <v>1591.02945470556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17501.3240017612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17501.3240017612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1591.02945470556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1591.02945470556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1591.02945470556</v>
      </c>
      <c r="B167" s="174" t="n">
        <f aca="false">B94</f>
        <v>0</v>
      </c>
      <c r="C167" s="171"/>
      <c r="D167" s="171"/>
      <c r="E167" s="174" t="n">
        <f aca="false">B96</f>
        <v>1591.02945470556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-5748.67599823882</v>
      </c>
      <c r="B182" s="99" t="str">
        <f aca="false">B114</f>
        <v>199.99</v>
      </c>
      <c r="C182" s="99"/>
      <c r="D182" s="23"/>
      <c r="E182" s="99" t="n">
        <f aca="false">E179+A182+B182+A185</f>
        <v>23711.3140017612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121.875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221.865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1591.02945470556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1591.02945470556</v>
      </c>
      <c r="B212" s="174" t="n">
        <f aca="false">B167</f>
        <v>0</v>
      </c>
      <c r="C212" s="171"/>
      <c r="D212" s="171"/>
      <c r="E212" s="174" t="n">
        <f aca="false">E167</f>
        <v>1591.02945470556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-5748.67599823882</v>
      </c>
      <c r="B224" s="99" t="str">
        <f aca="false">B182</f>
        <v>199.99</v>
      </c>
      <c r="C224" s="99"/>
      <c r="D224" s="109"/>
      <c r="E224" s="99" t="n">
        <f aca="false">E182</f>
        <v>23711.3140017612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1591.02945470556</v>
      </c>
      <c r="B230" s="99" t="n">
        <f aca="false">B167</f>
        <v>0</v>
      </c>
      <c r="C230" s="183"/>
      <c r="D230" s="183"/>
      <c r="E230" s="99" t="n">
        <f aca="false">E167</f>
        <v>1591.02945470556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2138.535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-46.26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-46.26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16693.3272688712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16162.545166767</v>
      </c>
      <c r="C88" s="130" t="n">
        <f aca="false">B81-B86</f>
        <v>16162.545166767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1563.12066080648</v>
      </c>
      <c r="C89" s="130" t="n">
        <f aca="false">(B88/B87)</f>
        <v>1563.12066080648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17194.3272688712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17194.3272688712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1563.12066080648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1563.12066080648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1563.12066080648</v>
      </c>
      <c r="B167" s="174" t="str">
        <f aca="false">B94</f>
        <v>0</v>
      </c>
      <c r="C167" s="171"/>
      <c r="D167" s="171"/>
      <c r="E167" s="174" t="n">
        <f aca="false">B96</f>
        <v>1563.12066080648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-6055.67273112877</v>
      </c>
      <c r="B182" s="99" t="str">
        <f aca="false">B114</f>
        <v>239.99</v>
      </c>
      <c r="C182" s="99"/>
      <c r="D182" s="23"/>
      <c r="E182" s="99" t="n">
        <f aca="false">E179+A182+B182+A185</f>
        <v>23444.3172688712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121.875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221.866666666667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1563.12066080648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1563.12066080648</v>
      </c>
      <c r="B212" s="174" t="str">
        <f aca="false">B167</f>
        <v>0</v>
      </c>
      <c r="C212" s="171"/>
      <c r="D212" s="171"/>
      <c r="E212" s="174" t="n">
        <f aca="false">E167</f>
        <v>1563.12066080648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-6055.67273112877</v>
      </c>
      <c r="B224" s="99" t="str">
        <f aca="false">B182</f>
        <v>239.99</v>
      </c>
      <c r="C224" s="99"/>
      <c r="D224" s="109"/>
      <c r="E224" s="99" t="n">
        <f aca="false">E182</f>
        <v>23444.3172688712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1563.12066080648</v>
      </c>
      <c r="B230" s="99" t="str">
        <f aca="false">B167</f>
        <v>0</v>
      </c>
      <c r="C230" s="183"/>
      <c r="D230" s="183"/>
      <c r="E230" s="99" t="n">
        <f aca="false">E167</f>
        <v>1563.12066080648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2138.53666666666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-46.2583333333333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-46.2583333333333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16693.3272688712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16162.545166767</v>
      </c>
      <c r="C88" s="130" t="n">
        <f aca="false">B81-B86</f>
        <v>16162.545166767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1563.12066080648</v>
      </c>
      <c r="C89" s="130" t="n">
        <f aca="false">(B88/B87)</f>
        <v>1563.12066080648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17194.3272688712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17194.3272688712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1563.12066080648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1563.12066080648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1563.12066080648</v>
      </c>
      <c r="B167" s="174" t="str">
        <f aca="false">B94</f>
        <v>0</v>
      </c>
      <c r="C167" s="171"/>
      <c r="D167" s="171"/>
      <c r="E167" s="174" t="n">
        <f aca="false">B96</f>
        <v>1563.12066080648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-6055.67273112877</v>
      </c>
      <c r="B182" s="99" t="str">
        <f aca="false">B114</f>
        <v>199.99</v>
      </c>
      <c r="C182" s="99"/>
      <c r="D182" s="23"/>
      <c r="E182" s="99" t="n">
        <f aca="false">E179+A182+B182+A185</f>
        <v>23404.3172688712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121.875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221.865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1563.12066080648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1563.12066080648</v>
      </c>
      <c r="B212" s="174" t="str">
        <f aca="false">B167</f>
        <v>0</v>
      </c>
      <c r="C212" s="171"/>
      <c r="D212" s="171"/>
      <c r="E212" s="174" t="n">
        <f aca="false">E167</f>
        <v>1563.12066080648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-6055.67273112877</v>
      </c>
      <c r="B224" s="99" t="str">
        <f aca="false">B182</f>
        <v>199.99</v>
      </c>
      <c r="C224" s="99"/>
      <c r="D224" s="109"/>
      <c r="E224" s="99" t="n">
        <f aca="false">E182</f>
        <v>23404.3172688712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1563.12066080648</v>
      </c>
      <c r="B230" s="99" t="str">
        <f aca="false">B167</f>
        <v>0</v>
      </c>
      <c r="C230" s="183"/>
      <c r="D230" s="183"/>
      <c r="E230" s="99" t="n">
        <f aca="false">E167</f>
        <v>1563.12066080648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2138.535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-46.26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-46.26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45119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4491.666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290.972166666667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259.027833333333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261.6945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211.6945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261.6945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261.6945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211.6945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7996.8368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56.452054860831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8053.28885486083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671.107404571736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749.107404571736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671.107404571736</v>
      </c>
      <c r="B134" s="320" t="n">
        <f aca="false">IF(A111="YES", B95, 0)</f>
        <v>78</v>
      </c>
      <c r="C134" s="324"/>
      <c r="D134" s="320" t="n">
        <f aca="false">B97</f>
        <v>749.107404571736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671.107404571736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749.107404571736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671.107404571736</v>
      </c>
      <c r="B143" s="38" t="n">
        <f aca="false">IF(A111="YES", B95, 0)</f>
        <v>78</v>
      </c>
      <c r="C143" s="316"/>
      <c r="D143" s="38" t="n">
        <f aca="false">B97</f>
        <v>749.107404571736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4491.666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749.107404571736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671.107404571736</v>
      </c>
      <c r="B177" s="354" t="n">
        <f aca="false">IF(A111="YES", B95, 0)</f>
        <v>78</v>
      </c>
      <c r="C177" s="356"/>
      <c r="D177" s="354" t="n">
        <f aca="false">A177+B177</f>
        <v>749.107404571736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671.107404571736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749.107404571736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671.107404571736</v>
      </c>
      <c r="B186" s="99" t="n">
        <f aca="false">IF(A111="YES", B95, 0)</f>
        <v>78</v>
      </c>
      <c r="C186" s="352"/>
      <c r="D186" s="99" t="n">
        <f aca="false">B97</f>
        <v>749.107404571736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2764.23166666667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2764.23166666667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56.452054860831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45119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4491.666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290.972166666667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209.027833333333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211.6945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211.6945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211.6945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211.6945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6664.03066666667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56.452054860831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6720.4827215275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560.040226793958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560.040226793958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560.040226793958</v>
      </c>
      <c r="B134" s="320" t="n">
        <f aca="false">IF(A111="YES", B95, 0)</f>
        <v>0</v>
      </c>
      <c r="C134" s="325"/>
      <c r="D134" s="320" t="n">
        <f aca="false">B97</f>
        <v>560.040226793958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5040.36204114562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5040.36204114562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560.040226793958</v>
      </c>
      <c r="B143" s="38" t="n">
        <f aca="false">IF(A111="YES", B95, 0)</f>
        <v>0</v>
      </c>
      <c r="C143" s="316"/>
      <c r="D143" s="38" t="n">
        <f aca="false">B97</f>
        <v>560.040226793958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4491.666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560.040226793958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560.040226793958</v>
      </c>
      <c r="B177" s="354" t="n">
        <f aca="false">IF(A111="YES", B95, 0)</f>
        <v>0</v>
      </c>
      <c r="C177" s="357"/>
      <c r="D177" s="354" t="n">
        <f aca="false">B91</f>
        <v>6664.03066666667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5040.36204114562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5040.36204114562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560.040226793958</v>
      </c>
      <c r="B186" s="99" t="n">
        <f aca="false">IF(A111="YES", B95, 0)</f>
        <v>0</v>
      </c>
      <c r="C186" s="352"/>
      <c r="D186" s="99" t="n">
        <f aca="false">B97</f>
        <v>560.040226793958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2584.23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2584.23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56.452054860831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3213.16638666667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267.763865555556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9225.16638666667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78.1478394997983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9303.31422616647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775.276185513872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775.276185513872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775.276185513872</v>
      </c>
      <c r="B134" s="320" t="n">
        <f aca="false">IF(A111="YES", B95, 0)</f>
        <v>0</v>
      </c>
      <c r="C134" s="325"/>
      <c r="D134" s="320" t="n">
        <f aca="false">B97</f>
        <v>775.276185513872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6977.48566962485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6977.48566962485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775.276185513872</v>
      </c>
      <c r="B143" s="38" t="n">
        <f aca="false">IF(A111="YES", B95, 0)</f>
        <v>0</v>
      </c>
      <c r="C143" s="316"/>
      <c r="D143" s="38" t="n">
        <f aca="false">B97</f>
        <v>775.276185513872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775.276185513872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775.276185513872</v>
      </c>
      <c r="B177" s="354" t="n">
        <f aca="false">IF(A111="YES", B95, 0)</f>
        <v>0</v>
      </c>
      <c r="C177" s="357"/>
      <c r="D177" s="354" t="n">
        <f aca="false">B91</f>
        <v>9225.16638666667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6977.48566962485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6977.48566962485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775.276185513872</v>
      </c>
      <c r="B186" s="99" t="n">
        <f aca="false">IF(A111="YES", B95, 0)</f>
        <v>0</v>
      </c>
      <c r="C186" s="352"/>
      <c r="D186" s="99" t="n">
        <f aca="false">B97</f>
        <v>775.276185513872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78.1478394997983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11284.699664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11364.3617229431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947.030143578594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947.030143578594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947.030143578594</v>
      </c>
      <c r="B134" s="320" t="n">
        <f aca="false">IF(A111="YES", B95, 0)</f>
        <v>0</v>
      </c>
      <c r="C134" s="325"/>
      <c r="D134" s="320" t="n">
        <f aca="false">B97</f>
        <v>947.030143578594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947.030143578594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947.030143578594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947.030143578594</v>
      </c>
      <c r="B143" s="38" t="n">
        <f aca="false">IF(A111="YES", B95, 0)</f>
        <v>0</v>
      </c>
      <c r="C143" s="316"/>
      <c r="D143" s="38" t="n">
        <f aca="false">B97</f>
        <v>947.030143578594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947.030143578594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947.030143578594</v>
      </c>
      <c r="B177" s="354" t="n">
        <f aca="false">IF(A111="YES", B95, 0)</f>
        <v>0</v>
      </c>
      <c r="C177" s="357"/>
      <c r="D177" s="354" t="n">
        <f aca="false">B97</f>
        <v>947.030143578594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947.030143578594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947.030143578594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947.030143578594</v>
      </c>
      <c r="B186" s="99" t="n">
        <f aca="false">IF(A111="YES", B95, 0)</f>
        <v>0</v>
      </c>
      <c r="C186" s="352"/>
      <c r="D186" s="99" t="n">
        <f aca="false">B97</f>
        <v>947.030143578594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1852.45138666667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1852.45138666667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9403.91638666667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9483.57844560979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790.298203800816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790.298203800816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790.298203800816</v>
      </c>
      <c r="B134" s="320" t="n">
        <f aca="false">IF(A111="YES", B95, 0)</f>
        <v>0</v>
      </c>
      <c r="C134" s="325"/>
      <c r="D134" s="320" t="n">
        <f aca="false">B97</f>
        <v>790.298203800816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790.298203800816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790.298203800816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790.298203800816</v>
      </c>
      <c r="B143" s="38" t="n">
        <f aca="false">IF(A111="YES", B95, 0)</f>
        <v>0</v>
      </c>
      <c r="C143" s="316"/>
      <c r="D143" s="38" t="n">
        <f aca="false">B97</f>
        <v>790.298203800816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790.298203800816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790.298203800816</v>
      </c>
      <c r="B177" s="354" t="n">
        <f aca="false">IF(A111="YES", B95, 0)</f>
        <v>0</v>
      </c>
      <c r="C177" s="357"/>
      <c r="D177" s="354" t="n">
        <f aca="false">B91</f>
        <v>9403.91638666667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790.298203800816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790.298203800816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790.298203800816</v>
      </c>
      <c r="B186" s="99" t="n">
        <f aca="false">IF(A111="YES", B95, 0)</f>
        <v>0</v>
      </c>
      <c r="C186" s="352"/>
      <c r="D186" s="99" t="n">
        <f aca="false">B97</f>
        <v>790.298203800816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3213.16638666667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267.763865555556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9225.16638666667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78.1478394997983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9303.31422616647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775.276185513872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775.276185513872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775.276185513872</v>
      </c>
      <c r="B134" s="320" t="n">
        <f aca="false">IF(A111="YES", B95, 0)</f>
        <v>0</v>
      </c>
      <c r="C134" s="325"/>
      <c r="D134" s="320" t="n">
        <f aca="false">B97</f>
        <v>775.276185513872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775.276185513872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775.276185513872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775.276185513872</v>
      </c>
      <c r="B143" s="38" t="n">
        <f aca="false">IF(A111="YES", B95, 0)</f>
        <v>0</v>
      </c>
      <c r="C143" s="316"/>
      <c r="D143" s="38" t="n">
        <f aca="false">B97</f>
        <v>775.276185513872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775.276185513872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775.276185513872</v>
      </c>
      <c r="B177" s="354" t="n">
        <f aca="false">IF(A111="YES", B95, 0)</f>
        <v>0</v>
      </c>
      <c r="C177" s="357"/>
      <c r="D177" s="354" t="n">
        <f aca="false">B91</f>
        <v>9225.16638666667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775.276185513872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775.276185513872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775.276185513872</v>
      </c>
      <c r="B186" s="99" t="n">
        <f aca="false">IF(A111="YES", B95, 0)</f>
        <v>0</v>
      </c>
      <c r="C186" s="352"/>
      <c r="D186" s="99" t="n">
        <f aca="false">B97</f>
        <v>775.276185513872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78.1478394997983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11284.699664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11364.3617229431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947.030143578594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947.030143578594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947.030143578594</v>
      </c>
      <c r="B134" s="320" t="n">
        <f aca="false">IF(A111="YES", B95, 0)</f>
        <v>0</v>
      </c>
      <c r="C134" s="325"/>
      <c r="D134" s="320" t="n">
        <f aca="false">B97</f>
        <v>947.030143578594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947.030143578594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947.030143578594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947.030143578594</v>
      </c>
      <c r="B143" s="38" t="n">
        <f aca="false">IF(A111="YES", B95, 0)</f>
        <v>0</v>
      </c>
      <c r="C143" s="316"/>
      <c r="D143" s="38" t="n">
        <f aca="false">B97</f>
        <v>947.030143578594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947.030143578594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947.030143578594</v>
      </c>
      <c r="B177" s="354" t="n">
        <f aca="false">IF(A111="YES", B95, 0)</f>
        <v>0</v>
      </c>
      <c r="C177" s="357"/>
      <c r="D177" s="354" t="n">
        <f aca="false">B91</f>
        <v>11284.699664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947.030143578594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947.030143578594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947.030143578594</v>
      </c>
      <c r="B186" s="99" t="n">
        <f aca="false">IF(A111="YES", B95, 0)</f>
        <v>0</v>
      </c>
      <c r="C186" s="352"/>
      <c r="D186" s="99" t="n">
        <f aca="false">B97</f>
        <v>947.030143578594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1852.45138666667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1852.45138666667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72000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5040</v>
      </c>
      <c r="C70" s="211" t="n">
        <v>10000</v>
      </c>
      <c r="D70" s="290" t="n">
        <f aca="false">B70-A149</f>
        <v>5040</v>
      </c>
      <c r="E70" s="212" t="n">
        <f aca="false">D70/12</f>
        <v>420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6545.41666666667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545.451388888889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12557.4166666667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106.375857200484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12663.7925238672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1055.3160436556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1055.3160436556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 B95, 0)</f>
        <v>0</v>
      </c>
      <c r="C134" s="325"/>
      <c r="D134" s="320" t="n">
        <f aca="false">B97</f>
        <v>1055.3160436556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1055.3160436556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1055.3160436556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1055.3160436556</v>
      </c>
      <c r="B143" s="38" t="n">
        <f aca="false">IF(A111="YES", B95, 0)</f>
        <v>0</v>
      </c>
      <c r="C143" s="316"/>
      <c r="D143" s="38" t="n">
        <f aca="false">B97</f>
        <v>1055.3160436556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1055.3160436556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 B95, 0)</f>
        <v>0</v>
      </c>
      <c r="C177" s="357"/>
      <c r="D177" s="354" t="n">
        <f aca="false">B91</f>
        <v>12557.4166666667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1055.3160436556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1055.3160436556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1055.3160436556</v>
      </c>
      <c r="B186" s="99" t="n">
        <f aca="false">IF(A111="YES", B95, 0)</f>
        <v>0</v>
      </c>
      <c r="C186" s="352"/>
      <c r="D186" s="99" t="n">
        <f aca="false">B97</f>
        <v>1055.3160436556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5040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5005.95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5040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5005.95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0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352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-25802.2118726298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130"/>
      <c r="D81" s="130"/>
      <c r="E81" s="109"/>
      <c r="F81" s="25" t="s">
        <v>105</v>
      </c>
      <c r="G81" s="27" t="n">
        <f aca="false">G158</f>
        <v>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11928.3573368353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-11928.3573368353</v>
      </c>
      <c r="C88" s="130"/>
      <c r="D88" s="130"/>
      <c r="E88" s="109"/>
      <c r="F88" s="31" t="s">
        <v>112</v>
      </c>
      <c r="G88" s="33" t="n">
        <f aca="false">G81-G86</f>
        <v>-14777.6564474734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-415.340191991819</v>
      </c>
      <c r="C89" s="130"/>
      <c r="D89" s="130"/>
      <c r="E89" s="109"/>
      <c r="F89" s="31" t="s">
        <v>113</v>
      </c>
      <c r="G89" s="33" t="n">
        <f aca="false">(G88/G87)</f>
        <v>-464.644501240031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-14536.9067197136</v>
      </c>
      <c r="C90" s="130"/>
      <c r="D90" s="130"/>
      <c r="E90" s="109"/>
      <c r="F90" s="31" t="s">
        <v>114</v>
      </c>
      <c r="G90" s="33" t="n">
        <f aca="false">((G89*(G85))+G77)</f>
        <v>-16262.5575434011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130"/>
      <c r="D91" s="130"/>
      <c r="E91" s="109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-14536.9067197136</v>
      </c>
      <c r="C92" s="130"/>
      <c r="D92" s="130"/>
      <c r="E92" s="109"/>
      <c r="F92" s="56" t="s">
        <v>116</v>
      </c>
      <c r="G92" s="65" t="n">
        <f aca="false">(G90+G91)</f>
        <v>-16262.5575434011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-415.340191991819</v>
      </c>
      <c r="C95" s="130"/>
      <c r="D95" s="130"/>
      <c r="E95" s="109"/>
      <c r="F95" s="91" t="s">
        <v>118</v>
      </c>
      <c r="G95" s="92" t="n">
        <f aca="false">G92/(G85)</f>
        <v>-464.644501240031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-415.340191991819</v>
      </c>
      <c r="C96" s="130"/>
      <c r="D96" s="130"/>
      <c r="E96" s="109"/>
      <c r="F96" s="93" t="s">
        <v>119</v>
      </c>
      <c r="G96" s="94" t="n">
        <f aca="false">G94+G95</f>
        <v>-464.644501240031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-22458.33</v>
      </c>
      <c r="I148" s="1" t="n">
        <f aca="false">(H148-G81)/1.2</f>
        <v>-18715.275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-415.340191991819</v>
      </c>
      <c r="B167" s="174" t="str">
        <f aca="false">B94</f>
        <v>0</v>
      </c>
      <c r="C167" s="171"/>
      <c r="D167" s="171"/>
      <c r="E167" s="174" t="n">
        <f aca="false">B96</f>
        <v>-415.340191991819</v>
      </c>
      <c r="F167" s="23"/>
      <c r="G167" s="23" t="n">
        <f aca="false">ROUND(G95, 2)</f>
        <v>-464.64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0</v>
      </c>
      <c r="B173" s="99" t="n">
        <f aca="false">H137</f>
        <v>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3413.09328028635</v>
      </c>
      <c r="B182" s="99" t="str">
        <f aca="false">B114</f>
        <v>239.99</v>
      </c>
      <c r="C182" s="99"/>
      <c r="D182" s="23"/>
      <c r="E182" s="99" t="n">
        <f aca="false">E179+A182+B182+A185</f>
        <v>3663.08328028635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IF(A40=0,(E167),(E170+A185))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0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99.9916666666667</v>
      </c>
      <c r="C191" s="130"/>
      <c r="D191" s="130"/>
      <c r="E191" s="99" t="n">
        <f aca="false">H148</f>
        <v>-22458.33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-415.340191991819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1687.6</v>
      </c>
      <c r="B201" s="183" t="n">
        <f aca="false">E179+A201+B182+A185</f>
        <v>1937.59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-415.340191991819</v>
      </c>
      <c r="B212" s="174" t="str">
        <f aca="false">B167</f>
        <v>0</v>
      </c>
      <c r="C212" s="171"/>
      <c r="D212" s="171"/>
      <c r="E212" s="174" t="n">
        <f aca="false">E167</f>
        <v>-415.340191991819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0</v>
      </c>
      <c r="B215" s="99" t="n">
        <f aca="false">B173</f>
        <v>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3413.09328028635</v>
      </c>
      <c r="B224" s="99" t="str">
        <f aca="false">B182</f>
        <v>239.99</v>
      </c>
      <c r="C224" s="99"/>
      <c r="D224" s="109"/>
      <c r="E224" s="99" t="n">
        <f aca="false">E182</f>
        <v>3663.08328028635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-415.340191991819</v>
      </c>
      <c r="B230" s="99" t="str">
        <f aca="false">B167</f>
        <v>0</v>
      </c>
      <c r="C230" s="183"/>
      <c r="D230" s="183"/>
      <c r="E230" s="99" t="n">
        <f aca="false">E167</f>
        <v>-415.340191991819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26.9316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-22458.33</v>
      </c>
      <c r="B240" s="99" t="n">
        <f aca="false">B68</f>
        <v>0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-22358.3383333333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1735.49328028635</v>
      </c>
      <c r="C254" s="194"/>
      <c r="D254" s="195" t="s">
        <v>213</v>
      </c>
      <c r="E254" s="195"/>
      <c r="F254" s="196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1835.48494695302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B254</f>
        <v>1735.49328028635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1835.48494695302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2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352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3534.37807981928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25" t="s">
        <v>105</v>
      </c>
      <c r="G81" s="27" t="n">
        <f aca="false">G158</f>
        <v>26750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13757.37950458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12992.62049542</v>
      </c>
      <c r="C88" s="130"/>
      <c r="D88" s="130"/>
      <c r="E88" s="109"/>
      <c r="F88" s="31" t="s">
        <v>112</v>
      </c>
      <c r="G88" s="33" t="n">
        <f aca="false">G81-G86</f>
        <v>11972.3435525266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422.848092363871</v>
      </c>
      <c r="C89" s="130"/>
      <c r="D89" s="130"/>
      <c r="E89" s="109"/>
      <c r="F89" s="31" t="s">
        <v>113</v>
      </c>
      <c r="G89" s="33" t="n">
        <f aca="false">(G88/G87)</f>
        <v>376.43882292237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14799.6832327355</v>
      </c>
      <c r="C90" s="130"/>
      <c r="D90" s="130"/>
      <c r="E90" s="109"/>
      <c r="F90" s="31" t="s">
        <v>114</v>
      </c>
      <c r="G90" s="33" t="n">
        <f aca="false">((G89*(G85))+G77)</f>
        <v>13175.3588022829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14799.6832327355</v>
      </c>
      <c r="C92" s="130"/>
      <c r="D92" s="130"/>
      <c r="E92" s="109"/>
      <c r="F92" s="56" t="s">
        <v>116</v>
      </c>
      <c r="G92" s="65" t="n">
        <f aca="false">(G90+G91)</f>
        <v>13175.3588022829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422.848092363871</v>
      </c>
      <c r="C95" s="130"/>
      <c r="D95" s="130"/>
      <c r="E95" s="109"/>
      <c r="F95" s="91" t="s">
        <v>118</v>
      </c>
      <c r="G95" s="92" t="n">
        <f aca="false">G92/(G85)</f>
        <v>376.43882292237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422.848092363871</v>
      </c>
      <c r="C96" s="130"/>
      <c r="D96" s="130"/>
      <c r="E96" s="109"/>
      <c r="F96" s="93" t="s">
        <v>119</v>
      </c>
      <c r="G96" s="94" t="n">
        <f aca="false">G94+G95</f>
        <v>376.43882292237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-20694.4416666667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422.848092363871</v>
      </c>
      <c r="B167" s="174" t="str">
        <f aca="false">B94</f>
        <v>0</v>
      </c>
      <c r="C167" s="171"/>
      <c r="D167" s="171"/>
      <c r="E167" s="174" t="n">
        <f aca="false">B96</f>
        <v>422.848092363871</v>
      </c>
      <c r="F167" s="23"/>
      <c r="G167" s="23" t="n">
        <f aca="false">ROUND(G95, 2)</f>
        <v>376.44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5999.68323273547</v>
      </c>
      <c r="B182" s="99" t="str">
        <f aca="false">B114</f>
        <v>199.99</v>
      </c>
      <c r="C182" s="99"/>
      <c r="D182" s="23"/>
      <c r="E182" s="99" t="n">
        <f aca="false">E179+A182+B182+A185</f>
        <v>32959.6732327355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322.906666666667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422.848092363871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4375.4</v>
      </c>
      <c r="B201" s="183" t="n">
        <f aca="false">E179+A201+(B182*1.2)+A185</f>
        <v>31375.388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422.848092363871</v>
      </c>
      <c r="B212" s="174" t="str">
        <f aca="false">B167</f>
        <v>0</v>
      </c>
      <c r="C212" s="171"/>
      <c r="D212" s="171"/>
      <c r="E212" s="174" t="n">
        <f aca="false">E167</f>
        <v>422.848092363871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5999.68323273547</v>
      </c>
      <c r="B224" s="99" t="str">
        <f aca="false">B182</f>
        <v>199.99</v>
      </c>
      <c r="C224" s="99"/>
      <c r="D224" s="109"/>
      <c r="E224" s="99" t="n">
        <f aca="false">E182</f>
        <v>32959.6732327355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422.848092363871</v>
      </c>
      <c r="B230" s="99" t="str">
        <f aca="false">B167</f>
        <v>0</v>
      </c>
      <c r="C230" s="183"/>
      <c r="D230" s="183"/>
      <c r="E230" s="99" t="n">
        <f aca="false">E167</f>
        <v>422.848092363871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2239.57666666666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1594.28523273547</v>
      </c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1426.77523273547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1594.28523273547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1426.77523273547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7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352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5299.52976320041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25" t="s">
        <v>105</v>
      </c>
      <c r="G81" s="27" t="n">
        <f aca="false">G158</f>
        <v>26750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12733.4546404595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14016.5453595405</v>
      </c>
      <c r="C88" s="130"/>
      <c r="D88" s="130"/>
      <c r="E88" s="109"/>
      <c r="F88" s="31" t="s">
        <v>112</v>
      </c>
      <c r="G88" s="33" t="n">
        <f aca="false">G81-G86</f>
        <v>11972.3435525266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473.280997603332</v>
      </c>
      <c r="C89" s="130"/>
      <c r="D89" s="130"/>
      <c r="E89" s="109"/>
      <c r="F89" s="31" t="s">
        <v>113</v>
      </c>
      <c r="G89" s="33" t="n">
        <f aca="false">(G88/G87)</f>
        <v>376.43882292237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16564.8349161166</v>
      </c>
      <c r="C90" s="130"/>
      <c r="D90" s="130"/>
      <c r="E90" s="109"/>
      <c r="F90" s="31" t="s">
        <v>114</v>
      </c>
      <c r="G90" s="33" t="n">
        <f aca="false">((G89*(G85))+G77)</f>
        <v>13175.3588022829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16564.8349161166</v>
      </c>
      <c r="C92" s="130"/>
      <c r="D92" s="130"/>
      <c r="E92" s="109"/>
      <c r="F92" s="56" t="s">
        <v>116</v>
      </c>
      <c r="G92" s="65" t="n">
        <f aca="false">(G90+G91)</f>
        <v>13175.3588022829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473.280997603332</v>
      </c>
      <c r="C95" s="130"/>
      <c r="D95" s="130"/>
      <c r="E95" s="109"/>
      <c r="F95" s="91" t="s">
        <v>118</v>
      </c>
      <c r="G95" s="92" t="n">
        <f aca="false">G92/(G85)</f>
        <v>376.43882292237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473.280997603332</v>
      </c>
      <c r="C96" s="130"/>
      <c r="D96" s="130"/>
      <c r="E96" s="109"/>
      <c r="F96" s="93" t="s">
        <v>119</v>
      </c>
      <c r="G96" s="94" t="n">
        <f aca="false">G94+G95</f>
        <v>376.43882292237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-20694.4416666667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473.280997603332</v>
      </c>
      <c r="B167" s="174" t="str">
        <f aca="false">B94</f>
        <v>0</v>
      </c>
      <c r="C167" s="171"/>
      <c r="D167" s="171"/>
      <c r="E167" s="174" t="n">
        <f aca="false">B96</f>
        <v>473.280997603332</v>
      </c>
      <c r="F167" s="23"/>
      <c r="G167" s="23" t="n">
        <f aca="false">ROUND(G95, 2)</f>
        <v>376.44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7764.8349161166</v>
      </c>
      <c r="B182" s="99" t="str">
        <f aca="false">B114</f>
        <v>239.99</v>
      </c>
      <c r="C182" s="99"/>
      <c r="D182" s="23"/>
      <c r="E182" s="99" t="n">
        <f aca="false">E179+A182+B182+A185</f>
        <v>34764.8249161166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IF(A40=0,(E167+A185),(E170+A185))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322.908333333333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473.280997603332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4375.4</v>
      </c>
      <c r="B201" s="183" t="n">
        <f aca="false">E179+A201+B182+A185</f>
        <v>31375.39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473.280997603332</v>
      </c>
      <c r="B212" s="174" t="str">
        <f aca="false">B167</f>
        <v>0</v>
      </c>
      <c r="C212" s="171"/>
      <c r="D212" s="171"/>
      <c r="E212" s="174" t="n">
        <f aca="false">E167</f>
        <v>473.280997603332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7764.8349161166</v>
      </c>
      <c r="B224" s="99" t="str">
        <f aca="false">B182</f>
        <v>239.99</v>
      </c>
      <c r="C224" s="99"/>
      <c r="D224" s="109"/>
      <c r="E224" s="99" t="n">
        <f aca="false">E182</f>
        <v>34764.8249161166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473.280997603332</v>
      </c>
      <c r="B230" s="99" t="str">
        <f aca="false">B167</f>
        <v>0</v>
      </c>
      <c r="C230" s="183"/>
      <c r="D230" s="183"/>
      <c r="E230" s="99" t="n">
        <f aca="false">E167</f>
        <v>473.280997603332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2239.57833333333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3399.4349161166</v>
      </c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3231.92658278327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3399.4349161166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3231.92658278327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19958.33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352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3534.37807981928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25" t="s">
        <v>105</v>
      </c>
      <c r="G81" s="27" t="n">
        <f aca="false">G158</f>
        <v>26750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13757.37950458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12992.62049542</v>
      </c>
      <c r="C88" s="130"/>
      <c r="D88" s="130"/>
      <c r="E88" s="109"/>
      <c r="F88" s="31" t="s">
        <v>112</v>
      </c>
      <c r="G88" s="33" t="n">
        <f aca="false">G81-G86</f>
        <v>11972.3435525266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422.848092363871</v>
      </c>
      <c r="C89" s="130"/>
      <c r="D89" s="130"/>
      <c r="E89" s="109"/>
      <c r="F89" s="31" t="s">
        <v>113</v>
      </c>
      <c r="G89" s="33" t="n">
        <f aca="false">(G88/G87)</f>
        <v>376.43882292237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14799.6832327355</v>
      </c>
      <c r="C90" s="130"/>
      <c r="D90" s="130"/>
      <c r="E90" s="109"/>
      <c r="F90" s="31" t="s">
        <v>114</v>
      </c>
      <c r="G90" s="33" t="n">
        <f aca="false">((G89*(G85))+G77)</f>
        <v>13175.3588022829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14799.6832327355</v>
      </c>
      <c r="C92" s="130"/>
      <c r="D92" s="130"/>
      <c r="E92" s="109"/>
      <c r="F92" s="56" t="s">
        <v>116</v>
      </c>
      <c r="G92" s="65" t="n">
        <f aca="false">(G90+G91)</f>
        <v>13175.3588022829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422.848092363871</v>
      </c>
      <c r="C95" s="130"/>
      <c r="D95" s="130"/>
      <c r="E95" s="109"/>
      <c r="F95" s="91" t="s">
        <v>118</v>
      </c>
      <c r="G95" s="92" t="n">
        <f aca="false">G92/(G85)</f>
        <v>376.43882292237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422.848092363871</v>
      </c>
      <c r="C96" s="130"/>
      <c r="D96" s="130"/>
      <c r="E96" s="109"/>
      <c r="F96" s="93" t="s">
        <v>119</v>
      </c>
      <c r="G96" s="94" t="n">
        <f aca="false">G94+G95</f>
        <v>376.43882292237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-20694.4416666667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422.848092363871</v>
      </c>
      <c r="B167" s="174" t="str">
        <f aca="false">B94</f>
        <v>0</v>
      </c>
      <c r="C167" s="171"/>
      <c r="D167" s="171"/>
      <c r="E167" s="174" t="n">
        <f aca="false">B96</f>
        <v>422.848092363871</v>
      </c>
      <c r="F167" s="23"/>
      <c r="G167" s="23" t="n">
        <f aca="false">ROUND(G95, 2)</f>
        <v>376.44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5999.68323273547</v>
      </c>
      <c r="B182" s="99" t="str">
        <f aca="false">B114</f>
        <v>199.99</v>
      </c>
      <c r="C182" s="99"/>
      <c r="D182" s="23"/>
      <c r="E182" s="99" t="n">
        <f aca="false">E179+A182+(B182*1.2)+A185</f>
        <v>32999.6712327355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IF(A40=0,(E167+A185),(E170+A185))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322.906666666667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422.848092363871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4375.4</v>
      </c>
      <c r="B201" s="183" t="n">
        <f aca="false">E179+A201+(B182*1.2)+A185</f>
        <v>31375.388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422.848092363871</v>
      </c>
      <c r="B212" s="174" t="str">
        <f aca="false">B167</f>
        <v>0</v>
      </c>
      <c r="C212" s="171"/>
      <c r="D212" s="171"/>
      <c r="E212" s="174" t="n">
        <f aca="false">E167</f>
        <v>422.848092363871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5999.68323273547</v>
      </c>
      <c r="B224" s="99" t="str">
        <f aca="false">B182</f>
        <v>199.99</v>
      </c>
      <c r="C224" s="99"/>
      <c r="D224" s="109"/>
      <c r="E224" s="99" t="n">
        <f aca="false">E182</f>
        <v>32999.6712327355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422.848092363871</v>
      </c>
      <c r="B230" s="99" t="str">
        <f aca="false">B167</f>
        <v>0</v>
      </c>
      <c r="C230" s="183"/>
      <c r="D230" s="183"/>
      <c r="E230" s="99" t="n">
        <f aca="false">E167</f>
        <v>422.848092363871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2239.57666666666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1634.28323273547</v>
      </c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1466.77323273547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1634.28323273547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1466.77323273547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8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255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1886.49972</v>
      </c>
      <c r="C64" s="211" t="n">
        <v>10000</v>
      </c>
      <c r="D64" s="290" t="n">
        <f aca="false">B64</f>
        <v>1886.49972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269.49996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3213.16638666667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267.763865555556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11070.199664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78.1478394997983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11148.3475034998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929.028958624983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929.028958624983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1024.59311617588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929.028958624983</v>
      </c>
      <c r="B128" s="320" t="n">
        <f aca="false">IF(A105="YES", B89, 0)</f>
        <v>0</v>
      </c>
      <c r="C128" s="325"/>
      <c r="D128" s="320" t="n">
        <f aca="false">B91</f>
        <v>929.028958624983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0</v>
      </c>
      <c r="I130" s="174"/>
      <c r="J130" s="333" t="n">
        <f aca="false">H91</f>
        <v>1024.59311617588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8361.26062762485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0</v>
      </c>
      <c r="I133" s="217"/>
      <c r="J133" s="181" t="n">
        <f aca="false">H91*H57</f>
        <v>1024.59311617588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8361.26062762485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929.028958624983</v>
      </c>
      <c r="B137" s="38" t="n">
        <f aca="false">IF(A105="YES", B89, 0)</f>
        <v>0</v>
      </c>
      <c r="C137" s="316"/>
      <c r="D137" s="38" t="n">
        <f aca="false">B91</f>
        <v>929.028958624983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1407.013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269.49996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1024.59311617588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929.028958624983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929.028958624983</v>
      </c>
      <c r="B171" s="354" t="n">
        <f aca="false">IF(A105="YES", B89, 0)</f>
        <v>0</v>
      </c>
      <c r="C171" s="357"/>
      <c r="D171" s="354" t="n">
        <f aca="false">B91</f>
        <v>929.028958624983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8361.26062762485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8361.26062762485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929.028958624983</v>
      </c>
      <c r="B180" s="99" t="n">
        <f aca="false">IF(A105="YES", B89, 0)</f>
        <v>0</v>
      </c>
      <c r="C180" s="352"/>
      <c r="D180" s="99" t="n">
        <f aca="false">B91</f>
        <v>929.028958624983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269.49996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769.48996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1886.49972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269.49996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1956.98976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1886.49972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269.49996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1956.98976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78.1478394997983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1886.49972</v>
      </c>
      <c r="C64" s="211"/>
      <c r="D64" s="290" t="n">
        <f aca="false">B64</f>
        <v>1886.49972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269.49996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3213.16638666667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267.763865555556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9225.16638666667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78.1478394997983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9303.31422616647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775.276185513872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835.276185513872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-3760.012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775.276185513872</v>
      </c>
      <c r="B128" s="320" t="n">
        <f aca="false">IF(A105="YES", B89, 0)</f>
        <v>60</v>
      </c>
      <c r="C128" s="325"/>
      <c r="D128" s="320" t="n">
        <f aca="false">B91</f>
        <v>835.276185513872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6977.48566962485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7517.48566962485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775.276185513872</v>
      </c>
      <c r="B137" s="38" t="n">
        <f aca="false">IF(A105="YES", B89, 0)</f>
        <v>60</v>
      </c>
      <c r="C137" s="316"/>
      <c r="D137" s="38" t="n">
        <f aca="false">B91</f>
        <v>835.276185513872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269.49996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781.48996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835.276185513872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775.276185513872</v>
      </c>
      <c r="B171" s="354" t="n">
        <f aca="false">IF(A105="YES", B89, 0)</f>
        <v>60</v>
      </c>
      <c r="C171" s="357"/>
      <c r="D171" s="354" t="n">
        <f aca="false">B91</f>
        <v>835.276185513872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6977.48566962485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7517.48566962485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775.276185513872</v>
      </c>
      <c r="B180" s="99" t="n">
        <f aca="false">IF(A105="YES", B89, 0)</f>
        <v>60</v>
      </c>
      <c r="C180" s="352"/>
      <c r="D180" s="99" t="n">
        <f aca="false">B91</f>
        <v>835.276185513872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269.49996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781.48996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1886.49972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269.49996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2076.98976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1886.49972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269.49996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2076.98976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78.1478394997983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320.052130927544</v>
      </c>
      <c r="E33" s="212"/>
      <c r="F33" s="63"/>
      <c r="G33" s="215" t="s">
        <v>352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270.052130927544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-35235.98707024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1"/>
      <c r="C45" s="463" t="n">
        <v>30</v>
      </c>
      <c r="D45" s="463"/>
      <c r="E45" s="212"/>
      <c r="F45" s="63"/>
      <c r="G45" s="63" t="s">
        <v>373</v>
      </c>
      <c r="H45" s="234" t="n">
        <f aca="false">(H39-H44)</f>
        <v>8811.1228941323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270.052130927544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320.052130927544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320.052130927544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2829.74958</v>
      </c>
      <c r="C64" s="465" t="n">
        <v>10000</v>
      </c>
      <c r="D64" s="290" t="n">
        <f aca="false">B64</f>
        <v>2829.74958</v>
      </c>
      <c r="E64" s="466" t="n">
        <f aca="false">D64/(B58+B57)</f>
        <v>78.604155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21.6666666666667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3609.74958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100.270821666667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270.052130927544</v>
      </c>
      <c r="C83" s="473"/>
      <c r="D83" s="211"/>
      <c r="E83" s="466" t="n">
        <f aca="false">B83+E80+E77+E64</f>
        <v>370.322952594211</v>
      </c>
      <c r="F83" s="63"/>
      <c r="G83" s="304" t="s">
        <v>104</v>
      </c>
      <c r="H83" s="305" t="n">
        <f aca="false">H47</f>
        <v>270.052130927544</v>
      </c>
      <c r="I83" s="211"/>
      <c r="J83" s="211"/>
      <c r="K83" s="212"/>
      <c r="L83" s="63"/>
      <c r="M83" s="304" t="s">
        <v>104</v>
      </c>
      <c r="N83" s="305" t="n">
        <f aca="false">H47</f>
        <v>270.052130927544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13331.6262933916</v>
      </c>
      <c r="C85" s="473"/>
      <c r="D85" s="473"/>
      <c r="E85" s="466" t="n">
        <f aca="false">B85/(B58+B57)</f>
        <v>370.32295259421</v>
      </c>
      <c r="F85" s="63"/>
      <c r="G85" s="287" t="s">
        <v>114</v>
      </c>
      <c r="H85" s="127" t="n">
        <f aca="false">((H83*H29)+H81)*1.2</f>
        <v>12945.1520560699</v>
      </c>
      <c r="I85" s="211"/>
      <c r="J85" s="211"/>
      <c r="K85" s="212"/>
      <c r="L85" s="63"/>
      <c r="M85" s="287" t="s">
        <v>114</v>
      </c>
      <c r="N85" s="127" t="n">
        <f aca="false">((N83*H29)+N81)</f>
        <v>10443.8767133916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112.934309060598</v>
      </c>
      <c r="C86" s="473" t="s">
        <v>227</v>
      </c>
      <c r="D86" s="211"/>
      <c r="E86" s="466" t="n">
        <f aca="false">B86/(B58+B57)</f>
        <v>3.13706414057217</v>
      </c>
      <c r="F86" s="63"/>
      <c r="G86" s="210" t="s">
        <v>115</v>
      </c>
      <c r="H86" s="299" t="n">
        <f aca="false">((((H83*H29)+H81))/(1-H70))*H70</f>
        <v>91.3836873663668</v>
      </c>
      <c r="I86" s="211"/>
      <c r="J86" s="211"/>
      <c r="K86" s="212"/>
      <c r="L86" s="63"/>
      <c r="M86" s="210" t="s">
        <v>115</v>
      </c>
      <c r="N86" s="299" t="n">
        <f aca="false">(N85/(1-N70))*N70</f>
        <v>88.4717268984361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13444.5606024522</v>
      </c>
      <c r="C87" s="473"/>
      <c r="D87" s="475"/>
      <c r="E87" s="466" t="n">
        <f aca="false">E86+E85</f>
        <v>373.460016734783</v>
      </c>
      <c r="F87" s="63"/>
      <c r="G87" s="284" t="s">
        <v>116</v>
      </c>
      <c r="H87" s="129" t="n">
        <f aca="false">IF(H110="YES",((H85+H86)-K114),(H85+H86))</f>
        <v>13036.5357434363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10532.34844029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373.460016734783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317.964286425275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256.886547324147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438.460016734783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528.695993742348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432.496303421708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317.964286425275</v>
      </c>
      <c r="H127" s="174" t="n">
        <f aca="false">IF(G105="YES", H89*H57, 0)</f>
        <v>1264.39024390244</v>
      </c>
      <c r="I127" s="174"/>
      <c r="J127" s="333" t="n">
        <f aca="false">H91</f>
        <v>528.695993742348</v>
      </c>
      <c r="K127" s="212"/>
      <c r="L127" s="63"/>
      <c r="M127" s="332" t="n">
        <f aca="false">N90</f>
        <v>256.886547324147</v>
      </c>
      <c r="N127" s="174" t="n">
        <f aca="false">IF(M105="YES", N89*N57, 0)</f>
        <v>1053.65853658537</v>
      </c>
      <c r="O127" s="174"/>
      <c r="P127" s="174" t="n">
        <f aca="false">N91</f>
        <v>432.496303421708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373.460016734783</v>
      </c>
      <c r="B128" s="320" t="n">
        <f aca="false">IF(A105="YES", B89, 0)</f>
        <v>65</v>
      </c>
      <c r="C128" s="324"/>
      <c r="D128" s="320" t="n">
        <f aca="false">B91</f>
        <v>438.460016734783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373.460016734783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1907.78571855165</v>
      </c>
      <c r="H133" s="99" t="n">
        <f aca="false">IF(G105="YES", H89*H57, 0)</f>
        <v>1264.39024390244</v>
      </c>
      <c r="I133" s="217"/>
      <c r="J133" s="181" t="n">
        <f aca="false">H91*H57</f>
        <v>3172.17596245409</v>
      </c>
      <c r="K133" s="212"/>
      <c r="L133" s="63"/>
      <c r="M133" s="182" t="n">
        <f aca="false">N90*N57</f>
        <v>1541.31928394488</v>
      </c>
      <c r="N133" s="99" t="n">
        <f aca="false">IF(M105="YES", N89*N57, 0)</f>
        <v>1053.65853658537</v>
      </c>
      <c r="O133" s="217"/>
      <c r="P133" s="181" t="n">
        <f aca="false">N91*N57</f>
        <v>2594.97782053025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438.460016734783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373.460016734783</v>
      </c>
      <c r="B137" s="38" t="n">
        <f aca="false">IF(A105="YES", B89, 0)</f>
        <v>65</v>
      </c>
      <c r="C137" s="316"/>
      <c r="D137" s="38" t="n">
        <f aca="false">B91</f>
        <v>438.460016734783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902.07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528.695993742348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432.496303421708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438.460016734783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373.460016734783</v>
      </c>
      <c r="B177" s="354" t="n">
        <f aca="false">IF(A105="YES", B89, 0)</f>
        <v>65</v>
      </c>
      <c r="C177" s="356"/>
      <c r="D177" s="354" t="n">
        <f aca="false">B91</f>
        <v>438.460016734783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373.460016734783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438.460016734783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373.460016734783</v>
      </c>
      <c r="B186" s="99" t="n">
        <f aca="false">IF(A105="YES", B89, 0)</f>
        <v>65</v>
      </c>
      <c r="C186" s="352"/>
      <c r="D186" s="99" t="n">
        <f aca="false">B91</f>
        <v>438.460016734783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902.07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2829.74958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639.99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2721.65958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2829.74958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2721.65958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112.934309060598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21540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706.143059870511</v>
      </c>
      <c r="E33" s="212"/>
      <c r="F33" s="63"/>
      <c r="G33" s="215" t="s">
        <v>352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706.143059870511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-22067.5795313712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22458.33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706.143059870511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706.143059870511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706.143059870511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2790.4475025</v>
      </c>
      <c r="C64" s="465" t="n">
        <v>10000</v>
      </c>
      <c r="D64" s="290" t="n">
        <f aca="false">B64</f>
        <v>2790.4475025</v>
      </c>
      <c r="E64" s="466" t="n">
        <f aca="false">D64/(B58+B57)</f>
        <v>79.7270715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732.495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495</v>
      </c>
      <c r="C76" s="211"/>
      <c r="D76" s="290" t="n">
        <f aca="false">B76</f>
        <v>495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12.6984126984127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36.2857142857143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4727.11416916667</v>
      </c>
      <c r="C81" s="473"/>
      <c r="D81" s="474"/>
      <c r="E81" s="466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135.060404833333</v>
      </c>
      <c r="C82" s="473"/>
      <c r="D82" s="211"/>
      <c r="E82" s="466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706.143059870511</v>
      </c>
      <c r="C83" s="473"/>
      <c r="D83" s="211"/>
      <c r="E83" s="466" t="n">
        <f aca="false">B83+E80+E77+E64</f>
        <v>834.854258354638</v>
      </c>
      <c r="F83" s="63"/>
      <c r="G83" s="304" t="s">
        <v>104</v>
      </c>
      <c r="H83" s="305" t="n">
        <f aca="false">H47</f>
        <v>706.143059870511</v>
      </c>
      <c r="I83" s="211"/>
      <c r="J83" s="211"/>
      <c r="K83" s="212"/>
      <c r="L83" s="63"/>
      <c r="M83" s="304" t="s">
        <v>104</v>
      </c>
      <c r="N83" s="305" t="n">
        <f aca="false">H47</f>
        <v>706.143059870511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35330.5455175615</v>
      </c>
      <c r="C85" s="473"/>
      <c r="D85" s="473"/>
      <c r="E85" s="466" t="n">
        <f aca="false">B85/(B58+B57)</f>
        <v>1009.44415764461</v>
      </c>
      <c r="F85" s="63"/>
      <c r="G85" s="287" t="s">
        <v>114</v>
      </c>
      <c r="H85" s="127" t="n">
        <f aca="false">((H83*H29)+H81)*1.2</f>
        <v>30915.0085145615</v>
      </c>
      <c r="I85" s="211"/>
      <c r="J85" s="211"/>
      <c r="K85" s="212"/>
      <c r="L85" s="63"/>
      <c r="M85" s="287" t="s">
        <v>114</v>
      </c>
      <c r="N85" s="127" t="n">
        <f aca="false">((N83*H29)+N81)</f>
        <v>25432.5070954679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249.40885298803</v>
      </c>
      <c r="C86" s="473" t="s">
        <v>227</v>
      </c>
      <c r="D86" s="211"/>
      <c r="E86" s="466" t="n">
        <f aca="false">B86/(B58+B57)</f>
        <v>7.12596722822942</v>
      </c>
      <c r="F86" s="63"/>
      <c r="G86" s="210" t="s">
        <v>115</v>
      </c>
      <c r="H86" s="299" t="n">
        <f aca="false">((((H83*H29)+H81))/(1-H70))*H70</f>
        <v>218.238260994282</v>
      </c>
      <c r="I86" s="211"/>
      <c r="J86" s="211"/>
      <c r="K86" s="212"/>
      <c r="L86" s="63"/>
      <c r="M86" s="210" t="s">
        <v>115</v>
      </c>
      <c r="N86" s="299" t="n">
        <f aca="false">(N85/(1-N70))*N70</f>
        <v>215.442778945069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35579.9543705495</v>
      </c>
      <c r="C87" s="473"/>
      <c r="D87" s="475"/>
      <c r="E87" s="466" t="n">
        <f aca="false">E86+E85</f>
        <v>1016.57012487284</v>
      </c>
      <c r="F87" s="63"/>
      <c r="G87" s="284" t="s">
        <v>116</v>
      </c>
      <c r="H87" s="129" t="n">
        <f aca="false">IF(H110="YES",((H85+H86)-K114),(H85+H86))</f>
        <v>31133.2467755557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25647.949874413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1016.57012487284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778.331169388894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641.198746860324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1016.57012487284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778.331169388894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641.198746860324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778.331169388894</v>
      </c>
      <c r="H127" s="174" t="n">
        <f aca="false">IF(G105="YES", H89*H57, 0)</f>
        <v>0</v>
      </c>
      <c r="I127" s="174"/>
      <c r="J127" s="333" t="n">
        <f aca="false">H91</f>
        <v>778.331169388894</v>
      </c>
      <c r="K127" s="212"/>
      <c r="L127" s="63"/>
      <c r="M127" s="332" t="n">
        <f aca="false">N90</f>
        <v>641.198746860324</v>
      </c>
      <c r="N127" s="174" t="n">
        <f aca="false">IF(M105="YES", N89*N57, 0)</f>
        <v>0</v>
      </c>
      <c r="O127" s="174"/>
      <c r="P127" s="174" t="n">
        <f aca="false">N91</f>
        <v>641.198746860324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1016.57012487284</v>
      </c>
      <c r="B128" s="320" t="n">
        <f aca="false">IF(A105="YES", B89, 0)</f>
        <v>0</v>
      </c>
      <c r="C128" s="324"/>
      <c r="D128" s="320" t="n">
        <f aca="false">B91</f>
        <v>1016.57012487284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1016.57012487284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4669.98701633336</v>
      </c>
      <c r="H133" s="99" t="n">
        <f aca="false">IF(G105="YES", H89*H57, 0)</f>
        <v>0</v>
      </c>
      <c r="I133" s="217"/>
      <c r="J133" s="181" t="n">
        <f aca="false">H91*H57</f>
        <v>4669.98701633336</v>
      </c>
      <c r="K133" s="212"/>
      <c r="L133" s="63"/>
      <c r="M133" s="182" t="n">
        <f aca="false">N90*N57</f>
        <v>3847.19248116194</v>
      </c>
      <c r="N133" s="99" t="n">
        <f aca="false">IF(M105="YES", N89*N57, 0)</f>
        <v>0</v>
      </c>
      <c r="O133" s="217"/>
      <c r="P133" s="181" t="n">
        <f aca="false">N91*N57</f>
        <v>3847.19248116194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1016.57012487284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1016.57012487284</v>
      </c>
      <c r="B137" s="38" t="n">
        <f aca="false">IF(A105="YES", B89, 0)</f>
        <v>0</v>
      </c>
      <c r="C137" s="316"/>
      <c r="D137" s="38" t="n">
        <f aca="false">B91</f>
        <v>1016.57012487284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1272.485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778.331169388894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641.198746860324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1016.57012487284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1016.57012487284</v>
      </c>
      <c r="B177" s="354" t="n">
        <f aca="false">IF(A105="YES", B89, 0)</f>
        <v>0</v>
      </c>
      <c r="C177" s="356"/>
      <c r="D177" s="354" t="n">
        <f aca="false">B91</f>
        <v>1016.57012487284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1016.57012487284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1016.57012487284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1016.57012487284</v>
      </c>
      <c r="B186" s="99" t="n">
        <f aca="false">IF(A105="YES", B89, 0)</f>
        <v>0</v>
      </c>
      <c r="C186" s="352"/>
      <c r="D186" s="99" t="n">
        <f aca="false">B91</f>
        <v>1016.57012487284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139.99</v>
      </c>
      <c r="B200" s="99" t="n">
        <f aca="false">(A148+B148+D148+A151)*(A143/B64)</f>
        <v>0</v>
      </c>
      <c r="C200" s="99"/>
      <c r="D200" s="99" t="n">
        <f aca="false">(A148+B148+D148+A151)-B151</f>
        <v>1272.485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2790.4475025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732.495</v>
      </c>
      <c r="C211" s="319" t="s">
        <v>214</v>
      </c>
      <c r="D211" s="369" t="n">
        <f aca="false">B225+E221+B221+B223</f>
        <v>379.99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2437.9425025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2790.4475025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732.495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139.99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2437.9425025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249.40885298803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16745</v>
      </c>
      <c r="C3" s="484" t="n">
        <v>0</v>
      </c>
      <c r="D3" s="484" t="n">
        <v>0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</v>
      </c>
      <c r="C4" s="485" t="n">
        <v>0</v>
      </c>
      <c r="D4" s="485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</v>
      </c>
      <c r="C5" s="484" t="n">
        <v>0</v>
      </c>
      <c r="D5" s="484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330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695</v>
      </c>
      <c r="F10" s="387"/>
      <c r="G10" s="387"/>
      <c r="H10" s="387"/>
      <c r="I10" s="16" t="s">
        <v>1</v>
      </c>
      <c r="J10" s="14" t="n">
        <f aca="false">E15-E11-J8</f>
        <v>17440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275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21258</v>
      </c>
      <c r="F15" s="387"/>
      <c r="G15" s="17" t="n">
        <f aca="false">E15</f>
        <v>21258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20928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21258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45119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17770</v>
      </c>
      <c r="B35" s="219" t="s">
        <v>45</v>
      </c>
      <c r="C35" s="219"/>
      <c r="D35" s="278" t="n">
        <f aca="false">A35-B35</f>
        <v>16770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3488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207.333333333333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342.666666666667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345.333333333333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295.333333333333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345.333333333333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345.333333333333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20928</v>
      </c>
      <c r="C67" s="316"/>
      <c r="D67" s="316"/>
      <c r="E67" s="317"/>
      <c r="F67" s="387"/>
      <c r="G67" s="315" t="s">
        <v>14</v>
      </c>
      <c r="H67" s="32" t="n">
        <f aca="false">G18</f>
        <v>20928</v>
      </c>
      <c r="I67" s="316"/>
      <c r="J67" s="316"/>
      <c r="K67" s="317"/>
      <c r="L67" s="387"/>
      <c r="M67" s="315" t="s">
        <v>14</v>
      </c>
      <c r="N67" s="32" t="n">
        <f aca="false">G18</f>
        <v>20928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1464.96</v>
      </c>
      <c r="C70" s="316" t="n">
        <v>10000</v>
      </c>
      <c r="D70" s="32" t="n">
        <f aca="false">B70-A149</f>
        <v>1464.96</v>
      </c>
      <c r="E70" s="317" t="n">
        <f aca="false">D70/12</f>
        <v>122.08</v>
      </c>
      <c r="F70" s="387"/>
      <c r="G70" s="365" t="s">
        <v>90</v>
      </c>
      <c r="H70" s="65" t="n">
        <f aca="false">H67*H69</f>
        <v>1464.96</v>
      </c>
      <c r="I70" s="316"/>
      <c r="J70" s="32" t="n">
        <f aca="false">H70-G151</f>
        <v>1464.96</v>
      </c>
      <c r="K70" s="317"/>
      <c r="L70" s="387"/>
      <c r="M70" s="365" t="s">
        <v>90</v>
      </c>
      <c r="N70" s="65" t="n">
        <f aca="false">N67*N69</f>
        <v>1464.96</v>
      </c>
      <c r="O70" s="316"/>
      <c r="P70" s="32" t="n">
        <f aca="false">N70-M151</f>
        <v>1464.96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E15*B72</f>
        <v>212.58</v>
      </c>
      <c r="C73" s="316"/>
      <c r="D73" s="32"/>
      <c r="E73" s="317"/>
      <c r="F73" s="387"/>
      <c r="G73" s="365" t="s">
        <v>93</v>
      </c>
      <c r="H73" s="65" t="n">
        <f aca="false">H67*H72</f>
        <v>104.64</v>
      </c>
      <c r="I73" s="316"/>
      <c r="J73" s="32"/>
      <c r="K73" s="317"/>
      <c r="L73" s="387"/>
      <c r="M73" s="365" t="s">
        <v>93</v>
      </c>
      <c r="N73" s="65" t="n">
        <f aca="false">N67*N72</f>
        <v>104.64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0</v>
      </c>
      <c r="C80" s="316"/>
      <c r="D80" s="316"/>
      <c r="E80" s="403" t="n">
        <f aca="false">E79+D82</f>
        <v>660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55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0</v>
      </c>
      <c r="C82" s="316"/>
      <c r="D82" s="32" t="n">
        <f aca="false">IF(A50="YES", 0, B82)</f>
        <v>0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2791.62666666667</v>
      </c>
      <c r="C87" s="316"/>
      <c r="D87" s="316"/>
      <c r="E87" s="317"/>
      <c r="F87" s="387"/>
      <c r="G87" s="411" t="s">
        <v>102</v>
      </c>
      <c r="H87" s="412" t="n">
        <f aca="false">SUM(J70:J86)</f>
        <v>4591.46</v>
      </c>
      <c r="I87" s="316"/>
      <c r="J87" s="316"/>
      <c r="K87" s="317"/>
      <c r="L87" s="387"/>
      <c r="M87" s="411" t="s">
        <v>102</v>
      </c>
      <c r="N87" s="412" t="n">
        <f aca="false">SUM(P70:P86)</f>
        <v>4578.96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232.635555555556</v>
      </c>
      <c r="C88" s="316"/>
      <c r="D88" s="316"/>
      <c r="E88" s="317"/>
      <c r="F88" s="387"/>
      <c r="G88" s="315" t="s">
        <v>103</v>
      </c>
      <c r="H88" s="33" t="n">
        <f aca="false">H87/H29</f>
        <v>382.621666666667</v>
      </c>
      <c r="I88" s="316"/>
      <c r="J88" s="316"/>
      <c r="K88" s="317"/>
      <c r="L88" s="387"/>
      <c r="M88" s="315" t="s">
        <v>103</v>
      </c>
      <c r="N88" s="33" t="n">
        <f aca="false">N87/H29</f>
        <v>381.58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295.333333333333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7602.752</v>
      </c>
      <c r="C91" s="316"/>
      <c r="D91" s="316"/>
      <c r="E91" s="317"/>
      <c r="F91" s="387"/>
      <c r="G91" s="395" t="s">
        <v>114</v>
      </c>
      <c r="H91" s="27" t="n">
        <f aca="false">((H89*H29)+H87)*1.2</f>
        <v>5509.752</v>
      </c>
      <c r="I91" s="316"/>
      <c r="J91" s="316"/>
      <c r="K91" s="317"/>
      <c r="L91" s="387"/>
      <c r="M91" s="395" t="s">
        <v>114</v>
      </c>
      <c r="N91" s="27" t="n">
        <f aca="false">((N89*H29)+N87)</f>
        <v>4578.96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53.6700927793465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38.8949818475192</v>
      </c>
      <c r="I92" s="316"/>
      <c r="J92" s="316"/>
      <c r="K92" s="317"/>
      <c r="L92" s="387"/>
      <c r="M92" s="315" t="s">
        <v>115</v>
      </c>
      <c r="N92" s="33" t="n">
        <f aca="false">(N91/(1-N76))*N76</f>
        <v>38.789092375958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7656.42209277935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7548.64698184752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6617.74909237596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638.035174398279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716.035174398279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638.035174398279</v>
      </c>
      <c r="B134" s="320" t="n">
        <f aca="false">IF(A111="YES", B95, 0)</f>
        <v>78</v>
      </c>
      <c r="C134" s="324"/>
      <c r="D134" s="320" t="n">
        <f aca="false">B97</f>
        <v>716.035174398279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5742.31656958451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6444.31656958451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0.127548</v>
      </c>
      <c r="H142" s="38" t="n">
        <f aca="false">IF(G111="YES", E15*0.000002, 0)</f>
        <v>0.042516</v>
      </c>
      <c r="I142" s="38"/>
      <c r="J142" s="38" t="n">
        <f aca="false">G142+H142</f>
        <v>0.170064</v>
      </c>
      <c r="K142" s="101"/>
      <c r="L142" s="387"/>
      <c r="M142" s="107" t="n">
        <f aca="false">E15*0.000006</f>
        <v>0.127548</v>
      </c>
      <c r="N142" s="38" t="n">
        <f aca="false">IF(M111="YES", E15*0.000002, 0)</f>
        <v>0.042516</v>
      </c>
      <c r="O142" s="38"/>
      <c r="P142" s="38" t="n">
        <f aca="false">M142+N142</f>
        <v>0.170064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638.035174398279</v>
      </c>
      <c r="B143" s="38" t="n">
        <f aca="false">IF(A111="YES", B95, 0)</f>
        <v>78</v>
      </c>
      <c r="C143" s="316"/>
      <c r="D143" s="38" t="n">
        <f aca="false">B97</f>
        <v>716.035174398279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3488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730.571666666667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716.035174398279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638.035174398279</v>
      </c>
      <c r="B177" s="354" t="n">
        <f aca="false">IF(A111="YES", B95, 0)</f>
        <v>78</v>
      </c>
      <c r="C177" s="356"/>
      <c r="D177" s="354" t="n">
        <f aca="false">A177+B177</f>
        <v>716.035174398279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5742.31656958451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6444.31656958451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638.035174398279</v>
      </c>
      <c r="B186" s="99" t="n">
        <f aca="false">IF(A111="YES", B95, 0)</f>
        <v>78</v>
      </c>
      <c r="C186" s="352"/>
      <c r="D186" s="99" t="n">
        <f aca="false">B97</f>
        <v>716.035174398279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730.571666666667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1464.96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1772.37166666667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1772.37166666667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53.6700927793465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16745</v>
      </c>
      <c r="C3" s="484" t="n">
        <v>0</v>
      </c>
      <c r="D3" s="484" t="n">
        <v>0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</v>
      </c>
      <c r="C4" s="485" t="n">
        <v>0</v>
      </c>
      <c r="D4" s="485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</v>
      </c>
      <c r="C5" s="484" t="n">
        <v>0</v>
      </c>
      <c r="D5" s="484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330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695</v>
      </c>
      <c r="F10" s="387"/>
      <c r="G10" s="387"/>
      <c r="H10" s="387"/>
      <c r="I10" s="16" t="s">
        <v>1</v>
      </c>
      <c r="J10" s="14" t="n">
        <f aca="false">E15-E11-J8</f>
        <v>17440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275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21258</v>
      </c>
      <c r="F15" s="387"/>
      <c r="G15" s="17" t="n">
        <f aca="false">E15</f>
        <v>21258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20928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21258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45119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17770</v>
      </c>
      <c r="B35" s="219" t="s">
        <v>45</v>
      </c>
      <c r="C35" s="219"/>
      <c r="D35" s="278" t="n">
        <f aca="false">A35-B35</f>
        <v>16770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3488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207.333333333333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342.666666666667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345.333333333333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295.333333333333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345.333333333333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20928</v>
      </c>
      <c r="C67" s="316"/>
      <c r="D67" s="316"/>
      <c r="E67" s="317"/>
      <c r="F67" s="387"/>
      <c r="G67" s="315" t="s">
        <v>14</v>
      </c>
      <c r="H67" s="32" t="n">
        <f aca="false">G18</f>
        <v>20928</v>
      </c>
      <c r="I67" s="316"/>
      <c r="J67" s="316"/>
      <c r="K67" s="317"/>
      <c r="L67" s="387"/>
      <c r="M67" s="315" t="s">
        <v>14</v>
      </c>
      <c r="N67" s="32" t="n">
        <f aca="false">G18</f>
        <v>20928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1464.96</v>
      </c>
      <c r="C70" s="316" t="n">
        <v>10000</v>
      </c>
      <c r="D70" s="32" t="n">
        <f aca="false">B70-A149</f>
        <v>1464.96</v>
      </c>
      <c r="E70" s="317" t="n">
        <f aca="false">D70/12</f>
        <v>122.08</v>
      </c>
      <c r="F70" s="387"/>
      <c r="G70" s="365" t="s">
        <v>90</v>
      </c>
      <c r="H70" s="65" t="n">
        <f aca="false">H67*H69</f>
        <v>1464.96</v>
      </c>
      <c r="I70" s="316"/>
      <c r="J70" s="32" t="n">
        <f aca="false">H70-G151</f>
        <v>1464.96</v>
      </c>
      <c r="K70" s="317"/>
      <c r="L70" s="387"/>
      <c r="M70" s="365" t="s">
        <v>90</v>
      </c>
      <c r="N70" s="65" t="n">
        <f aca="false">N67*N69</f>
        <v>1464.96</v>
      </c>
      <c r="O70" s="316"/>
      <c r="P70" s="32" t="n">
        <f aca="false">N70-M151</f>
        <v>1464.96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E15*B72</f>
        <v>212.58</v>
      </c>
      <c r="C73" s="316"/>
      <c r="D73" s="32"/>
      <c r="E73" s="317"/>
      <c r="F73" s="387"/>
      <c r="G73" s="365" t="s">
        <v>93</v>
      </c>
      <c r="H73" s="65" t="n">
        <f aca="false">H67*H72</f>
        <v>104.64</v>
      </c>
      <c r="I73" s="316"/>
      <c r="J73" s="32"/>
      <c r="K73" s="317"/>
      <c r="L73" s="387"/>
      <c r="M73" s="365" t="s">
        <v>93</v>
      </c>
      <c r="N73" s="65" t="n">
        <f aca="false">N67*N72</f>
        <v>104.64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0</v>
      </c>
      <c r="C80" s="316"/>
      <c r="D80" s="316"/>
      <c r="E80" s="403" t="n">
        <f aca="false">E79+D82</f>
        <v>660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55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0</v>
      </c>
      <c r="C82" s="316"/>
      <c r="D82" s="32" t="n">
        <f aca="false">IF(A50="YES", 0, B82)</f>
        <v>0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2791.62666666667</v>
      </c>
      <c r="C87" s="316"/>
      <c r="D87" s="316"/>
      <c r="E87" s="317"/>
      <c r="F87" s="387"/>
      <c r="G87" s="411" t="s">
        <v>102</v>
      </c>
      <c r="H87" s="412" t="n">
        <f aca="false">SUM(J70:J86)</f>
        <v>4591.46</v>
      </c>
      <c r="I87" s="316"/>
      <c r="J87" s="316"/>
      <c r="K87" s="317"/>
      <c r="L87" s="387"/>
      <c r="M87" s="411" t="s">
        <v>102</v>
      </c>
      <c r="N87" s="412" t="n">
        <f aca="false">SUM(P70:P86)</f>
        <v>4578.96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232.635555555556</v>
      </c>
      <c r="C88" s="316"/>
      <c r="D88" s="316"/>
      <c r="E88" s="317"/>
      <c r="F88" s="387"/>
      <c r="G88" s="315" t="s">
        <v>103</v>
      </c>
      <c r="H88" s="33" t="n">
        <f aca="false">H87/H29</f>
        <v>382.621666666667</v>
      </c>
      <c r="I88" s="316"/>
      <c r="J88" s="316"/>
      <c r="K88" s="317"/>
      <c r="L88" s="387"/>
      <c r="M88" s="315" t="s">
        <v>103</v>
      </c>
      <c r="N88" s="33" t="n">
        <f aca="false">N87/H29</f>
        <v>381.58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295.333333333333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6335.62666666667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5509.752</v>
      </c>
      <c r="I91" s="316"/>
      <c r="J91" s="316"/>
      <c r="K91" s="317"/>
      <c r="L91" s="387"/>
      <c r="M91" s="395" t="s">
        <v>114</v>
      </c>
      <c r="N91" s="27" t="n">
        <f aca="false">((N89*H29)+N87)</f>
        <v>4578.96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53.6700927793465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38.8949818475192</v>
      </c>
      <c r="I92" s="316"/>
      <c r="J92" s="316"/>
      <c r="K92" s="317"/>
      <c r="L92" s="387"/>
      <c r="M92" s="315" t="s">
        <v>115</v>
      </c>
      <c r="N92" s="33" t="n">
        <f aca="false">(N91/(1-N76))*N76</f>
        <v>38.789092375958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6389.29675944601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7548.64698184752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6617.74909237596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532.441396620501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597.441396620501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532.441396620501</v>
      </c>
      <c r="B134" s="320" t="n">
        <f aca="false">IF(A111="YES", B95, 0)</f>
        <v>65</v>
      </c>
      <c r="C134" s="325"/>
      <c r="D134" s="320" t="n">
        <f aca="false">B97</f>
        <v>597.441396620501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4791.97256958451</v>
      </c>
      <c r="C137" s="316"/>
      <c r="D137" s="38" t="n">
        <f aca="false">IF(A111="YES", B95*B63, 0)</f>
        <v>585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5376.97256958451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0.127548</v>
      </c>
      <c r="H142" s="38" t="n">
        <f aca="false">IF(G111="YES", E15*0.000002, 0)</f>
        <v>0.042516</v>
      </c>
      <c r="I142" s="38"/>
      <c r="J142" s="38" t="n">
        <f aca="false">G142+H142</f>
        <v>0.170064</v>
      </c>
      <c r="K142" s="101"/>
      <c r="L142" s="387"/>
      <c r="M142" s="107" t="n">
        <f aca="false">E15*0.000006</f>
        <v>0.127548</v>
      </c>
      <c r="N142" s="38" t="n">
        <f aca="false">IF(M111="YES", E15*0.000002, 0)</f>
        <v>0.042516</v>
      </c>
      <c r="O142" s="38"/>
      <c r="P142" s="38" t="n">
        <f aca="false">M142+N142</f>
        <v>0.170064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532.441396620501</v>
      </c>
      <c r="B143" s="38" t="n">
        <f aca="false">IF(A111="YES", B95, 0)</f>
        <v>65</v>
      </c>
      <c r="C143" s="316"/>
      <c r="D143" s="38" t="n">
        <f aca="false">B97</f>
        <v>597.441396620501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212.58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3488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730.57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597.441396620501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532.441396620501</v>
      </c>
      <c r="B177" s="354" t="n">
        <f aca="false">IF(A111="YES", B95, 0)</f>
        <v>65</v>
      </c>
      <c r="C177" s="357"/>
      <c r="D177" s="354" t="n">
        <f aca="false">B91</f>
        <v>6335.62666666667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4791.97256958451</v>
      </c>
      <c r="C180" s="352"/>
      <c r="D180" s="99" t="n">
        <f aca="false">IF(A111="YES", B95*B63, 0)</f>
        <v>585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5376.97256958451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532.441396620501</v>
      </c>
      <c r="B186" s="99" t="n">
        <f aca="false">IF(A111="YES", B95, 0)</f>
        <v>65</v>
      </c>
      <c r="C186" s="352"/>
      <c r="D186" s="99" t="n">
        <f aca="false">B97</f>
        <v>597.441396620501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730.57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1464.96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1772.37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1772.37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53.6700927793465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/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/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/>
      <c r="F9" s="149"/>
      <c r="G9" s="136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3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/>
      <c r="F13" s="151"/>
      <c r="G13" s="153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246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17770</v>
      </c>
      <c r="B37" s="32"/>
      <c r="C37" s="41" t="s">
        <v>45</v>
      </c>
      <c r="D37" s="41"/>
      <c r="E37" s="32"/>
      <c r="F37" s="43" t="n">
        <f aca="false">A37-C37</f>
        <v>16770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13412.4357430601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199.29375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16770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11514.1760889046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419.513616970629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13424.4357430601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13424.4357430601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419.513616970629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1522.35059507587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634.549742547474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419.513616970629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n">
        <f aca="false">(K103+K104)</f>
        <v>1522.35059507587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634.549742547474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/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18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18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18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16745</v>
      </c>
      <c r="H144" s="150" t="n">
        <f aca="false">C134+E134+G134+H137</f>
        <v>16745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16745</v>
      </c>
      <c r="Q144" s="150" t="n">
        <f aca="false">L134+N134+P134+Q137</f>
        <v>28629.17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16745</v>
      </c>
      <c r="Z144" s="150" t="n">
        <f aca="false">U134+W134+Y134+Z137</f>
        <v>12558.75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16745</v>
      </c>
      <c r="AI144" s="150" t="n">
        <f aca="false">AD134+AF134+AH134+AI137</f>
        <v>12558.75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695</v>
      </c>
      <c r="H145" s="33" t="n">
        <f aca="false">G145</f>
        <v>695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695</v>
      </c>
      <c r="Q145" s="33" t="n">
        <f aca="false">P145</f>
        <v>695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695</v>
      </c>
      <c r="Z145" s="33" t="n">
        <f aca="false">Y145</f>
        <v>695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3488</v>
      </c>
      <c r="H146" s="33" t="n">
        <f aca="false">(H144+H145)*20%</f>
        <v>3488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3488</v>
      </c>
      <c r="Q146" s="33" t="n">
        <f aca="false">(Q144+Q145)*20%</f>
        <v>5864.834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3488</v>
      </c>
      <c r="Z146" s="33" t="n">
        <f aca="false">(Z144+Z145)*20%</f>
        <v>2650.75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275</v>
      </c>
      <c r="H148" s="33" t="n">
        <f aca="false">G148</f>
        <v>275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275</v>
      </c>
      <c r="Q148" s="33" t="n">
        <f aca="false">P148</f>
        <v>275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275</v>
      </c>
      <c r="Z148" s="33" t="n">
        <f aca="false">Y148</f>
        <v>275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21258</v>
      </c>
      <c r="H150" s="154" t="n">
        <f aca="false">(H144+H145+H148+H149+H146)-H147</f>
        <v>21258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21258</v>
      </c>
      <c r="Q150" s="154" t="n">
        <f aca="false">(Q144+Q145+Q148+Q149+Q146)-Q147</f>
        <v>35519.004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21258</v>
      </c>
      <c r="Z150" s="154" t="n">
        <f aca="false">(Z144+Z145+Z148+Z149+Z146)-Z147</f>
        <v>16234.5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21258</v>
      </c>
      <c r="AI150" s="154" t="n">
        <f aca="false">(AI144+AI145+AI148+AI149+AI146)-AI147</f>
        <v>16234.5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21258</v>
      </c>
      <c r="H156" s="161" t="n">
        <f aca="false">H150-((H153*1.2)+(H154*1.2)+(H155*1.2)+(H151*1.2))</f>
        <v>21258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21258</v>
      </c>
      <c r="Q156" s="161" t="n">
        <f aca="false">Q150-((Q153*1.2)+(Q154*1.2)+(Q155*1.2)+(Q151*1.2))</f>
        <v>35519.004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21258</v>
      </c>
      <c r="Z156" s="161" t="n">
        <f aca="false">Z150-((Z153*1.2)+(Z154*1.2)+(Z155*1.2)+(Z151*1.2))</f>
        <v>16234.5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21258</v>
      </c>
      <c r="AI156" s="161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14261.004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-5023.5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21258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36519.004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17234.5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17234.5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419.513616970629</v>
      </c>
      <c r="B176" s="174" t="n">
        <f aca="false">B103</f>
        <v>0</v>
      </c>
      <c r="C176" s="171"/>
      <c r="D176" s="171"/>
      <c r="E176" s="174" t="n">
        <f aca="false">B105</f>
        <v>419.513616970629</v>
      </c>
      <c r="F176" s="23"/>
      <c r="G176" s="23"/>
      <c r="H176" s="33"/>
      <c r="J176" s="173" t="n">
        <f aca="false">K104</f>
        <v>1522.35059507587</v>
      </c>
      <c r="K176" s="175" t="n">
        <f aca="false">K103</f>
        <v>0</v>
      </c>
      <c r="L176" s="172"/>
      <c r="M176" s="172"/>
      <c r="N176" s="175" t="n">
        <f aca="false">K105</f>
        <v>1522.35059507587</v>
      </c>
      <c r="O176" s="23"/>
      <c r="P176" s="23"/>
      <c r="Q176" s="33"/>
      <c r="S176" s="173" t="n">
        <f aca="false">T104</f>
        <v>634.549742547474</v>
      </c>
      <c r="T176" s="175" t="n">
        <f aca="false">T103</f>
        <v>0</v>
      </c>
      <c r="U176" s="172"/>
      <c r="V176" s="172"/>
      <c r="W176" s="175" t="n">
        <f aca="false">T105</f>
        <v>634.549742547474</v>
      </c>
      <c r="X176" s="23"/>
      <c r="Y176" s="23"/>
      <c r="Z176" s="33"/>
      <c r="AB176" s="173" t="n">
        <f aca="false">AC104</f>
        <v>634.549742547474</v>
      </c>
      <c r="AC176" s="175" t="n">
        <f aca="false">AC103</f>
        <v>0</v>
      </c>
      <c r="AD176" s="172"/>
      <c r="AE176" s="172"/>
      <c r="AF176" s="175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7200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17440</v>
      </c>
      <c r="B182" s="99" t="n">
        <f aca="false">H146</f>
        <v>3488</v>
      </c>
      <c r="C182" s="183"/>
      <c r="D182" s="23"/>
      <c r="E182" s="179" t="n">
        <f aca="false">H148+H149</f>
        <v>330</v>
      </c>
      <c r="F182" s="23"/>
      <c r="G182" s="23"/>
      <c r="H182" s="33"/>
      <c r="J182" s="182" t="n">
        <f aca="false">Q150-Q146-Q148-Q149</f>
        <v>29324.17</v>
      </c>
      <c r="K182" s="38" t="n">
        <f aca="false">Q146</f>
        <v>5864.834</v>
      </c>
      <c r="L182" s="43"/>
      <c r="M182" s="23"/>
      <c r="N182" s="181" t="n">
        <f aca="false">Q148+Q149</f>
        <v>330</v>
      </c>
      <c r="O182" s="23"/>
      <c r="P182" s="23"/>
      <c r="Q182" s="33"/>
      <c r="S182" s="182" t="n">
        <f aca="false">Z150-Z146-Z148-Z149</f>
        <v>13253.75</v>
      </c>
      <c r="T182" s="38" t="n">
        <f aca="false">Z146</f>
        <v>2650.75</v>
      </c>
      <c r="U182" s="43"/>
      <c r="V182" s="23"/>
      <c r="W182" s="181" t="n">
        <f aca="false">Z148+Z149</f>
        <v>330</v>
      </c>
      <c r="X182" s="23"/>
      <c r="Y182" s="23"/>
      <c r="Z182" s="33"/>
      <c r="AB182" s="182" t="n">
        <f aca="false">AI150-AI146-AI148-AI149</f>
        <v>13253.75</v>
      </c>
      <c r="AC182" s="38" t="n">
        <f aca="false">AI146</f>
        <v>2650.75</v>
      </c>
      <c r="AD182" s="43"/>
      <c r="AE182" s="23"/>
      <c r="AF182" s="181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21258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21258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-633.564256939884</v>
      </c>
      <c r="B191" s="99" t="str">
        <f aca="false">B123</f>
        <v>199.99</v>
      </c>
      <c r="C191" s="99"/>
      <c r="D191" s="23"/>
      <c r="E191" s="99" t="n">
        <f aca="false">E188+A191+B191+A194</f>
        <v>20834.4257430601</v>
      </c>
      <c r="F191" s="23"/>
      <c r="G191" s="23"/>
      <c r="H191" s="101"/>
      <c r="J191" s="107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1"/>
      <c r="S191" s="107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1"/>
      <c r="AB191" s="107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7210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4.1856</v>
      </c>
      <c r="B197" s="99" t="n">
        <f aca="false">(G167*B76)/1.2</f>
        <v>166.078125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0.042516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266.068125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14261.004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-5023.5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419.513616970629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419.513616970629</v>
      </c>
      <c r="B221" s="174" t="n">
        <f aca="false">B176</f>
        <v>0</v>
      </c>
      <c r="C221" s="171"/>
      <c r="D221" s="171"/>
      <c r="E221" s="174" t="n">
        <f aca="false">E176</f>
        <v>419.513616970629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17440</v>
      </c>
      <c r="B224" s="99" t="n">
        <f aca="false">B182</f>
        <v>3488</v>
      </c>
      <c r="C224" s="183"/>
      <c r="D224" s="109"/>
      <c r="E224" s="179" t="n">
        <f aca="false">E182</f>
        <v>330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21258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21258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-633.564256939884</v>
      </c>
      <c r="B233" s="99" t="str">
        <f aca="false">B191</f>
        <v>199.99</v>
      </c>
      <c r="C233" s="99"/>
      <c r="D233" s="109"/>
      <c r="E233" s="99" t="n">
        <f aca="false">E191</f>
        <v>20834.4257430601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419.513616970629</v>
      </c>
      <c r="B239" s="99" t="n">
        <f aca="false">B176</f>
        <v>0</v>
      </c>
      <c r="C239" s="183"/>
      <c r="D239" s="183"/>
      <c r="E239" s="99" t="n">
        <f aca="false">E176</f>
        <v>419.513616970629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7200</v>
      </c>
      <c r="B242" s="99" t="n">
        <f aca="false">E194</f>
        <v>7210</v>
      </c>
      <c r="C242" s="130"/>
      <c r="D242" s="130"/>
      <c r="E242" s="99" t="n">
        <f aca="false">J18*0.000006*100</f>
        <v>12.5568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4.1856</v>
      </c>
      <c r="B245" s="99" t="n">
        <f aca="false">E242+A245</f>
        <v>16.7424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166.078125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266.068125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199.29375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-99.30375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13424.4357430601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199.29375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-99.30375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/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/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/>
      <c r="F13" s="151"/>
      <c r="G13" s="153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246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17770</v>
      </c>
      <c r="B37" s="32"/>
      <c r="C37" s="41" t="s">
        <v>45</v>
      </c>
      <c r="D37" s="41"/>
      <c r="E37" s="32"/>
      <c r="F37" s="43" t="n">
        <f aca="false">A37-C37</f>
        <v>16770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13412.4357430601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199.29375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16770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11514.1760889046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419.513616970629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13424.4357430601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13424.4357430601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419.513616970629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1522.35059507587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634.549742547474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499.951116970629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n">
        <f aca="false">(K103+K104)</f>
        <v>1522.35059507587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634.549742547474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18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18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18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18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16745</v>
      </c>
      <c r="H144" s="150" t="n">
        <f aca="false">C134+E134+G134+H137</f>
        <v>16745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16745</v>
      </c>
      <c r="Q144" s="150" t="n">
        <f aca="false">L134+N134+P134+Q137</f>
        <v>28629.17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16745</v>
      </c>
      <c r="Z144" s="150" t="n">
        <f aca="false">U134+W134+Y134+Z137</f>
        <v>12558.75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16745</v>
      </c>
      <c r="AI144" s="150" t="n">
        <f aca="false">AD134+AF134+AH134+AI137</f>
        <v>12558.75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695</v>
      </c>
      <c r="H145" s="33" t="n">
        <f aca="false">G145</f>
        <v>695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695</v>
      </c>
      <c r="Q145" s="33" t="n">
        <f aca="false">P145</f>
        <v>695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695</v>
      </c>
      <c r="Z145" s="33" t="n">
        <f aca="false">Y145</f>
        <v>695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3488</v>
      </c>
      <c r="H146" s="33" t="n">
        <f aca="false">(H144+H145)*20%</f>
        <v>3488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3488</v>
      </c>
      <c r="Q146" s="33" t="n">
        <f aca="false">(Q144+Q145)*20%</f>
        <v>5864.834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3488</v>
      </c>
      <c r="Z146" s="33" t="n">
        <f aca="false">(Z144+Z145)*20%</f>
        <v>2650.75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275</v>
      </c>
      <c r="H148" s="33" t="n">
        <f aca="false">G148</f>
        <v>275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275</v>
      </c>
      <c r="Q148" s="33" t="n">
        <f aca="false">P148</f>
        <v>275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275</v>
      </c>
      <c r="Z148" s="33" t="n">
        <f aca="false">Y148</f>
        <v>275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21258</v>
      </c>
      <c r="H150" s="154" t="n">
        <f aca="false">(H144+H145+H148+H149+H146)-H147</f>
        <v>21258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21258</v>
      </c>
      <c r="Q150" s="154" t="n">
        <f aca="false">(Q144+Q145+Q148+Q149+Q146)-Q147</f>
        <v>35519.004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21258</v>
      </c>
      <c r="Z150" s="154" t="n">
        <f aca="false">(Z144+Z145+Z148+Z149+Z146)-Z147</f>
        <v>16234.5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21258</v>
      </c>
      <c r="AI150" s="154" t="n">
        <f aca="false">(AI144+AI145+AI148+AI149+AI146)-AI147</f>
        <v>16234.5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21258</v>
      </c>
      <c r="H156" s="161" t="n">
        <f aca="false">H150-((H153*1.2)+(H154*1.2)+(H155*1.2)+(H151*1.2))</f>
        <v>21258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21258</v>
      </c>
      <c r="Q156" s="161" t="n">
        <f aca="false">Q150-((Q153*1.2)+(Q154*1.2)+(Q155*1.2)+(Q151*1.2))</f>
        <v>35519.004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21258</v>
      </c>
      <c r="Z156" s="161" t="n">
        <f aca="false">Z150-((Z153*1.2)+(Z154*1.2)+(Z155*1.2)+(Z151*1.2))</f>
        <v>16234.5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21258</v>
      </c>
      <c r="AI156" s="161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14261.004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-5023.5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21258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36519.004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17234.5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17234.5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419.513616970629</v>
      </c>
      <c r="B176" s="174" t="n">
        <f aca="false">B103</f>
        <v>80.4375</v>
      </c>
      <c r="C176" s="171"/>
      <c r="D176" s="171"/>
      <c r="E176" s="174" t="n">
        <f aca="false">B105</f>
        <v>499.951116970629</v>
      </c>
      <c r="F176" s="23"/>
      <c r="G176" s="23"/>
      <c r="H176" s="33"/>
      <c r="J176" s="173" t="n">
        <f aca="false">K104</f>
        <v>1522.35059507587</v>
      </c>
      <c r="K176" s="175" t="n">
        <f aca="false">K103</f>
        <v>0</v>
      </c>
      <c r="L176" s="172"/>
      <c r="M176" s="172"/>
      <c r="N176" s="175" t="n">
        <f aca="false">K105</f>
        <v>1522.35059507587</v>
      </c>
      <c r="O176" s="23"/>
      <c r="P176" s="23"/>
      <c r="Q176" s="33"/>
      <c r="S176" s="173" t="n">
        <f aca="false">T104</f>
        <v>634.549742547474</v>
      </c>
      <c r="T176" s="175" t="n">
        <f aca="false">T103</f>
        <v>0</v>
      </c>
      <c r="U176" s="172"/>
      <c r="V176" s="172"/>
      <c r="W176" s="175" t="n">
        <f aca="false">T105</f>
        <v>634.549742547474</v>
      </c>
      <c r="X176" s="23"/>
      <c r="Y176" s="23"/>
      <c r="Z176" s="33"/>
      <c r="AB176" s="173" t="n">
        <f aca="false">AC104</f>
        <v>634.549742547474</v>
      </c>
      <c r="AC176" s="175" t="n">
        <f aca="false">AC103</f>
        <v>0</v>
      </c>
      <c r="AD176" s="172"/>
      <c r="AE176" s="172"/>
      <c r="AF176" s="175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7200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17440</v>
      </c>
      <c r="B182" s="99" t="n">
        <f aca="false">H146</f>
        <v>3488</v>
      </c>
      <c r="C182" s="183"/>
      <c r="D182" s="23"/>
      <c r="E182" s="179" t="n">
        <f aca="false">H148+H149</f>
        <v>330</v>
      </c>
      <c r="F182" s="23"/>
      <c r="G182" s="23"/>
      <c r="H182" s="33"/>
      <c r="J182" s="182" t="n">
        <f aca="false">Q150-Q146-Q148-Q149</f>
        <v>29324.17</v>
      </c>
      <c r="K182" s="38" t="n">
        <f aca="false">Q146</f>
        <v>5864.834</v>
      </c>
      <c r="L182" s="43"/>
      <c r="M182" s="23"/>
      <c r="N182" s="181" t="n">
        <f aca="false">Q148+Q149</f>
        <v>330</v>
      </c>
      <c r="O182" s="23"/>
      <c r="P182" s="23"/>
      <c r="Q182" s="33"/>
      <c r="S182" s="182" t="n">
        <f aca="false">Z150-Z146-Z148-Z149</f>
        <v>13253.75</v>
      </c>
      <c r="T182" s="38" t="n">
        <f aca="false">Z146</f>
        <v>2650.75</v>
      </c>
      <c r="U182" s="43"/>
      <c r="V182" s="23"/>
      <c r="W182" s="181" t="n">
        <f aca="false">Z148+Z149</f>
        <v>330</v>
      </c>
      <c r="X182" s="23"/>
      <c r="Y182" s="23"/>
      <c r="Z182" s="33"/>
      <c r="AB182" s="182" t="n">
        <f aca="false">AI150-AI146-AI148-AI149</f>
        <v>13253.75</v>
      </c>
      <c r="AC182" s="38" t="n">
        <f aca="false">AI146</f>
        <v>2650.75</v>
      </c>
      <c r="AD182" s="43"/>
      <c r="AE182" s="23"/>
      <c r="AF182" s="181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21258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21258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-633.564256939884</v>
      </c>
      <c r="B191" s="99" t="str">
        <f aca="false">B123</f>
        <v>239.99</v>
      </c>
      <c r="C191" s="99"/>
      <c r="D191" s="23"/>
      <c r="E191" s="99" t="n">
        <f aca="false">E188+A191+B191+A194</f>
        <v>20874.4257430601</v>
      </c>
      <c r="F191" s="23"/>
      <c r="G191" s="23"/>
      <c r="H191" s="101"/>
      <c r="J191" s="107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1"/>
      <c r="S191" s="107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1"/>
      <c r="AB191" s="107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7210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5.02272</v>
      </c>
      <c r="B197" s="99" t="n">
        <f aca="false">(G167*B76)/1.2</f>
        <v>166.078125</v>
      </c>
      <c r="C197" s="130"/>
      <c r="D197" s="130"/>
      <c r="E197" s="99" t="n">
        <f aca="false">IF(E114="YES",(K55*A117*0.1), 0)</f>
        <v>49.5</v>
      </c>
      <c r="F197" s="23"/>
      <c r="G197" s="23"/>
      <c r="H197" s="33"/>
      <c r="J197" s="107" t="n">
        <f aca="false">IF(N114="YES", H15*0.000002, 0)</f>
        <v>0.042516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315.569791666667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14261.004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-5023.5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499.951116970629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419.513616970629</v>
      </c>
      <c r="B221" s="174" t="n">
        <f aca="false">B176</f>
        <v>80.4375</v>
      </c>
      <c r="C221" s="171"/>
      <c r="D221" s="171"/>
      <c r="E221" s="174" t="n">
        <f aca="false">E176</f>
        <v>499.951116970629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17440</v>
      </c>
      <c r="B224" s="99" t="n">
        <f aca="false">B182</f>
        <v>3488</v>
      </c>
      <c r="C224" s="183"/>
      <c r="D224" s="109"/>
      <c r="E224" s="179" t="n">
        <f aca="false">E182</f>
        <v>330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21258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21258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-633.564256939884</v>
      </c>
      <c r="B233" s="99" t="str">
        <f aca="false">B191</f>
        <v>239.99</v>
      </c>
      <c r="C233" s="99"/>
      <c r="D233" s="109"/>
      <c r="E233" s="99" t="n">
        <f aca="false">E191</f>
        <v>20874.4257430601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419.513616970629</v>
      </c>
      <c r="B239" s="99" t="n">
        <f aca="false">B176</f>
        <v>80.4375</v>
      </c>
      <c r="C239" s="183"/>
      <c r="D239" s="183"/>
      <c r="E239" s="99" t="n">
        <f aca="false">E176</f>
        <v>499.951116970629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7200</v>
      </c>
      <c r="B242" s="99" t="n">
        <f aca="false">E194</f>
        <v>7210</v>
      </c>
      <c r="C242" s="130"/>
      <c r="D242" s="130"/>
      <c r="E242" s="99" t="n">
        <f aca="false">J18*0.000006*100*1.2</f>
        <v>15.06816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5.02272</v>
      </c>
      <c r="B245" s="99" t="n">
        <f aca="false">E242+A245</f>
        <v>20.09088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166.078125</v>
      </c>
      <c r="C249" s="130"/>
      <c r="D249" s="130"/>
      <c r="E249" s="99" t="n">
        <f aca="false">E197</f>
        <v>49.5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315.569791666667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199.29375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594.991666666667</v>
      </c>
      <c r="C264" s="194"/>
      <c r="D264" s="195" t="s">
        <v>215</v>
      </c>
      <c r="E264" s="195"/>
      <c r="F264" s="196" t="n">
        <f aca="false">(B263-F263)+B264</f>
        <v>395.697916666667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13424.4357430601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199.29375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395.697916666667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320.052130927544</v>
      </c>
      <c r="E33" s="212"/>
      <c r="F33" s="63"/>
      <c r="G33" s="215" t="s">
        <v>352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270.052130927544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-35235.98707024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1"/>
      <c r="C45" s="463" t="n">
        <v>30</v>
      </c>
      <c r="D45" s="463"/>
      <c r="E45" s="212"/>
      <c r="F45" s="63"/>
      <c r="G45" s="63" t="s">
        <v>373</v>
      </c>
      <c r="H45" s="234" t="n">
        <f aca="false">(H39-H44)</f>
        <v>8811.1228941323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270.052130927544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320.052130927544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320.052130927544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2829.74958</v>
      </c>
      <c r="C64" s="465" t="n">
        <v>10000</v>
      </c>
      <c r="D64" s="290" t="n">
        <f aca="false">B64</f>
        <v>2829.74958</v>
      </c>
      <c r="E64" s="466" t="n">
        <f aca="false">D64/(B58+B57)</f>
        <v>78.604155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748.1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4785.16624666667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132.92128462963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270.052130927544</v>
      </c>
      <c r="C83" s="473"/>
      <c r="D83" s="211"/>
      <c r="E83" s="466" t="n">
        <f aca="false">B83+E80+E77+E64</f>
        <v>396.800576051001</v>
      </c>
      <c r="F83" s="63"/>
      <c r="G83" s="304" t="s">
        <v>104</v>
      </c>
      <c r="H83" s="305" t="n">
        <f aca="false">H47</f>
        <v>270.052130927544</v>
      </c>
      <c r="I83" s="211"/>
      <c r="J83" s="211"/>
      <c r="K83" s="212"/>
      <c r="L83" s="63"/>
      <c r="M83" s="304" t="s">
        <v>104</v>
      </c>
      <c r="N83" s="305" t="n">
        <f aca="false">H47</f>
        <v>270.052130927544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14507.0429600582</v>
      </c>
      <c r="C85" s="473"/>
      <c r="D85" s="473"/>
      <c r="E85" s="466" t="n">
        <f aca="false">B85/(B58+B57)</f>
        <v>402.973415557173</v>
      </c>
      <c r="F85" s="63"/>
      <c r="G85" s="287" t="s">
        <v>114</v>
      </c>
      <c r="H85" s="127" t="n">
        <f aca="false">((H83*H29)+H81)*1.2</f>
        <v>12945.1520560699</v>
      </c>
      <c r="I85" s="211"/>
      <c r="J85" s="211"/>
      <c r="K85" s="212"/>
      <c r="L85" s="63"/>
      <c r="M85" s="287" t="s">
        <v>114</v>
      </c>
      <c r="N85" s="127" t="n">
        <f aca="false">((N83*H29)+N81)</f>
        <v>10443.8767133916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122.891449036395</v>
      </c>
      <c r="C86" s="473" t="s">
        <v>227</v>
      </c>
      <c r="D86" s="211"/>
      <c r="E86" s="466" t="n">
        <f aca="false">B86/(B58+B57)</f>
        <v>3.41365136212208</v>
      </c>
      <c r="F86" s="63"/>
      <c r="G86" s="210" t="s">
        <v>115</v>
      </c>
      <c r="H86" s="299" t="n">
        <f aca="false">((((H83*H29)+H81))/(1-H70))*H70</f>
        <v>91.3836873663668</v>
      </c>
      <c r="I86" s="211"/>
      <c r="J86" s="211"/>
      <c r="K86" s="212"/>
      <c r="L86" s="63"/>
      <c r="M86" s="210" t="s">
        <v>115</v>
      </c>
      <c r="N86" s="299" t="n">
        <f aca="false">(N85/(1-N70))*N70</f>
        <v>88.4717268984361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14629.9344090946</v>
      </c>
      <c r="C87" s="473"/>
      <c r="D87" s="475"/>
      <c r="E87" s="466" t="n">
        <f aca="false">E86+E85</f>
        <v>406.387066919296</v>
      </c>
      <c r="F87" s="63"/>
      <c r="G87" s="284" t="s">
        <v>116</v>
      </c>
      <c r="H87" s="129" t="n">
        <f aca="false">IF(H110="YES",((H85+H86)-K114),(H85+H86))</f>
        <v>13036.5357434363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10532.34844029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406.387066919296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317.964286425275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256.886547324147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471.387066919296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528.695993742348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432.496303421708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317.964286425275</v>
      </c>
      <c r="H127" s="174" t="n">
        <f aca="false">IF(G105="YES", H89*H57, 0)</f>
        <v>1264.39024390244</v>
      </c>
      <c r="I127" s="174"/>
      <c r="J127" s="333" t="n">
        <f aca="false">H91</f>
        <v>528.695993742348</v>
      </c>
      <c r="K127" s="212"/>
      <c r="L127" s="63"/>
      <c r="M127" s="332" t="n">
        <f aca="false">N90</f>
        <v>256.886547324147</v>
      </c>
      <c r="N127" s="174" t="n">
        <f aca="false">IF(M105="YES", N89*N57, 0)</f>
        <v>1053.65853658537</v>
      </c>
      <c r="O127" s="174"/>
      <c r="P127" s="174" t="n">
        <f aca="false">N91</f>
        <v>432.496303421708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406.387066919296</v>
      </c>
      <c r="B128" s="320" t="n">
        <f aca="false">IF(A105="YES", B89, 0)</f>
        <v>65</v>
      </c>
      <c r="C128" s="324"/>
      <c r="D128" s="320" t="n">
        <f aca="false">B91</f>
        <v>471.387066919296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406.387066919296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1907.78571855165</v>
      </c>
      <c r="H133" s="99" t="n">
        <f aca="false">IF(G105="YES", H89*H57, 0)</f>
        <v>1264.39024390244</v>
      </c>
      <c r="I133" s="217"/>
      <c r="J133" s="181" t="n">
        <f aca="false">H91*H57</f>
        <v>3172.17596245409</v>
      </c>
      <c r="K133" s="212"/>
      <c r="L133" s="63"/>
      <c r="M133" s="182" t="n">
        <f aca="false">N90*N57</f>
        <v>1541.31928394488</v>
      </c>
      <c r="N133" s="99" t="n">
        <f aca="false">IF(M105="YES", N89*N57, 0)</f>
        <v>1053.65853658537</v>
      </c>
      <c r="O133" s="217"/>
      <c r="P133" s="181" t="n">
        <f aca="false">N91*N57</f>
        <v>2594.97782053025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471.387066919296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406.387066919296</v>
      </c>
      <c r="B137" s="38" t="n">
        <f aca="false">IF(A105="YES", B89, 0)</f>
        <v>65</v>
      </c>
      <c r="C137" s="316"/>
      <c r="D137" s="38" t="n">
        <f aca="false">B91</f>
        <v>471.387066919296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748.1</v>
      </c>
      <c r="B148" s="99" t="n">
        <f aca="false">B102</f>
        <v>400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1302.09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528.695993742348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432.496303421708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471.387066919296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406.387066919296</v>
      </c>
      <c r="B177" s="354" t="n">
        <f aca="false">IF(A105="YES", B89, 0)</f>
        <v>65</v>
      </c>
      <c r="C177" s="356"/>
      <c r="D177" s="354" t="n">
        <f aca="false">B91</f>
        <v>471.387066919296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406.387066919296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471.387066919296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406.387066919296</v>
      </c>
      <c r="B186" s="99" t="n">
        <f aca="false">IF(A105="YES", B89, 0)</f>
        <v>65</v>
      </c>
      <c r="C186" s="352"/>
      <c r="D186" s="99" t="n">
        <f aca="false">B91</f>
        <v>471.387066919296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748.1</v>
      </c>
      <c r="B197" s="99" t="n">
        <f aca="false">B102</f>
        <v>400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1302.09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2829.74958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748.1</v>
      </c>
      <c r="C211" s="319" t="s">
        <v>214</v>
      </c>
      <c r="D211" s="369" t="n">
        <f aca="false">B225+E221+B221+B223</f>
        <v>879.99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2961.63958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2829.74958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748.1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2961.63958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122.891449036395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8.96969696969697</v>
      </c>
      <c r="E32" s="222"/>
      <c r="F32" s="63"/>
      <c r="G32" s="223" t="s">
        <v>241</v>
      </c>
      <c r="H32" s="221" t="n">
        <f aca="false">A41</f>
        <v>8.96969696969697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508.969696969697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381</v>
      </c>
      <c r="I36" s="0"/>
      <c r="J36" s="44" t="s">
        <v>51</v>
      </c>
      <c r="K36" s="52" t="n">
        <f aca="false">K32-K34</f>
        <v>16770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8.96969696969697</v>
      </c>
      <c r="B41" s="237" t="n">
        <f aca="false">IF(B38="YES", D38+A41, D38)</f>
        <v>508.969696969697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8.96969696969697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509.333333333333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509.333333333333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12915.1024097268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199.29375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16770</v>
      </c>
      <c r="C81" s="130"/>
      <c r="D81" s="130"/>
      <c r="E81" s="109"/>
      <c r="F81" s="25" t="s">
        <v>105</v>
      </c>
      <c r="G81" s="27" t="n">
        <f aca="false">G158</f>
        <v>21258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130" t="n">
        <f aca="false">(B82/((1+B84)^(B85+1)))</f>
        <v>5255.82391109543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11514.1760889046</v>
      </c>
      <c r="C88" s="130" t="n">
        <f aca="false">B81-B86</f>
        <v>11514.1760889046</v>
      </c>
      <c r="D88" s="130"/>
      <c r="E88" s="109"/>
      <c r="F88" s="31" t="s">
        <v>112</v>
      </c>
      <c r="G88" s="33" t="n">
        <f aca="false">G81-G86</f>
        <v>15233.6270487143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419.513616970629</v>
      </c>
      <c r="C89" s="130" t="n">
        <f aca="false">(B88/B87)</f>
        <v>419.513616970629</v>
      </c>
      <c r="D89" s="130"/>
      <c r="E89" s="109"/>
      <c r="F89" s="31" t="s">
        <v>113</v>
      </c>
      <c r="G89" s="33" t="n">
        <f aca="false">(G88/G87)</f>
        <v>519.784811004422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13424.4357430601</v>
      </c>
      <c r="C90" s="130"/>
      <c r="D90" s="130"/>
      <c r="E90" s="109"/>
      <c r="F90" s="31" t="s">
        <v>114</v>
      </c>
      <c r="G90" s="33" t="n">
        <f aca="false">((G89*(G85))+G77)</f>
        <v>16633.1139521415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13424.4357430601</v>
      </c>
      <c r="C92" s="130"/>
      <c r="D92" s="130"/>
      <c r="E92" s="109"/>
      <c r="F92" s="56" t="s">
        <v>116</v>
      </c>
      <c r="G92" s="65" t="n">
        <f aca="false">(G90+G91)</f>
        <v>16633.1139521415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14.43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419.513616970629</v>
      </c>
      <c r="C95" s="130"/>
      <c r="D95" s="130"/>
      <c r="E95" s="109"/>
      <c r="F95" s="91" t="s">
        <v>118</v>
      </c>
      <c r="G95" s="92" t="n">
        <f aca="false">G92/(G85)</f>
        <v>519.784811004422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433.943616970629</v>
      </c>
      <c r="C96" s="130"/>
      <c r="D96" s="130"/>
      <c r="E96" s="109"/>
      <c r="F96" s="93" t="s">
        <v>119</v>
      </c>
      <c r="G96" s="94" t="n">
        <f aca="false">G94+G95</f>
        <v>519.784811004422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232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16745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16745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3488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21258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21258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-17715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21258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419.513616970629</v>
      </c>
      <c r="B167" s="174" t="n">
        <f aca="false">B94</f>
        <v>14.43</v>
      </c>
      <c r="C167" s="171"/>
      <c r="D167" s="171"/>
      <c r="E167" s="174" t="n">
        <f aca="false">B96</f>
        <v>433.943616970629</v>
      </c>
      <c r="F167" s="23"/>
      <c r="G167" s="23" t="n">
        <f aca="false">ROUND(G95, 2)</f>
        <v>519.78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17440</v>
      </c>
      <c r="B173" s="99" t="n">
        <f aca="false">H137</f>
        <v>3488</v>
      </c>
      <c r="C173" s="183"/>
      <c r="D173" s="23"/>
      <c r="E173" s="179" t="n">
        <f aca="false">H139+H140</f>
        <v>330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21258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21258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-633.564256939884</v>
      </c>
      <c r="B182" s="99" t="str">
        <f aca="false">B114</f>
        <v>239.99</v>
      </c>
      <c r="C182" s="99"/>
      <c r="D182" s="23"/>
      <c r="E182" s="99" t="n">
        <f aca="false">E179+A182+B182+A185</f>
        <v>20874.4257430601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5.02272</v>
      </c>
      <c r="B188" s="99" t="n">
        <f aca="false">(G158*B67)/1.2</f>
        <v>166.078125</v>
      </c>
      <c r="C188" s="130"/>
      <c r="D188" s="130"/>
      <c r="E188" s="99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274.949791666667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433.943616970629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2574.96</v>
      </c>
      <c r="B201" s="183" t="n">
        <f aca="false">E179+A201+B182+A185</f>
        <v>24082.95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419.513616970629</v>
      </c>
      <c r="B212" s="174" t="n">
        <f aca="false">B167</f>
        <v>14.43</v>
      </c>
      <c r="C212" s="171"/>
      <c r="D212" s="171"/>
      <c r="E212" s="174" t="n">
        <f aca="false">E167</f>
        <v>433.943616970629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17440</v>
      </c>
      <c r="B215" s="99" t="n">
        <f aca="false">B173</f>
        <v>3488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21258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21258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-633.564256939884</v>
      </c>
      <c r="B224" s="99" t="str">
        <f aca="false">B182</f>
        <v>239.99</v>
      </c>
      <c r="C224" s="99"/>
      <c r="D224" s="109"/>
      <c r="E224" s="99" t="n">
        <f aca="false">E182</f>
        <v>20874.4257430601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419.513616970629</v>
      </c>
      <c r="B230" s="99" t="n">
        <f aca="false">B167</f>
        <v>14.43</v>
      </c>
      <c r="C230" s="183"/>
      <c r="D230" s="183"/>
      <c r="E230" s="99" t="n">
        <f aca="false">E167</f>
        <v>433.943616970629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15.06816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5.02272</v>
      </c>
      <c r="B236" s="99" t="n">
        <f aca="false">E233+A236</f>
        <v>20.09088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166.078125</v>
      </c>
      <c r="C240" s="130"/>
      <c r="D240" s="130"/>
      <c r="E240" s="99" t="n">
        <f aca="false">IF(E105 = "YES" , (H36*A108)*0.1 , 0)</f>
        <v>8.88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274.949791666667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-3198.5242569399</v>
      </c>
      <c r="C254" s="194"/>
      <c r="D254" s="195" t="s">
        <v>213</v>
      </c>
      <c r="E254" s="195"/>
      <c r="F254" s="196" t="n">
        <f aca="false">F261+F267+F269+B270+B271</f>
        <v>199.29375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188.791666666667</v>
      </c>
      <c r="C255" s="194"/>
      <c r="D255" s="195" t="s">
        <v>215</v>
      </c>
      <c r="E255" s="195"/>
      <c r="F255" s="196" t="n">
        <f aca="false">(B254-F254)+B255</f>
        <v>-3209.02634027323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-3198.5242569399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199.29375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-3209.02634027323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16770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13676.0741093692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199.29375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16770</v>
      </c>
      <c r="C81" s="130"/>
      <c r="D81" s="130"/>
      <c r="E81" s="109"/>
      <c r="F81" s="25" t="s">
        <v>105</v>
      </c>
      <c r="G81" s="27" t="n">
        <f aca="false">G158</f>
        <v>21258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130" t="n">
        <f aca="false">(B82/((1+B84)^(B85+1)))</f>
        <v>4950.38529500718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130" t="n">
        <f aca="false">((1-(1/((1+B84)^B85)))/B84)</f>
        <v>26.6800219733353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11819.6147049928</v>
      </c>
      <c r="C88" s="130" t="n">
        <f aca="false">B81-B86</f>
        <v>11819.6147049928</v>
      </c>
      <c r="D88" s="130"/>
      <c r="E88" s="109"/>
      <c r="F88" s="31" t="s">
        <v>112</v>
      </c>
      <c r="G88" s="33" t="n">
        <f aca="false">G81-G86</f>
        <v>15233.6270487143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443.01367955415</v>
      </c>
      <c r="C89" s="130" t="n">
        <f aca="false">(B88/B87)</f>
        <v>443.01367955415</v>
      </c>
      <c r="D89" s="130"/>
      <c r="E89" s="109"/>
      <c r="F89" s="31" t="s">
        <v>113</v>
      </c>
      <c r="G89" s="33" t="n">
        <f aca="false">(G88/G87)</f>
        <v>519.784811004422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14176.4377457328</v>
      </c>
      <c r="C90" s="130"/>
      <c r="D90" s="130"/>
      <c r="E90" s="109"/>
      <c r="F90" s="31" t="s">
        <v>114</v>
      </c>
      <c r="G90" s="33" t="n">
        <f aca="false">((G89*(G85))+G77)</f>
        <v>16633.1139521415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14176.4377457328</v>
      </c>
      <c r="C92" s="130"/>
      <c r="D92" s="130"/>
      <c r="E92" s="109"/>
      <c r="F92" s="56" t="s">
        <v>116</v>
      </c>
      <c r="G92" s="65" t="n">
        <f aca="false">(G90+G91)</f>
        <v>16633.1139521415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443.01367955415</v>
      </c>
      <c r="C95" s="130"/>
      <c r="D95" s="130"/>
      <c r="E95" s="109"/>
      <c r="F95" s="91" t="s">
        <v>118</v>
      </c>
      <c r="G95" s="92" t="n">
        <f aca="false">G92/(G85)</f>
        <v>519.784811004422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443.01367955415</v>
      </c>
      <c r="C96" s="130"/>
      <c r="D96" s="130"/>
      <c r="E96" s="109"/>
      <c r="F96" s="93" t="s">
        <v>119</v>
      </c>
      <c r="G96" s="94" t="n">
        <f aca="false">G94+G95</f>
        <v>519.784811004422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/>
      <c r="E108" s="104" t="n">
        <f aca="false">B83</f>
        <v>0.137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148</v>
      </c>
      <c r="D120" s="112" t="s">
        <v>147</v>
      </c>
      <c r="E120" s="114" t="n">
        <v>0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16745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16745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3488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21258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21258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-17715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21258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443.01367955415</v>
      </c>
      <c r="B167" s="174" t="str">
        <f aca="false">B94</f>
        <v>0</v>
      </c>
      <c r="C167" s="171"/>
      <c r="D167" s="171"/>
      <c r="E167" s="174" t="n">
        <f aca="false">B96</f>
        <v>443.01367955415</v>
      </c>
      <c r="F167" s="23"/>
      <c r="G167" s="23" t="n">
        <f aca="false">ROUND(G95, 2)</f>
        <v>519.78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17440</v>
      </c>
      <c r="B173" s="99" t="n">
        <f aca="false">H137</f>
        <v>3488</v>
      </c>
      <c r="C173" s="183"/>
      <c r="D173" s="23"/>
      <c r="E173" s="179" t="n">
        <f aca="false">H139+H140</f>
        <v>330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21258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21258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118.437745732797</v>
      </c>
      <c r="B182" s="99" t="str">
        <f aca="false">B114</f>
        <v>199.99</v>
      </c>
      <c r="C182" s="99"/>
      <c r="D182" s="23"/>
      <c r="E182" s="99" t="n">
        <f aca="false">E179+A182+(B182*1.2)+A185</f>
        <v>21626.4257457328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4.1856</v>
      </c>
      <c r="B188" s="99" t="n">
        <f aca="false">(G158*B67)/1.2</f>
        <v>166.078125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266.068125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443.01367955415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2574.96</v>
      </c>
      <c r="B201" s="183" t="n">
        <f aca="false">E179+A201+(B182*1.2)+A185</f>
        <v>24082.948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443.01367955415</v>
      </c>
      <c r="B212" s="174" t="str">
        <f aca="false">B167</f>
        <v>0</v>
      </c>
      <c r="C212" s="171"/>
      <c r="D212" s="171"/>
      <c r="E212" s="174" t="n">
        <f aca="false">E167</f>
        <v>443.01367955415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17440</v>
      </c>
      <c r="B215" s="99" t="n">
        <f aca="false">B173</f>
        <v>3488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21258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21258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118.437745732797</v>
      </c>
      <c r="B224" s="99" t="str">
        <f aca="false">B182</f>
        <v>199.99</v>
      </c>
      <c r="C224" s="99"/>
      <c r="D224" s="109"/>
      <c r="E224" s="99" t="n">
        <f aca="false">E182</f>
        <v>21626.4257457328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443.01367955415</v>
      </c>
      <c r="B230" s="99" t="str">
        <f aca="false">B167</f>
        <v>0</v>
      </c>
      <c r="C230" s="183"/>
      <c r="D230" s="183"/>
      <c r="E230" s="99" t="n">
        <f aca="false">E167</f>
        <v>443.01367955415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12.5568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4.1856</v>
      </c>
      <c r="B236" s="99" t="n">
        <f aca="false">E233+A236</f>
        <v>16.7424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166.078125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266.068125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-2446.5222542672</v>
      </c>
      <c r="C254" s="194"/>
      <c r="D254" s="195" t="s">
        <v>213</v>
      </c>
      <c r="E254" s="195"/>
      <c r="F254" s="196" t="n">
        <f aca="false">F261+F267+F269+B270+B271</f>
        <v>199.29375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-2545.8260042672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B254</f>
        <v>-2446.5222542672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199.29375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-2545.8260042672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8.96969696969697</v>
      </c>
      <c r="E32" s="222"/>
      <c r="F32" s="63"/>
      <c r="G32" s="223" t="s">
        <v>241</v>
      </c>
      <c r="H32" s="221" t="n">
        <f aca="false">A41</f>
        <v>8.96969696969697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508.969696969697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381</v>
      </c>
      <c r="I36" s="0"/>
      <c r="J36" s="44" t="s">
        <v>51</v>
      </c>
      <c r="K36" s="52" t="n">
        <f aca="false">K32-K34</f>
        <v>16770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8.96969696969697</v>
      </c>
      <c r="B41" s="237" t="n">
        <f aca="false">IF(B38="YES", D38+A41, D38)</f>
        <v>508.969696969697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8.96969696969697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509.333333333333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509.333333333333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12915.1024097268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199.29375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16770</v>
      </c>
      <c r="C81" s="130"/>
      <c r="D81" s="130"/>
      <c r="E81" s="109"/>
      <c r="F81" s="25" t="s">
        <v>105</v>
      </c>
      <c r="G81" s="27" t="n">
        <f aca="false">G158</f>
        <v>21258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130" t="n">
        <f aca="false">(B82/((1+B84)^(B85+1)))</f>
        <v>5255.82391109543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11514.1760889046</v>
      </c>
      <c r="C88" s="130" t="n">
        <f aca="false">B81-B86</f>
        <v>11514.1760889046</v>
      </c>
      <c r="D88" s="130"/>
      <c r="E88" s="109"/>
      <c r="F88" s="31" t="s">
        <v>112</v>
      </c>
      <c r="G88" s="33" t="n">
        <f aca="false">G81-G86</f>
        <v>15233.6270487143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419.513616970629</v>
      </c>
      <c r="C89" s="130" t="n">
        <f aca="false">(B88/B87)</f>
        <v>419.513616970629</v>
      </c>
      <c r="D89" s="130"/>
      <c r="E89" s="109"/>
      <c r="F89" s="31" t="s">
        <v>113</v>
      </c>
      <c r="G89" s="33" t="n">
        <f aca="false">(G88/G87)</f>
        <v>519.784811004422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13424.4357430601</v>
      </c>
      <c r="C90" s="130"/>
      <c r="D90" s="130"/>
      <c r="E90" s="109"/>
      <c r="F90" s="31" t="s">
        <v>114</v>
      </c>
      <c r="G90" s="33" t="n">
        <f aca="false">((G89*(G85))+G77)</f>
        <v>16633.1139521415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13424.4357430601</v>
      </c>
      <c r="C92" s="130"/>
      <c r="D92" s="130"/>
      <c r="E92" s="109"/>
      <c r="F92" s="56" t="s">
        <v>116</v>
      </c>
      <c r="G92" s="65" t="n">
        <f aca="false">(G90+G91)</f>
        <v>16633.1139521415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14.43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419.513616970629</v>
      </c>
      <c r="C95" s="130"/>
      <c r="D95" s="130"/>
      <c r="E95" s="109"/>
      <c r="F95" s="91" t="s">
        <v>118</v>
      </c>
      <c r="G95" s="92" t="n">
        <f aca="false">G92/(G85)</f>
        <v>519.784811004422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433.943616970629</v>
      </c>
      <c r="C96" s="130"/>
      <c r="D96" s="130"/>
      <c r="E96" s="109"/>
      <c r="F96" s="93" t="s">
        <v>119</v>
      </c>
      <c r="G96" s="94" t="n">
        <f aca="false">G94+G95</f>
        <v>519.784811004422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232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16745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16745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3488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21258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21258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-17715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21258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419.513616970629</v>
      </c>
      <c r="B167" s="174" t="n">
        <f aca="false">B94</f>
        <v>14.43</v>
      </c>
      <c r="C167" s="171"/>
      <c r="D167" s="171"/>
      <c r="E167" s="174" t="n">
        <f aca="false">B96</f>
        <v>433.943616970629</v>
      </c>
      <c r="F167" s="23"/>
      <c r="G167" s="23" t="n">
        <f aca="false">ROUND(G95, 2)</f>
        <v>519.78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17440</v>
      </c>
      <c r="B173" s="99" t="n">
        <f aca="false">H137</f>
        <v>3488</v>
      </c>
      <c r="C173" s="183"/>
      <c r="D173" s="23"/>
      <c r="E173" s="179" t="n">
        <f aca="false">H139+H140</f>
        <v>330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21258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21258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-633.564256939884</v>
      </c>
      <c r="B182" s="99" t="str">
        <f aca="false">B114</f>
        <v>239.99</v>
      </c>
      <c r="C182" s="99"/>
      <c r="D182" s="23"/>
      <c r="E182" s="99" t="n">
        <f aca="false">E179+A182+B182+A185</f>
        <v>20874.4257430601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5.02272</v>
      </c>
      <c r="B188" s="99" t="n">
        <f aca="false">(G158*B67)/1.2</f>
        <v>166.078125</v>
      </c>
      <c r="C188" s="130"/>
      <c r="D188" s="130"/>
      <c r="E188" s="99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274.949791666667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433.943616970629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2574.96</v>
      </c>
      <c r="B201" s="183" t="n">
        <f aca="false">E179+A201+B182+A185</f>
        <v>24082.95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419.513616970629</v>
      </c>
      <c r="B212" s="174" t="n">
        <f aca="false">B167</f>
        <v>14.43</v>
      </c>
      <c r="C212" s="171"/>
      <c r="D212" s="171"/>
      <c r="E212" s="174" t="n">
        <f aca="false">E167</f>
        <v>433.943616970629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17440</v>
      </c>
      <c r="B215" s="99" t="n">
        <f aca="false">B173</f>
        <v>3488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21258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21258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-633.564256939884</v>
      </c>
      <c r="B224" s="99" t="str">
        <f aca="false">B182</f>
        <v>239.99</v>
      </c>
      <c r="C224" s="99"/>
      <c r="D224" s="109"/>
      <c r="E224" s="99" t="n">
        <f aca="false">E182</f>
        <v>20874.4257430601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419.513616970629</v>
      </c>
      <c r="B230" s="99" t="n">
        <f aca="false">B167</f>
        <v>14.43</v>
      </c>
      <c r="C230" s="183"/>
      <c r="D230" s="183"/>
      <c r="E230" s="99" t="n">
        <f aca="false">E167</f>
        <v>433.943616970629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5.02272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166.078125</v>
      </c>
      <c r="C240" s="130"/>
      <c r="D240" s="130"/>
      <c r="E240" s="99" t="n">
        <f aca="false">E188</f>
        <v>8.88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274.949791666667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-3198.5242569399</v>
      </c>
      <c r="C254" s="194"/>
      <c r="D254" s="195" t="s">
        <v>213</v>
      </c>
      <c r="E254" s="195"/>
      <c r="F254" s="196" t="n">
        <f aca="false">F261+F267+F269+B270+B271</f>
        <v>199.29375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188.791666666667</v>
      </c>
      <c r="C255" s="194"/>
      <c r="D255" s="195" t="s">
        <v>215</v>
      </c>
      <c r="E255" s="195"/>
      <c r="F255" s="196" t="n">
        <f aca="false">(B254-F254)+B255</f>
        <v>-3209.02634027323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-3198.5242569399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199.29375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-3209.02634027323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2124.96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177.08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8136.96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68.9294715611134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8205.88947156111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683.824122630093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683.824122630093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683.824122630093</v>
      </c>
      <c r="B134" s="320" t="n">
        <f aca="false">IF(A111="YES", B95, 0)</f>
        <v>0</v>
      </c>
      <c r="C134" s="325"/>
      <c r="D134" s="320" t="n">
        <f aca="false">B97</f>
        <v>683.824122630093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683.824122630093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683.824122630093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683.824122630093</v>
      </c>
      <c r="B143" s="38" t="n">
        <f aca="false">IF(A111="YES", B95, 0)</f>
        <v>0</v>
      </c>
      <c r="C143" s="316"/>
      <c r="D143" s="38" t="n">
        <f aca="false">B97</f>
        <v>683.824122630093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1307.188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1267.19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312.57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683.824122630093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683.824122630093</v>
      </c>
      <c r="B177" s="354" t="n">
        <f aca="false">IF(A111="YES", B95, 0)</f>
        <v>0</v>
      </c>
      <c r="C177" s="357"/>
      <c r="D177" s="354" t="n">
        <f aca="false">B91</f>
        <v>8136.96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683.824122630093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683.824122630093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683.824122630093</v>
      </c>
      <c r="B186" s="99" t="n">
        <f aca="false">IF(A111="YES", B95, 0)</f>
        <v>0</v>
      </c>
      <c r="C186" s="352"/>
      <c r="D186" s="99" t="n">
        <f aca="false">B97</f>
        <v>683.824122630093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312.57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1352.37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1352.37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68.9294715611134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10564.352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10638.9289100444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886.577409170364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886.577409170364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886.577409170364</v>
      </c>
      <c r="B134" s="320" t="n">
        <f aca="false">IF(A111="YES", B95, 0)</f>
        <v>0</v>
      </c>
      <c r="C134" s="325"/>
      <c r="D134" s="320" t="n">
        <f aca="false">B97</f>
        <v>886.577409170364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7979.19668253328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7979.19668253328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886.577409170364</v>
      </c>
      <c r="B143" s="38" t="n">
        <f aca="false">IF(A111="YES", B95, 0)</f>
        <v>0</v>
      </c>
      <c r="C143" s="316"/>
      <c r="D143" s="38" t="n">
        <f aca="false">B97</f>
        <v>886.577409170364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1307.188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1267.19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712.571666666667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886.577409170364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886.577409170364</v>
      </c>
      <c r="B177" s="354" t="n">
        <f aca="false">IF(A111="YES", B95, 0)</f>
        <v>0</v>
      </c>
      <c r="C177" s="357"/>
      <c r="D177" s="354" t="n">
        <f aca="false">B91</f>
        <v>10564.352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7979.19668253328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7979.19668253328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886.577409170364</v>
      </c>
      <c r="B186" s="99" t="n">
        <f aca="false">IF(A111="YES", B95, 0)</f>
        <v>0</v>
      </c>
      <c r="C186" s="352"/>
      <c r="D186" s="99" t="n">
        <f aca="false">B97</f>
        <v>886.577409170364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712.571666666667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1592.37166666667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1592.37166666667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8803.62666666667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8878.20357671104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739.850298059253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739.850298059253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 B95, 0)</f>
        <v>0</v>
      </c>
      <c r="C134" s="325"/>
      <c r="D134" s="320" t="n">
        <f aca="false">B97</f>
        <v>739.850298059253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739.850298059253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739.850298059253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739.850298059253</v>
      </c>
      <c r="B143" s="38" t="n">
        <f aca="false">IF(A111="YES", B95, 0)</f>
        <v>0</v>
      </c>
      <c r="C143" s="316"/>
      <c r="D143" s="38" t="n">
        <f aca="false">B97</f>
        <v>739.850298059253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1307.188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1267.19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712.57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739.850298059253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 B95, 0)</f>
        <v>0</v>
      </c>
      <c r="C177" s="357"/>
      <c r="D177" s="354" t="n">
        <f aca="false">B91</f>
        <v>8803.62666666667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739.850298059253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739.850298059253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739.850298059253</v>
      </c>
      <c r="B186" s="99" t="n">
        <f aca="false">IF(A111="YES", B95, 0)</f>
        <v>0</v>
      </c>
      <c r="C186" s="352"/>
      <c r="D186" s="99" t="n">
        <f aca="false">B97</f>
        <v>739.850298059253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712.57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1592.37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1592.37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7" colorId="64" zoomScale="85" zoomScaleNormal="85" zoomScalePageLayoutView="100" workbookViewId="0">
      <selection pane="topLeft" activeCell="B201" activeCellId="0" sqref="B201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16770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12924.0721066965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199.29375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16770</v>
      </c>
      <c r="C81" s="130"/>
      <c r="D81" s="130"/>
      <c r="E81" s="109"/>
      <c r="F81" s="25" t="s">
        <v>105</v>
      </c>
      <c r="G81" s="27" t="n">
        <f aca="false">G158</f>
        <v>21258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130" t="n">
        <f aca="false">(B82/((1+B84)^(B85+1)))</f>
        <v>5255.82391109543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11514.1760889046</v>
      </c>
      <c r="C88" s="130" t="n">
        <f aca="false">B81-B86</f>
        <v>11514.1760889046</v>
      </c>
      <c r="D88" s="130"/>
      <c r="E88" s="109"/>
      <c r="F88" s="31" t="s">
        <v>112</v>
      </c>
      <c r="G88" s="33" t="n">
        <f aca="false">G81-G86</f>
        <v>15233.6270487143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419.513616970629</v>
      </c>
      <c r="C89" s="130" t="n">
        <f aca="false">(B88/B87)</f>
        <v>419.513616970629</v>
      </c>
      <c r="D89" s="130"/>
      <c r="E89" s="109"/>
      <c r="F89" s="31" t="s">
        <v>113</v>
      </c>
      <c r="G89" s="33" t="n">
        <f aca="false">(G88/G87)</f>
        <v>519.784811004423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13424.4357430601</v>
      </c>
      <c r="C90" s="130"/>
      <c r="D90" s="130"/>
      <c r="E90" s="109"/>
      <c r="F90" s="31" t="s">
        <v>114</v>
      </c>
      <c r="G90" s="33" t="n">
        <f aca="false">((G89*(G85))+G77)</f>
        <v>16633.1139521415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13424.4357430601</v>
      </c>
      <c r="C92" s="130"/>
      <c r="D92" s="130"/>
      <c r="E92" s="109"/>
      <c r="F92" s="56" t="s">
        <v>116</v>
      </c>
      <c r="G92" s="65" t="n">
        <f aca="false">(G90+G91)</f>
        <v>16633.1139521415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419.513616970629</v>
      </c>
      <c r="C95" s="130"/>
      <c r="D95" s="130"/>
      <c r="E95" s="109"/>
      <c r="F95" s="91" t="s">
        <v>118</v>
      </c>
      <c r="G95" s="92" t="n">
        <f aca="false">G92/(G85)</f>
        <v>519.784811004423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419.513616970629</v>
      </c>
      <c r="C96" s="130"/>
      <c r="D96" s="130"/>
      <c r="E96" s="109"/>
      <c r="F96" s="93" t="s">
        <v>119</v>
      </c>
      <c r="G96" s="94" t="n">
        <f aca="false">G94+G95</f>
        <v>519.784811004423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16745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16745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3488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21258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21258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-17715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21258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419.513616970629</v>
      </c>
      <c r="B167" s="174" t="str">
        <f aca="false">B94</f>
        <v>0</v>
      </c>
      <c r="C167" s="171"/>
      <c r="D167" s="171"/>
      <c r="E167" s="174" t="n">
        <f aca="false">B96</f>
        <v>419.513616970629</v>
      </c>
      <c r="F167" s="23"/>
      <c r="G167" s="23" t="n">
        <f aca="false">ROUND(G95, 2)</f>
        <v>519.78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17440</v>
      </c>
      <c r="B173" s="99" t="n">
        <f aca="false">H137</f>
        <v>3488</v>
      </c>
      <c r="C173" s="183"/>
      <c r="D173" s="23"/>
      <c r="E173" s="179" t="n">
        <f aca="false">H139+H140</f>
        <v>330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21258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21258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-633.564256939884</v>
      </c>
      <c r="B182" s="99" t="str">
        <f aca="false">B114</f>
        <v>199.99</v>
      </c>
      <c r="C182" s="99"/>
      <c r="D182" s="23"/>
      <c r="E182" s="99" t="n">
        <f aca="false">E179+A182+(B182*1.2)+A185</f>
        <v>20874.4237430601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4.1856</v>
      </c>
      <c r="B188" s="99" t="n">
        <f aca="false">(G158*B67)/1.2</f>
        <v>166.078125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266.068125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419.513616970629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2574.96</v>
      </c>
      <c r="B201" s="183" t="n">
        <f aca="false">E179+A201+(B182*1.2)+A185</f>
        <v>24082.948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419.513616970629</v>
      </c>
      <c r="B212" s="174" t="str">
        <f aca="false">B167</f>
        <v>0</v>
      </c>
      <c r="C212" s="171"/>
      <c r="D212" s="171"/>
      <c r="E212" s="174" t="n">
        <f aca="false">E167</f>
        <v>419.513616970629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17440</v>
      </c>
      <c r="B215" s="99" t="n">
        <f aca="false">B173</f>
        <v>3488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21258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21258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-633.564256939884</v>
      </c>
      <c r="B224" s="99" t="str">
        <f aca="false">B182</f>
        <v>199.99</v>
      </c>
      <c r="C224" s="99"/>
      <c r="D224" s="109"/>
      <c r="E224" s="99" t="n">
        <f aca="false">E182</f>
        <v>20874.4237430601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419.513616970629</v>
      </c>
      <c r="B230" s="99" t="str">
        <f aca="false">B167</f>
        <v>0</v>
      </c>
      <c r="C230" s="183"/>
      <c r="D230" s="183"/>
      <c r="E230" s="99" t="n">
        <f aca="false">E167</f>
        <v>419.513616970629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4.1856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166.078125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266.068125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-3198.52425693988</v>
      </c>
      <c r="C254" s="194"/>
      <c r="D254" s="195" t="s">
        <v>213</v>
      </c>
      <c r="E254" s="195"/>
      <c r="F254" s="196" t="n">
        <f aca="false">F261+F267+F269+B270+B271</f>
        <v>199.29375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-3297.82800693988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-3198.52425693988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199.29375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-3297.82800693988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8803.62666666667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8878.20357671104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739.850298059253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739.850298059253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 B95, 0)</f>
        <v>0</v>
      </c>
      <c r="C134" s="325"/>
      <c r="D134" s="320" t="n">
        <f aca="false">B97</f>
        <v>739.850298059253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6658.65268253328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6658.65268253328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739.850298059253</v>
      </c>
      <c r="B143" s="38" t="n">
        <f aca="false">IF(A111="YES", B95, 0)</f>
        <v>0</v>
      </c>
      <c r="C143" s="316"/>
      <c r="D143" s="38" t="n">
        <f aca="false">B97</f>
        <v>739.850298059253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1307.188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1267.19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712.57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739.850298059253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 B95, 0)</f>
        <v>0</v>
      </c>
      <c r="C177" s="357"/>
      <c r="D177" s="354" t="n">
        <f aca="false">B91</f>
        <v>8803.62666666667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6658.65268253328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6658.65268253328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739.850298059253</v>
      </c>
      <c r="B186" s="99" t="n">
        <f aca="false">IF(A111="YES", B95, 0)</f>
        <v>0</v>
      </c>
      <c r="C186" s="352"/>
      <c r="D186" s="99" t="n">
        <f aca="false">B97</f>
        <v>739.850298059253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712.57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1592.37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1592.37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10564.352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10638.9289100444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886.577409170364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964.577409170364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886.577409170364</v>
      </c>
      <c r="B134" s="320" t="n">
        <f aca="false">IF(A111="YES", B95, 0)</f>
        <v>78</v>
      </c>
      <c r="C134" s="325"/>
      <c r="D134" s="320" t="n">
        <f aca="false">B97</f>
        <v>964.577409170364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7979.19668253328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8681.19668253328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886.577409170364</v>
      </c>
      <c r="B143" s="38" t="n">
        <f aca="false">IF(A111="YES", B95, 0)</f>
        <v>78</v>
      </c>
      <c r="C143" s="316"/>
      <c r="D143" s="38" t="n">
        <f aca="false">B97</f>
        <v>964.577409170364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1319.188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1279.19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730.571666666667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964.577409170364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886.577409170364</v>
      </c>
      <c r="B177" s="354" t="n">
        <f aca="false">IF(A111="YES", B95, 0)</f>
        <v>78</v>
      </c>
      <c r="C177" s="357"/>
      <c r="D177" s="354" t="n">
        <f aca="false">B97</f>
        <v>964.577409170364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7979.19668253328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8681.19668253328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886.577409170364</v>
      </c>
      <c r="B186" s="99" t="n">
        <f aca="false">IF(A111="YES", B95, 0)</f>
        <v>78</v>
      </c>
      <c r="C186" s="352"/>
      <c r="D186" s="99" t="n">
        <f aca="false">B97</f>
        <v>964.577409170364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730.571666666667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1772.37166666667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1772.37166666667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8803.62666666667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8878.20357671104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739.850298059253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804.850298059253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 B95, 0)</f>
        <v>65</v>
      </c>
      <c r="C134" s="325"/>
      <c r="D134" s="320" t="n">
        <f aca="false">B97</f>
        <v>804.850298059253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6658.65268253328</v>
      </c>
      <c r="C137" s="316"/>
      <c r="D137" s="38" t="n">
        <f aca="false">IF(A111="YES", B95*B63, 0)</f>
        <v>585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7243.65268253328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739.850298059253</v>
      </c>
      <c r="B143" s="38" t="n">
        <f aca="false">IF(A111="YES", B95, 0)</f>
        <v>65</v>
      </c>
      <c r="C143" s="316"/>
      <c r="D143" s="38" t="n">
        <f aca="false">B97</f>
        <v>804.850298059253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1319.188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1279.19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730.57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804.850298059253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 B95, 0)</f>
        <v>65</v>
      </c>
      <c r="C177" s="357"/>
      <c r="D177" s="354" t="n">
        <f aca="false">B91</f>
        <v>8803.62666666667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6658.65268253328</v>
      </c>
      <c r="C180" s="352"/>
      <c r="D180" s="99" t="n">
        <f aca="false">IF(A111="YES", B95*B63, 0)</f>
        <v>585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7243.65268253328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739.850298059253</v>
      </c>
      <c r="B186" s="99" t="n">
        <f aca="false">IF(A111="YES", B95, 0)</f>
        <v>65</v>
      </c>
      <c r="C186" s="352"/>
      <c r="D186" s="99" t="n">
        <f aca="false">B97</f>
        <v>804.850298059253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730.57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1772.37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1772.37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1" colorId="64" zoomScale="85" zoomScaleNormal="85" zoomScalePageLayoutView="100" workbookViewId="0">
      <selection pane="topLeft" activeCell="B201" activeCellId="0" sqref="B201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5" min="2" style="1" width="18.88"/>
    <col collapsed="false" customWidth="true" hidden="false" outlineLevel="0" max="6" min="6" style="1" width="31.92"/>
    <col collapsed="false" customWidth="true" hidden="false" outlineLevel="0" max="9" min="7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695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 t="n">
        <v>0</v>
      </c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1575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524.75616379318</v>
      </c>
      <c r="F33" s="228"/>
      <c r="G33" s="228"/>
      <c r="H33" s="47"/>
      <c r="I33" s="2"/>
      <c r="J33" s="34" t="s">
        <v>352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524.75616379318</v>
      </c>
      <c r="B36" s="228" t="str">
        <f aca="false">IF(B26="YES", K42, "0.00")</f>
        <v>0.00</v>
      </c>
      <c r="C36" s="228"/>
      <c r="D36" s="228"/>
      <c r="E36" s="228" t="n">
        <f aca="false">K31</f>
        <v>1575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17770</v>
      </c>
      <c r="L39" s="2" t="n">
        <f aca="false">(L47*K46)+K44</f>
        <v>26523.9158214374</v>
      </c>
      <c r="N39" s="1" t="n">
        <f aca="false">K39-L39</f>
        <v>-8753.91582143743</v>
      </c>
      <c r="P39" s="208"/>
    </row>
    <row r="40" customFormat="false" ht="17.35" hidden="false" customHeight="false" outlineLevel="0" collapsed="false">
      <c r="A40" s="103" t="n">
        <f aca="false">E36*A45/100</f>
        <v>1575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1312.5</v>
      </c>
      <c r="L40" s="2" t="n">
        <f aca="false">K39-L39</f>
        <v>-8753.91582143743</v>
      </c>
      <c r="N40" s="1" t="n">
        <f aca="false">N38-N39</f>
        <v>11665.5958214374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1080.53894636818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16689.4610536318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524.75616379318</v>
      </c>
      <c r="L47" s="2" t="n">
        <f aca="false">L49-K42</f>
        <v>800</v>
      </c>
      <c r="M47" s="1" t="n">
        <f aca="false">K47-L47</f>
        <v>-275.24383620682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524.75616379318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524.75616379318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7377.0423042598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31302.1227403972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1061.62035562745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1061.62035562745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187.751944444444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524.75616379318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524.75616379318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524.75616379318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524.75616379318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23009.6</v>
      </c>
      <c r="C81" s="130"/>
      <c r="D81" s="130"/>
      <c r="E81" s="109"/>
      <c r="F81" s="25" t="s">
        <v>105</v>
      </c>
      <c r="G81" s="27" t="n">
        <f aca="false">G158</f>
        <v>23009.6</v>
      </c>
      <c r="H81" s="33"/>
      <c r="J81" s="25" t="s">
        <v>105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17234.5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1575</v>
      </c>
      <c r="C82" s="130"/>
      <c r="D82" s="130"/>
      <c r="E82" s="109"/>
      <c r="F82" s="31" t="s">
        <v>106</v>
      </c>
      <c r="G82" s="33" t="n">
        <f aca="false">IF(A111 = "Yes", A40, 0)</f>
        <v>1575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1575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1575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1127.98811363248</v>
      </c>
      <c r="C86" s="130"/>
      <c r="D86" s="130"/>
      <c r="E86" s="109"/>
      <c r="F86" s="31" t="s">
        <v>110</v>
      </c>
      <c r="G86" s="33" t="n">
        <f aca="false">(G82/((1+G84)^(G85+1)))</f>
        <v>1303.67023879321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1077.06787906881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1077.06787906881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21881.6118863675</v>
      </c>
      <c r="C88" s="130"/>
      <c r="D88" s="130"/>
      <c r="E88" s="109"/>
      <c r="F88" s="31" t="s">
        <v>112</v>
      </c>
      <c r="G88" s="33" t="n">
        <f aca="false">G81-G86</f>
        <v>21705.9297612068</v>
      </c>
      <c r="H88" s="33"/>
      <c r="J88" s="31" t="s">
        <v>112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16157.4321209312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16157.4321209312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757.162001088856</v>
      </c>
      <c r="C89" s="130"/>
      <c r="D89" s="130"/>
      <c r="E89" s="109"/>
      <c r="F89" s="31" t="s">
        <v>113</v>
      </c>
      <c r="G89" s="33" t="n">
        <f aca="false">(G88/G87)</f>
        <v>700.722612138439</v>
      </c>
      <c r="H89" s="33"/>
      <c r="J89" s="31" t="s">
        <v>113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571.414296717317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571.414296717317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25743.5080370211</v>
      </c>
      <c r="C90" s="130"/>
      <c r="D90" s="130"/>
      <c r="E90" s="109"/>
      <c r="F90" s="31" t="s">
        <v>114</v>
      </c>
      <c r="G90" s="33" t="n">
        <f aca="false">((G89*(G85))+G77)</f>
        <v>23824.5688127069</v>
      </c>
      <c r="H90" s="33"/>
      <c r="J90" s="31" t="s">
        <v>114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19428.0860883888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19428.0860883888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25743.5080370211</v>
      </c>
      <c r="C92" s="130"/>
      <c r="D92" s="130"/>
      <c r="E92" s="109"/>
      <c r="F92" s="56" t="s">
        <v>116</v>
      </c>
      <c r="G92" s="65" t="n">
        <f aca="false">(G90+G91)</f>
        <v>23824.5688127069</v>
      </c>
      <c r="H92" s="33"/>
      <c r="J92" s="56" t="s">
        <v>116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19428.0860883888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19428.0860883888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757.162001088856</v>
      </c>
      <c r="C95" s="130"/>
      <c r="D95" s="130"/>
      <c r="E95" s="109"/>
      <c r="F95" s="91" t="s">
        <v>118</v>
      </c>
      <c r="G95" s="92" t="n">
        <f aca="false">G92/(G85)</f>
        <v>700.722612138439</v>
      </c>
      <c r="H95" s="33"/>
      <c r="J95" s="91" t="s">
        <v>118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571.414296717317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571.414296717317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757.162001088856</v>
      </c>
      <c r="C96" s="130"/>
      <c r="D96" s="130"/>
      <c r="E96" s="109"/>
      <c r="F96" s="93" t="s">
        <v>119</v>
      </c>
      <c r="G96" s="94" t="n">
        <f aca="false">G94+G95</f>
        <v>700.722612138439</v>
      </c>
      <c r="H96" s="33"/>
      <c r="J96" s="93" t="s">
        <v>119</v>
      </c>
      <c r="K96" s="94" t="n">
        <f aca="false">(K94+K95)</f>
        <v>1460.84083744584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571.414296717317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571.414296717317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270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-3543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4186.25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12558.75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12558.75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2650.75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25509.6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21258</v>
      </c>
      <c r="Q141" s="154" t="n">
        <f aca="false">(Q135+Q136+Q139+Q140+Q137)-Q138</f>
        <v>35519.004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21258</v>
      </c>
      <c r="Z141" s="154" t="n">
        <f aca="false">(Z135+Z136+Z139+Z140+Z137)-Z138</f>
        <v>16234.5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21258</v>
      </c>
      <c r="Z147" s="161" t="n">
        <f aca="false">Z141-((Z144*1.2)+(Z145*1.2)+(Z146*1.2)+(Z142*1.2))</f>
        <v>16234.5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-16222.1666666667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-5023.5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23009.6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17234.5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757.162001088856</v>
      </c>
      <c r="B167" s="174" t="str">
        <f aca="false">B94</f>
        <v>0</v>
      </c>
      <c r="C167" s="171"/>
      <c r="D167" s="171"/>
      <c r="E167" s="174" t="n">
        <f aca="false">B96</f>
        <v>757.162001088856</v>
      </c>
      <c r="F167" s="23"/>
      <c r="G167" s="23" t="n">
        <f aca="false">ROUND(G95, 2)</f>
        <v>700.72</v>
      </c>
      <c r="H167" s="33"/>
      <c r="J167" s="173" t="n">
        <f aca="false">K95</f>
        <v>1460.84083744584</v>
      </c>
      <c r="K167" s="174" t="n">
        <f aca="false">K94</f>
        <v>0</v>
      </c>
      <c r="L167" s="171"/>
      <c r="M167" s="171"/>
      <c r="N167" s="174" t="n">
        <f aca="false">K96</f>
        <v>1460.84083744584</v>
      </c>
      <c r="O167" s="23"/>
      <c r="P167" s="23"/>
      <c r="Q167" s="33"/>
      <c r="S167" s="173" t="n">
        <f aca="false">T95</f>
        <v>571.414296717317</v>
      </c>
      <c r="T167" s="174" t="n">
        <f aca="false">T94</f>
        <v>0</v>
      </c>
      <c r="U167" s="171"/>
      <c r="V167" s="171"/>
      <c r="W167" s="174" t="n">
        <f aca="false">T96</f>
        <v>571.414296717317</v>
      </c>
      <c r="X167" s="23"/>
      <c r="Y167" s="23"/>
      <c r="Z167" s="33"/>
      <c r="AB167" s="173" t="n">
        <f aca="false">AC95</f>
        <v>571.414296717317</v>
      </c>
      <c r="AC167" s="174" t="n">
        <f aca="false">AC94</f>
        <v>0</v>
      </c>
      <c r="AD167" s="171"/>
      <c r="AE167" s="171"/>
      <c r="AF167" s="174" t="n">
        <f aca="false">AC96</f>
        <v>571.414296717317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1575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1575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1575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13253.75</v>
      </c>
      <c r="T173" s="99" t="n">
        <f aca="false">Z137</f>
        <v>2650.75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25509.6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16234.5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17234.5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4308.90803702112</v>
      </c>
      <c r="B182" s="99" t="str">
        <f aca="false">B114</f>
        <v>199.99</v>
      </c>
      <c r="C182" s="99"/>
      <c r="D182" s="23"/>
      <c r="E182" s="99" t="n">
        <f aca="false">E179+A182+(B182*1.2)+A185</f>
        <v>27568.4960370211</v>
      </c>
      <c r="F182" s="23"/>
      <c r="G182" s="23"/>
      <c r="H182" s="101"/>
      <c r="J182" s="107" t="n">
        <f aca="false">(J167*K59)+N185-N179-J185</f>
        <v>14724.5844731586</v>
      </c>
      <c r="K182" s="99" t="n">
        <f aca="false">K114</f>
        <v>239.99</v>
      </c>
      <c r="L182" s="99"/>
      <c r="M182" s="23"/>
      <c r="N182" s="99" t="n">
        <f aca="false">N179+J182+K182+J185</f>
        <v>51503.5784731586</v>
      </c>
      <c r="O182" s="23"/>
      <c r="P182" s="23"/>
      <c r="Q182" s="101"/>
      <c r="S182" s="107" t="n">
        <f aca="false">(S167*T59)+W185-W179-S185</f>
        <v>3768.58608838877</v>
      </c>
      <c r="T182" s="99" t="n">
        <f aca="false">T114</f>
        <v>199.99</v>
      </c>
      <c r="U182" s="99"/>
      <c r="V182" s="23"/>
      <c r="W182" s="99" t="n">
        <f aca="false">W179+S182+T182+S185</f>
        <v>21213.0760883888</v>
      </c>
      <c r="X182" s="23"/>
      <c r="Y182" s="23"/>
      <c r="Z182" s="101"/>
      <c r="AB182" s="107" t="n">
        <f aca="false">(AB167*AC59)+AF185-AF179-AB185</f>
        <v>3768.58608838877</v>
      </c>
      <c r="AC182" s="99" t="n">
        <f aca="false">AC114</f>
        <v>239.99</v>
      </c>
      <c r="AD182" s="99"/>
      <c r="AE182" s="23"/>
      <c r="AF182" s="99" t="n">
        <f aca="false">AF179+AB182+AC182+AB185</f>
        <v>21253.0760883888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1585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1595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1585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1585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187.751944444444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140.628732638889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287.741944444444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3390.72722569444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1240.61873263889</v>
      </c>
      <c r="U191" s="130"/>
      <c r="V191" s="130"/>
      <c r="W191" s="99" t="n">
        <f aca="false">Z148</f>
        <v>-5023.5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1280.61873263889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757.162001088856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1460.84083744584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571.414296717317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571.414296717317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2389.88</v>
      </c>
      <c r="B201" s="183" t="n">
        <f aca="false">E179+A201+(B182*1.2)+A185</f>
        <v>25649.468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757.162001088856</v>
      </c>
      <c r="B212" s="174" t="str">
        <f aca="false">B167</f>
        <v>0</v>
      </c>
      <c r="C212" s="171"/>
      <c r="D212" s="171"/>
      <c r="E212" s="174" t="n">
        <f aca="false">E167</f>
        <v>757.162001088856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4308.90803702112</v>
      </c>
      <c r="B224" s="99" t="str">
        <f aca="false">B182</f>
        <v>199.99</v>
      </c>
      <c r="C224" s="99"/>
      <c r="D224" s="109"/>
      <c r="E224" s="99" t="n">
        <f aca="false">E182</f>
        <v>27568.4960370211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757.162001088856</v>
      </c>
      <c r="B230" s="99" t="str">
        <f aca="false">B167</f>
        <v>0</v>
      </c>
      <c r="C230" s="183"/>
      <c r="D230" s="183"/>
      <c r="E230" s="99" t="n">
        <f aca="false">E167</f>
        <v>757.162001088856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1575</v>
      </c>
      <c r="B233" s="99" t="n">
        <f aca="false">E185</f>
        <v>1585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187.751944444444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3830.74194444444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1929.02803702112</v>
      </c>
      <c r="C254" s="194"/>
      <c r="D254" s="195" t="s">
        <v>213</v>
      </c>
      <c r="E254" s="195"/>
      <c r="F254" s="196" t="n">
        <f aca="false">F261+F267+F269+B270+B271</f>
        <v>225.302333333333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1803.71570368779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1929.02803702112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225.302333333333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1803.71570368779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51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2625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1754.55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552.2363622007</v>
      </c>
      <c r="F33" s="228"/>
      <c r="G33" s="228"/>
      <c r="H33" s="47"/>
      <c r="I33" s="2"/>
      <c r="J33" s="34" t="s">
        <v>352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502.1063622007</v>
      </c>
      <c r="B36" s="228" t="n">
        <f aca="false">IF(B26="YES", K42, "0.00")</f>
        <v>50.13</v>
      </c>
      <c r="C36" s="228"/>
      <c r="D36" s="228"/>
      <c r="E36" s="228" t="n">
        <f aca="false">K31</f>
        <v>2625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17770</v>
      </c>
      <c r="L39" s="2" t="n">
        <f aca="false">(L47*K46)+K44</f>
        <v>25649.9295155822</v>
      </c>
      <c r="N39" s="1" t="n">
        <f aca="false">K39-L39</f>
        <v>-7879.92951558218</v>
      </c>
      <c r="P39" s="208"/>
    </row>
    <row r="40" customFormat="false" ht="17.35" hidden="false" customHeight="false" outlineLevel="0" collapsed="false">
      <c r="A40" s="103" t="n">
        <f aca="false">E36*A45/100</f>
        <v>2625</v>
      </c>
      <c r="B40" s="103" t="n">
        <f aca="false">IF(B26="YES", K42, "0.00")</f>
        <v>50.13</v>
      </c>
      <c r="C40" s="103"/>
      <c r="D40" s="103"/>
      <c r="E40" s="179" t="n">
        <f aca="false">K32</f>
        <v>1754.55</v>
      </c>
      <c r="F40" s="183"/>
      <c r="G40" s="183"/>
      <c r="H40" s="47"/>
      <c r="J40" s="2" t="s">
        <v>106</v>
      </c>
      <c r="K40" s="2" t="n">
        <f aca="false">(A40)/1.2</f>
        <v>2187.5</v>
      </c>
      <c r="L40" s="2" t="n">
        <f aca="false">K39-L39</f>
        <v>-7879.92951558218</v>
      </c>
      <c r="N40" s="1" t="n">
        <f aca="false">N38-N39</f>
        <v>10791.6095155822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50.13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1800.89824394696</v>
      </c>
      <c r="L44" s="2"/>
      <c r="P44" s="208"/>
    </row>
    <row r="45" customFormat="false" ht="17.35" hidden="false" customHeight="false" outlineLevel="0" collapsed="false">
      <c r="A45" s="505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363</v>
      </c>
      <c r="K45" s="2" t="n">
        <f aca="false">(K39-K44)</f>
        <v>15969.101756053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502.1063622007</v>
      </c>
      <c r="L47" s="2" t="n">
        <f aca="false">L49-K42</f>
        <v>749.87</v>
      </c>
      <c r="M47" s="1" t="n">
        <f aca="false">K47-L47</f>
        <v>-247.7636377993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552.2363622007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552.2363622007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7285.07384301576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32094.8657961341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6970.94226848456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990.968480743693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187.751944444444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502.1063622007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502.1063622007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552.2363622007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552.2363622007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23009.6</v>
      </c>
      <c r="C81" s="130"/>
      <c r="D81" s="130"/>
      <c r="E81" s="109"/>
      <c r="F81" s="25" t="s">
        <v>105</v>
      </c>
      <c r="G81" s="27" t="n">
        <f aca="false">G158</f>
        <v>23009.6</v>
      </c>
      <c r="H81" s="33"/>
      <c r="J81" s="25" t="s">
        <v>105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22207.765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2625</v>
      </c>
      <c r="C82" s="130"/>
      <c r="D82" s="130"/>
      <c r="E82" s="109"/>
      <c r="F82" s="31" t="s">
        <v>106</v>
      </c>
      <c r="G82" s="33" t="n">
        <f aca="false">IF(A111 = "Yes", A40, 0)</f>
        <v>2625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2625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2625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1879.98018938747</v>
      </c>
      <c r="C86" s="130"/>
      <c r="D86" s="130"/>
      <c r="E86" s="109"/>
      <c r="F86" s="31" t="s">
        <v>110</v>
      </c>
      <c r="G86" s="33" t="n">
        <f aca="false">(G82/((1+G84)^(G85+1)))</f>
        <v>2172.78373132201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1795.11313178135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1795.11313178135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21129.6198106125</v>
      </c>
      <c r="C88" s="130"/>
      <c r="D88" s="130"/>
      <c r="E88" s="109"/>
      <c r="F88" s="31" t="s">
        <v>112</v>
      </c>
      <c r="G88" s="33" t="n">
        <f aca="false">G81-G86</f>
        <v>20836.816268678</v>
      </c>
      <c r="H88" s="33"/>
      <c r="J88" s="31" t="s">
        <v>112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20412.6518682187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15439.3868682187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731.141074118831</v>
      </c>
      <c r="C89" s="130"/>
      <c r="D89" s="130"/>
      <c r="E89" s="109"/>
      <c r="F89" s="31" t="s">
        <v>113</v>
      </c>
      <c r="G89" s="33" t="n">
        <f aca="false">(G88/G87)</f>
        <v>672.665418393254</v>
      </c>
      <c r="H89" s="33"/>
      <c r="J89" s="31" t="s">
        <v>113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721.901910162031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546.020328169653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24858.7965200403</v>
      </c>
      <c r="C90" s="130"/>
      <c r="D90" s="130"/>
      <c r="E90" s="109"/>
      <c r="F90" s="31" t="s">
        <v>114</v>
      </c>
      <c r="G90" s="33" t="n">
        <f aca="false">((G89*(G85))+G77)</f>
        <v>22870.6242253706</v>
      </c>
      <c r="H90" s="33"/>
      <c r="J90" s="31" t="s">
        <v>114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24544.664945509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18564.6911577682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24858.7965200403</v>
      </c>
      <c r="C92" s="130"/>
      <c r="D92" s="130"/>
      <c r="E92" s="109"/>
      <c r="F92" s="56" t="s">
        <v>116</v>
      </c>
      <c r="G92" s="65" t="n">
        <f aca="false">(G90+G91)</f>
        <v>22870.6242253706</v>
      </c>
      <c r="H92" s="33"/>
      <c r="J92" s="56" t="s">
        <v>116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24544.664945509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18564.6911577682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80.5028823529412</v>
      </c>
      <c r="C94" s="130"/>
      <c r="D94" s="130"/>
      <c r="E94" s="109"/>
      <c r="F94" s="88" t="s">
        <v>117</v>
      </c>
      <c r="G94" s="259" t="n">
        <f aca="false">IF(B26="YES",((E40/B85)*(1+A108)*(C45/100)),"0")</f>
        <v>67.0857352941177</v>
      </c>
      <c r="H94" s="33"/>
      <c r="J94" s="88" t="s">
        <v>117</v>
      </c>
      <c r="K94" s="89" t="n">
        <f aca="false">((E40/K85)*(1+J108))*1.2</f>
        <v>78.2028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61.9252941176471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74.3103529411765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731.141074118831</v>
      </c>
      <c r="C95" s="130"/>
      <c r="D95" s="130"/>
      <c r="E95" s="109"/>
      <c r="F95" s="91" t="s">
        <v>118</v>
      </c>
      <c r="G95" s="92" t="n">
        <f aca="false">G92/(G85)</f>
        <v>672.665418393254</v>
      </c>
      <c r="H95" s="33"/>
      <c r="J95" s="91" t="s">
        <v>118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721.901910162031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546.020328169653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811.643956471772</v>
      </c>
      <c r="C96" s="130"/>
      <c r="D96" s="130"/>
      <c r="E96" s="109"/>
      <c r="F96" s="93" t="s">
        <v>119</v>
      </c>
      <c r="G96" s="94" t="n">
        <f aca="false">G94+G95</f>
        <v>739.751153687372</v>
      </c>
      <c r="H96" s="33"/>
      <c r="J96" s="93" t="s">
        <v>119</v>
      </c>
      <c r="K96" s="94" t="n">
        <f aca="false">(K94+K95)</f>
        <v>1539.04363744584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783.827204279678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620.330681110829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121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-3543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25509.6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21258</v>
      </c>
      <c r="Q141" s="154" t="n">
        <f aca="false">(Q135+Q136+Q139+Q140+Q137)-Q138</f>
        <v>35519.004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21258</v>
      </c>
      <c r="Z141" s="154" t="n">
        <f aca="false">(Z135+Z136+Z139+Z140+Z137)-Z138</f>
        <v>21207.765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21258</v>
      </c>
      <c r="Z147" s="161" t="n">
        <f aca="false">Z141-((Z144*1.2)+(Z145*1.2)+(Z146*1.2)+(Z142*1.2))</f>
        <v>21207.765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-16222.1666666667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23009.6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22207.765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731.141074118831</v>
      </c>
      <c r="B167" s="174" t="n">
        <f aca="false">B94</f>
        <v>80.5028823529412</v>
      </c>
      <c r="C167" s="171"/>
      <c r="D167" s="171"/>
      <c r="E167" s="174" t="n">
        <f aca="false">B96</f>
        <v>811.643956471772</v>
      </c>
      <c r="F167" s="23"/>
      <c r="G167" s="23" t="n">
        <f aca="false">ROUND(G95, 2)</f>
        <v>672.67</v>
      </c>
      <c r="H167" s="33"/>
      <c r="J167" s="173" t="n">
        <f aca="false">K95</f>
        <v>1460.84083744584</v>
      </c>
      <c r="K167" s="174" t="n">
        <f aca="false">K94</f>
        <v>78.2028</v>
      </c>
      <c r="L167" s="171"/>
      <c r="M167" s="171"/>
      <c r="N167" s="174" t="n">
        <f aca="false">K96</f>
        <v>1539.04363744584</v>
      </c>
      <c r="O167" s="23"/>
      <c r="P167" s="23"/>
      <c r="Q167" s="33"/>
      <c r="S167" s="173" t="n">
        <f aca="false">T95</f>
        <v>721.901910162031</v>
      </c>
      <c r="T167" s="174" t="n">
        <f aca="false">T94</f>
        <v>61.9252941176471</v>
      </c>
      <c r="U167" s="171"/>
      <c r="V167" s="171"/>
      <c r="W167" s="174" t="n">
        <f aca="false">T96</f>
        <v>783.827204279678</v>
      </c>
      <c r="X167" s="23"/>
      <c r="Y167" s="23"/>
      <c r="Z167" s="33"/>
      <c r="AB167" s="173" t="n">
        <f aca="false">AC95</f>
        <v>546.020328169653</v>
      </c>
      <c r="AC167" s="174" t="n">
        <f aca="false">AC94</f>
        <v>74.3103529411765</v>
      </c>
      <c r="AD167" s="171"/>
      <c r="AE167" s="171"/>
      <c r="AF167" s="174" t="n">
        <f aca="false">AC96</f>
        <v>620.330681110829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2625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2625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2625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2625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25509.6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21207.765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22207.765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4474.19652004026</v>
      </c>
      <c r="B182" s="99" t="str">
        <f aca="false">B114</f>
        <v>239.99</v>
      </c>
      <c r="C182" s="99"/>
      <c r="D182" s="23"/>
      <c r="E182" s="99" t="n">
        <f aca="false">E179+A182+B182+A185</f>
        <v>27733.7865200403</v>
      </c>
      <c r="F182" s="23"/>
      <c r="G182" s="23"/>
      <c r="H182" s="101"/>
      <c r="J182" s="107" t="n">
        <f aca="false">(J167*K59)+N185-N179-J185</f>
        <v>15774.5844731586</v>
      </c>
      <c r="K182" s="99" t="n">
        <f aca="false">K114</f>
        <v>239.99</v>
      </c>
      <c r="L182" s="99"/>
      <c r="M182" s="23"/>
      <c r="N182" s="99" t="n">
        <f aca="false">N179+J182+K182+J185</f>
        <v>52553.5784731586</v>
      </c>
      <c r="O182" s="23"/>
      <c r="P182" s="23"/>
      <c r="Q182" s="101"/>
      <c r="S182" s="107" t="n">
        <f aca="false">(S167*T59)+W185-W179-S185</f>
        <v>4961.89994550905</v>
      </c>
      <c r="T182" s="99" t="n">
        <f aca="false">T114</f>
        <v>199.99</v>
      </c>
      <c r="U182" s="99"/>
      <c r="V182" s="23"/>
      <c r="W182" s="99" t="n">
        <f aca="false">W179+S182+T182+S185</f>
        <v>27379.654945509</v>
      </c>
      <c r="X182" s="23"/>
      <c r="Y182" s="23"/>
      <c r="Z182" s="101"/>
      <c r="AB182" s="107" t="n">
        <f aca="false">(AB167*AC59)+AF185-AF179-AB185</f>
        <v>3955.19115776819</v>
      </c>
      <c r="AC182" s="99" t="n">
        <f aca="false">AC114</f>
        <v>239.99</v>
      </c>
      <c r="AD182" s="99"/>
      <c r="AE182" s="23"/>
      <c r="AF182" s="99" t="n">
        <f aca="false">AF179+AB182+AC182+AB185</f>
        <v>21439.6811577682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2635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2645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2635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2635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5.02272</v>
      </c>
      <c r="B188" s="99" t="n">
        <f aca="false">(G158*B67)</f>
        <v>225.302333333333</v>
      </c>
      <c r="C188" s="130"/>
      <c r="D188" s="130"/>
      <c r="E188" s="99" t="n">
        <f aca="false">(E40*A108)*0.1*(C45/100)</f>
        <v>52.6365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52.6365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181.209193576389</v>
      </c>
      <c r="U188" s="130"/>
      <c r="V188" s="130"/>
      <c r="W188" s="99" t="n">
        <f aca="false">(E40*S108)*0.1</f>
        <v>35.091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377.9305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3443.36372569444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1316.29019357639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1315.70973263889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811.643956471772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783.827204279678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620.330681110829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2486.18</v>
      </c>
      <c r="B201" s="183" t="n">
        <f aca="false">E179+A201+B182+A185</f>
        <v>25745.77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731.141074118831</v>
      </c>
      <c r="B212" s="174" t="n">
        <f aca="false">B167</f>
        <v>80.5028823529412</v>
      </c>
      <c r="C212" s="171"/>
      <c r="D212" s="171"/>
      <c r="E212" s="174" t="n">
        <f aca="false">E167</f>
        <v>811.643956471772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4474.19652004026</v>
      </c>
      <c r="B224" s="99" t="str">
        <f aca="false">B182</f>
        <v>239.99</v>
      </c>
      <c r="C224" s="99"/>
      <c r="D224" s="109"/>
      <c r="E224" s="99" t="n">
        <f aca="false">E182</f>
        <v>27733.7865200403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731.141074118831</v>
      </c>
      <c r="B230" s="99" t="n">
        <f aca="false">B167</f>
        <v>80.5028823529412</v>
      </c>
      <c r="C230" s="183"/>
      <c r="D230" s="183"/>
      <c r="E230" s="99" t="n">
        <f aca="false">E167</f>
        <v>811.643956471772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2625</v>
      </c>
      <c r="B233" s="99" t="n">
        <f aca="false">E185</f>
        <v>2635</v>
      </c>
      <c r="C233" s="130"/>
      <c r="D233" s="130"/>
      <c r="E233" s="99" t="n">
        <f aca="false">A188</f>
        <v>5.02272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187.751944444444</v>
      </c>
      <c r="C240" s="130"/>
      <c r="D240" s="130"/>
      <c r="E240" s="99" t="n">
        <f aca="false">E188</f>
        <v>52.6365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3883.38011111111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1998.01652004026</v>
      </c>
      <c r="C254" s="194"/>
      <c r="D254" s="195" t="s">
        <v>213</v>
      </c>
      <c r="E254" s="195"/>
      <c r="F254" s="196" t="n">
        <f aca="false">F261+F267+F269+B270+B271</f>
        <v>225.302333333333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626.356666666667</v>
      </c>
      <c r="C255" s="194"/>
      <c r="D255" s="195" t="s">
        <v>215</v>
      </c>
      <c r="E255" s="195"/>
      <c r="F255" s="196" t="n">
        <f aca="false">(B254-F254)+B255</f>
        <v>2399.07085337359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1998.01652004026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225.302333333333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526.365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2399.07085337359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5" min="2" style="1" width="18.88"/>
    <col collapsed="false" customWidth="true" hidden="false" outlineLevel="0" max="6" min="6" style="1" width="32.51"/>
    <col collapsed="false" customWidth="true" hidden="false" outlineLevel="0" max="9" min="7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555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35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35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35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35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2100</v>
      </c>
      <c r="P31" s="208"/>
    </row>
    <row r="32" customFormat="false" ht="33.25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2105.25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573.58126299694</v>
      </c>
      <c r="F33" s="228"/>
      <c r="G33" s="228"/>
      <c r="H33" s="47"/>
      <c r="I33" s="2"/>
      <c r="J33" s="34" t="s">
        <v>352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513.43126299694</v>
      </c>
      <c r="B36" s="228" t="n">
        <f aca="false">IF(B26="YES", K42, "0.00")</f>
        <v>60.15</v>
      </c>
      <c r="C36" s="228"/>
      <c r="D36" s="228"/>
      <c r="E36" s="228" t="n">
        <f aca="false">K31</f>
        <v>2100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17770</v>
      </c>
      <c r="L39" s="2" t="n">
        <f aca="false">(L47*K46)+K44</f>
        <v>24971.0715714325</v>
      </c>
      <c r="N39" s="1" t="n">
        <f aca="false">K39-L39</f>
        <v>-7201.07157143255</v>
      </c>
      <c r="P39" s="208"/>
    </row>
    <row r="40" customFormat="false" ht="17.35" hidden="false" customHeight="false" outlineLevel="0" collapsed="false">
      <c r="A40" s="312" t="n">
        <f aca="false">E36*A45/100</f>
        <v>2100</v>
      </c>
      <c r="B40" s="103" t="n">
        <f aca="false">IF(B26="YES", K42, "0.00")</f>
        <v>60.15</v>
      </c>
      <c r="C40" s="103"/>
      <c r="D40" s="103"/>
      <c r="E40" s="179" t="n">
        <f aca="false">K32</f>
        <v>2105.25</v>
      </c>
      <c r="F40" s="183"/>
      <c r="G40" s="183"/>
      <c r="H40" s="47"/>
      <c r="J40" s="2" t="s">
        <v>106</v>
      </c>
      <c r="K40" s="2" t="n">
        <f aca="false">(A40)/1.2</f>
        <v>1750</v>
      </c>
      <c r="L40" s="2" t="n">
        <f aca="false">K39-L39</f>
        <v>-7201.07157143255</v>
      </c>
      <c r="N40" s="1" t="n">
        <f aca="false">N38-N39</f>
        <v>10112.7515714326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60.15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1440.71859515757</v>
      </c>
      <c r="L44" s="2"/>
      <c r="P44" s="208"/>
    </row>
    <row r="45" customFormat="false" ht="17.35" hidden="false" customHeight="false" outlineLevel="0" collapsed="false">
      <c r="A45" s="507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363</v>
      </c>
      <c r="K45" s="2" t="n">
        <f aca="false">(K39-K44)</f>
        <v>16329.2814048424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513.43126299694</v>
      </c>
      <c r="L47" s="2" t="n">
        <f aca="false">L49-K42</f>
        <v>739.85</v>
      </c>
      <c r="M47" s="1" t="n">
        <f aca="false">K47-L47</f>
        <v>-226.41873700306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573.58126299694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573.58126299694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9213.44283912644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31698.4942682657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7006.26820592643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1026.29441818557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200.8075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513.43126299694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513.43126299694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573.58126299694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573.58126299694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24609.6</v>
      </c>
      <c r="C81" s="130"/>
      <c r="D81" s="130"/>
      <c r="E81" s="109"/>
      <c r="F81" s="25" t="s">
        <v>105</v>
      </c>
      <c r="G81" s="27" t="n">
        <f aca="false">G158</f>
        <v>24609.6</v>
      </c>
      <c r="H81" s="33"/>
      <c r="J81" s="25" t="s">
        <v>105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22207.765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2100</v>
      </c>
      <c r="C82" s="130"/>
      <c r="D82" s="130"/>
      <c r="E82" s="109"/>
      <c r="F82" s="31" t="s">
        <v>106</v>
      </c>
      <c r="G82" s="33" t="n">
        <f aca="false">IF(A111 = "Yes", A40, 0)</f>
        <v>2100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2100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2100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1503.98415150998</v>
      </c>
      <c r="C86" s="130"/>
      <c r="D86" s="130"/>
      <c r="E86" s="109"/>
      <c r="F86" s="31" t="s">
        <v>110</v>
      </c>
      <c r="G86" s="33" t="n">
        <f aca="false">(G82/((1+G84)^(G85+1)))</f>
        <v>1738.22698505761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1436.09050542508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1436.09050542508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23105.61584849</v>
      </c>
      <c r="C88" s="130"/>
      <c r="D88" s="130"/>
      <c r="E88" s="109"/>
      <c r="F88" s="31" t="s">
        <v>112</v>
      </c>
      <c r="G88" s="33" t="n">
        <f aca="false">G81-G86</f>
        <v>22871.3730149424</v>
      </c>
      <c r="H88" s="33"/>
      <c r="J88" s="31" t="s">
        <v>112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20771.6744945749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15798.4094945749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799.515795412334</v>
      </c>
      <c r="C89" s="130"/>
      <c r="D89" s="130"/>
      <c r="E89" s="109"/>
      <c r="F89" s="31" t="s">
        <v>113</v>
      </c>
      <c r="G89" s="33" t="n">
        <f aca="false">(G88/G87)</f>
        <v>738.346084159263</v>
      </c>
      <c r="H89" s="33"/>
      <c r="J89" s="31" t="s">
        <v>113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734.598894435863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558.717312443485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27183.5370440193</v>
      </c>
      <c r="C90" s="130"/>
      <c r="D90" s="130"/>
      <c r="E90" s="109"/>
      <c r="F90" s="31" t="s">
        <v>114</v>
      </c>
      <c r="G90" s="33" t="n">
        <f aca="false">((G89*(G85))+G77)</f>
        <v>25103.7668614149</v>
      </c>
      <c r="H90" s="33"/>
      <c r="J90" s="31" t="s">
        <v>114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24976.3624108193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18996.3886230785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27183.5370440193</v>
      </c>
      <c r="C92" s="130"/>
      <c r="D92" s="130"/>
      <c r="E92" s="109"/>
      <c r="F92" s="56" t="s">
        <v>116</v>
      </c>
      <c r="G92" s="65" t="n">
        <f aca="false">(G90+G91)</f>
        <v>25103.7668614149</v>
      </c>
      <c r="H92" s="33"/>
      <c r="J92" s="56" t="s">
        <v>116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24976.3624108193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18996.3886230785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96.5938235294118</v>
      </c>
      <c r="C94" s="130"/>
      <c r="D94" s="130"/>
      <c r="E94" s="109"/>
      <c r="F94" s="88" t="s">
        <v>117</v>
      </c>
      <c r="G94" s="259" t="n">
        <f aca="false">IF(B26="YES",((E40/B85)*(1+A108)*(C45/100)),"0")</f>
        <v>80.4948529411765</v>
      </c>
      <c r="H94" s="33"/>
      <c r="J94" s="88" t="s">
        <v>117</v>
      </c>
      <c r="K94" s="89" t="n">
        <f aca="false">((E40/K85)*(1+J108))*1.2</f>
        <v>93.834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74.3029411764706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89.1635294117647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799.515795412334</v>
      </c>
      <c r="C95" s="130"/>
      <c r="D95" s="130"/>
      <c r="E95" s="109"/>
      <c r="F95" s="91" t="s">
        <v>118</v>
      </c>
      <c r="G95" s="92" t="n">
        <f aca="false">G92/(G85)</f>
        <v>738.346084159263</v>
      </c>
      <c r="H95" s="33"/>
      <c r="J95" s="91" t="s">
        <v>118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734.598894435863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558.717312443485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896.109618941745</v>
      </c>
      <c r="C96" s="130"/>
      <c r="D96" s="130"/>
      <c r="E96" s="109"/>
      <c r="F96" s="93" t="s">
        <v>119</v>
      </c>
      <c r="G96" s="94" t="n">
        <f aca="false">G94+G95</f>
        <v>818.840937100439</v>
      </c>
      <c r="H96" s="33"/>
      <c r="J96" s="93" t="s">
        <v>119</v>
      </c>
      <c r="K96" s="94" t="n">
        <f aca="false">(K94+K95)</f>
        <v>1554.67483744584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808.901835612333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647.880841855249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-3543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25509.6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21258</v>
      </c>
      <c r="Q141" s="154" t="n">
        <f aca="false">(Q135+Q136+Q139+Q140+Q137)-Q138</f>
        <v>35519.004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21258</v>
      </c>
      <c r="Z141" s="154" t="n">
        <f aca="false">(Z135+Z136+Z139+Z140+Z137)-Z138</f>
        <v>21207.765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21258</v>
      </c>
      <c r="Z147" s="161" t="n">
        <f aca="false">Z141-((Z144*1.2)+(Z145*1.2)+(Z146*1.2)+(Z142*1.2))</f>
        <v>21207.765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-17555.5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24609.6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22207.765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799.515795412334</v>
      </c>
      <c r="B167" s="174" t="n">
        <f aca="false">B94</f>
        <v>96.5938235294118</v>
      </c>
      <c r="C167" s="171"/>
      <c r="D167" s="171"/>
      <c r="E167" s="174" t="n">
        <f aca="false">B96</f>
        <v>896.109618941745</v>
      </c>
      <c r="F167" s="23"/>
      <c r="G167" s="23" t="n">
        <f aca="false">ROUND(G95, 2)</f>
        <v>738.35</v>
      </c>
      <c r="H167" s="33"/>
      <c r="J167" s="173" t="n">
        <f aca="false">K95</f>
        <v>1460.84083744584</v>
      </c>
      <c r="K167" s="174" t="n">
        <f aca="false">K94</f>
        <v>93.834</v>
      </c>
      <c r="L167" s="171"/>
      <c r="M167" s="171"/>
      <c r="N167" s="174" t="n">
        <f aca="false">K96</f>
        <v>1554.67483744584</v>
      </c>
      <c r="O167" s="23"/>
      <c r="P167" s="23"/>
      <c r="Q167" s="33"/>
      <c r="S167" s="173" t="n">
        <f aca="false">T95</f>
        <v>734.598894435863</v>
      </c>
      <c r="T167" s="174" t="n">
        <f aca="false">T94</f>
        <v>74.3029411764706</v>
      </c>
      <c r="U167" s="171"/>
      <c r="V167" s="171"/>
      <c r="W167" s="174" t="n">
        <f aca="false">T96</f>
        <v>808.901835612333</v>
      </c>
      <c r="X167" s="23"/>
      <c r="Y167" s="23"/>
      <c r="Z167" s="33"/>
      <c r="AB167" s="173" t="n">
        <f aca="false">AC95</f>
        <v>558.717312443485</v>
      </c>
      <c r="AC167" s="174" t="n">
        <f aca="false">AC94</f>
        <v>89.1635294117647</v>
      </c>
      <c r="AD167" s="171"/>
      <c r="AE167" s="171"/>
      <c r="AF167" s="174" t="n">
        <f aca="false">AC96</f>
        <v>647.880841855249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2100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2100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2100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2100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25509.6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21207.765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24609.6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22207.765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4673.93704401935</v>
      </c>
      <c r="B182" s="99" t="str">
        <f aca="false">B114</f>
        <v>239.99</v>
      </c>
      <c r="C182" s="99"/>
      <c r="D182" s="23"/>
      <c r="E182" s="99" t="n">
        <f aca="false">E179+A182+B182+A185</f>
        <v>29533.5270440193</v>
      </c>
      <c r="F182" s="23"/>
      <c r="G182" s="23"/>
      <c r="H182" s="101"/>
      <c r="J182" s="107" t="n">
        <f aca="false">(J167*K59)+N185-N179-J185</f>
        <v>15249.5844731586</v>
      </c>
      <c r="K182" s="99" t="n">
        <f aca="false">K114</f>
        <v>239.99</v>
      </c>
      <c r="L182" s="99"/>
      <c r="M182" s="23"/>
      <c r="N182" s="99" t="n">
        <f aca="false">N179+J182+K182+J185</f>
        <v>52028.5784731586</v>
      </c>
      <c r="O182" s="23"/>
      <c r="P182" s="23"/>
      <c r="Q182" s="101"/>
      <c r="S182" s="107" t="n">
        <f aca="false">(S167*T59)+W185-W179-S185</f>
        <v>4868.59741081934</v>
      </c>
      <c r="T182" s="99" t="n">
        <f aca="false">T114</f>
        <v>199.99</v>
      </c>
      <c r="U182" s="99"/>
      <c r="V182" s="23"/>
      <c r="W182" s="99" t="n">
        <f aca="false">W179+S182+T182+S185</f>
        <v>27286.3524108193</v>
      </c>
      <c r="X182" s="23"/>
      <c r="Y182" s="23"/>
      <c r="Z182" s="101"/>
      <c r="AB182" s="107" t="n">
        <f aca="false">(AB167*AC59)+AF185-AF179-AB185</f>
        <v>3861.88862307848</v>
      </c>
      <c r="AC182" s="99" t="n">
        <f aca="false">AC114</f>
        <v>239.99</v>
      </c>
      <c r="AD182" s="99"/>
      <c r="AE182" s="23"/>
      <c r="AF182" s="99" t="n">
        <f aca="false">AF179+AB182+AC182+AB185</f>
        <v>21346.3786230785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2110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2120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2110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2110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0.041856</v>
      </c>
      <c r="B188" s="99" t="n">
        <f aca="false">(G158*B67)/1.2</f>
        <v>200.8075</v>
      </c>
      <c r="C188" s="130"/>
      <c r="D188" s="130"/>
      <c r="E188" s="99" t="n">
        <f aca="false">(E40*A108)*0.1*C45/100</f>
        <v>63.1575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63.1575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181.209193576389</v>
      </c>
      <c r="U188" s="130"/>
      <c r="V188" s="130"/>
      <c r="W188" s="99" t="n">
        <f aca="false">(E40*S108)*0.1</f>
        <v>42.105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42.105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363.956666666667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3453.88472569444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1323.30419357639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1322.72373263889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896.109618941745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1554.67483744584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808.901835612333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647.880841855249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2594.3</v>
      </c>
      <c r="B201" s="183" t="n">
        <f aca="false">E179+A201+B182+A185</f>
        <v>27453.89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799.515795412334</v>
      </c>
      <c r="B212" s="174" t="n">
        <f aca="false">B167</f>
        <v>96.5938235294118</v>
      </c>
      <c r="C212" s="171"/>
      <c r="D212" s="171"/>
      <c r="E212" s="174" t="n">
        <f aca="false">E167</f>
        <v>896.109618941745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24609.6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4673.93704401935</v>
      </c>
      <c r="B224" s="99" t="str">
        <f aca="false">B182</f>
        <v>239.99</v>
      </c>
      <c r="C224" s="99"/>
      <c r="D224" s="109"/>
      <c r="E224" s="99" t="n">
        <f aca="false">E182</f>
        <v>29533.5270440193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799.515795412334</v>
      </c>
      <c r="B230" s="99" t="n">
        <f aca="false">B167</f>
        <v>96.5938235294118</v>
      </c>
      <c r="C230" s="183"/>
      <c r="D230" s="183"/>
      <c r="E230" s="99" t="n">
        <f aca="false">E167</f>
        <v>896.109618941745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2100</v>
      </c>
      <c r="B233" s="99" t="n">
        <f aca="false">E185</f>
        <v>2110</v>
      </c>
      <c r="C233" s="130"/>
      <c r="D233" s="130"/>
      <c r="E233" s="99" t="n">
        <f aca="false">J18*0.000006*100*1.2</f>
        <v>15.06816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5.02272</v>
      </c>
      <c r="B236" s="99" t="n">
        <f aca="false">E233+A236</f>
        <v>20.09088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200.8075</v>
      </c>
      <c r="C240" s="130"/>
      <c r="D240" s="130"/>
      <c r="E240" s="99" t="n">
        <f aca="false">E188</f>
        <v>63.1575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3906.95666666666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2089.63704401934</v>
      </c>
      <c r="C254" s="194"/>
      <c r="D254" s="195" t="s">
        <v>213</v>
      </c>
      <c r="E254" s="195"/>
      <c r="F254" s="196" t="n">
        <f aca="false">F261+F267+F269+B270+B271</f>
        <v>240.969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731.566666666667</v>
      </c>
      <c r="C255" s="194"/>
      <c r="D255" s="195" t="s">
        <v>215</v>
      </c>
      <c r="E255" s="195"/>
      <c r="F255" s="196" t="n">
        <f aca="false">(B254-F254)+B255</f>
        <v>2580.23471068601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2089.63704401934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240.969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631.575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2580.23471068601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6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5250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1754.55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495.611858219498</v>
      </c>
      <c r="F33" s="228"/>
      <c r="G33" s="228"/>
      <c r="H33" s="47"/>
      <c r="I33" s="2"/>
      <c r="J33" s="34" t="s">
        <v>352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445.481858219498</v>
      </c>
      <c r="B36" s="228" t="n">
        <f aca="false">IF(B26="YES", K42, "0.00")</f>
        <v>50.13</v>
      </c>
      <c r="C36" s="228"/>
      <c r="D36" s="228"/>
      <c r="E36" s="228" t="n">
        <f aca="false">K31</f>
        <v>5250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17770</v>
      </c>
      <c r="L39" s="2" t="n">
        <f aca="false">(L47*K46)+K44</f>
        <v>27450.8277595291</v>
      </c>
      <c r="N39" s="1" t="n">
        <f aca="false">K39-L39</f>
        <v>-9680.82775952915</v>
      </c>
      <c r="P39" s="208"/>
    </row>
    <row r="40" customFormat="false" ht="17.35" hidden="false" customHeight="false" outlineLevel="0" collapsed="false">
      <c r="A40" s="312" t="n">
        <f aca="false">E36*A45/100</f>
        <v>5250</v>
      </c>
      <c r="B40" s="103" t="n">
        <f aca="false">IF(B26="YES", K42, "0.00")</f>
        <v>50.13</v>
      </c>
      <c r="C40" s="103"/>
      <c r="D40" s="103"/>
      <c r="E40" s="179" t="n">
        <f aca="false">K32</f>
        <v>1754.55</v>
      </c>
      <c r="F40" s="183"/>
      <c r="G40" s="183"/>
      <c r="H40" s="47"/>
      <c r="J40" s="2" t="s">
        <v>106</v>
      </c>
      <c r="K40" s="2" t="n">
        <f aca="false">(A40)/1.2</f>
        <v>4375</v>
      </c>
      <c r="L40" s="2" t="n">
        <f aca="false">K39-L39</f>
        <v>-9680.82775952915</v>
      </c>
      <c r="N40" s="1" t="n">
        <f aca="false">N38-N39</f>
        <v>12592.5077595291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50.13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3601.79648789393</v>
      </c>
      <c r="L44" s="2"/>
      <c r="P44" s="208"/>
    </row>
    <row r="45" customFormat="false" ht="17.35" hidden="false" customHeight="false" outlineLevel="0" collapsed="false">
      <c r="A45" s="507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363</v>
      </c>
      <c r="K45" s="2" t="n">
        <f aca="false">(K39-K44)</f>
        <v>14168.2035121061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445.481858219498</v>
      </c>
      <c r="L47" s="2" t="n">
        <f aca="false">L49-K42</f>
        <v>749.87</v>
      </c>
      <c r="M47" s="1" t="n">
        <f aca="false">K47-L47</f>
        <v>-304.388141780502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495.611858219498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495.611858219498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5924.36395028554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34076.7234354761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6794.31258127517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814.338793534307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187.751944444444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445.481858219498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445.481858219498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495.611858219498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495.611858219498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23009.6</v>
      </c>
      <c r="C81" s="130"/>
      <c r="D81" s="130"/>
      <c r="E81" s="109"/>
      <c r="F81" s="25" t="s">
        <v>105</v>
      </c>
      <c r="G81" s="27" t="n">
        <f aca="false">G158</f>
        <v>23009.6</v>
      </c>
      <c r="H81" s="33"/>
      <c r="J81" s="25" t="s">
        <v>105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22207.765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5250</v>
      </c>
      <c r="C82" s="130"/>
      <c r="D82" s="130"/>
      <c r="E82" s="109"/>
      <c r="F82" s="31" t="s">
        <v>106</v>
      </c>
      <c r="G82" s="33" t="n">
        <f aca="false">IF(A111 = "Yes", A40, 0)</f>
        <v>5250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5250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5250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4053.58887818967</v>
      </c>
      <c r="C86" s="130"/>
      <c r="D86" s="130"/>
      <c r="E86" s="109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3590.2262635627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3590.2262635627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18956.0111218103</v>
      </c>
      <c r="C88" s="130"/>
      <c r="D88" s="130"/>
      <c r="E88" s="109"/>
      <c r="F88" s="31" t="s">
        <v>112</v>
      </c>
      <c r="G88" s="33" t="n">
        <f aca="false">G81-G86</f>
        <v>18664.032537356</v>
      </c>
      <c r="H88" s="33"/>
      <c r="J88" s="31" t="s">
        <v>112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18617.5387364373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13644.2737364373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632.830264351999</v>
      </c>
      <c r="C89" s="130"/>
      <c r="D89" s="130"/>
      <c r="E89" s="109"/>
      <c r="F89" s="31" t="s">
        <v>113</v>
      </c>
      <c r="G89" s="33" t="n">
        <f aca="false">(G88/G87)</f>
        <v>602.522434030293</v>
      </c>
      <c r="H89" s="33"/>
      <c r="J89" s="31" t="s">
        <v>113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658.416988792871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482.535406800493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21516.228987968</v>
      </c>
      <c r="C90" s="130"/>
      <c r="D90" s="130"/>
      <c r="E90" s="109"/>
      <c r="F90" s="31" t="s">
        <v>114</v>
      </c>
      <c r="G90" s="33" t="n">
        <f aca="false">((G89*(G85))+G77)</f>
        <v>20485.76275703</v>
      </c>
      <c r="H90" s="33"/>
      <c r="J90" s="31" t="s">
        <v>114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22386.1776189576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16406.2038312167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21516.228987968</v>
      </c>
      <c r="C92" s="130"/>
      <c r="D92" s="130"/>
      <c r="E92" s="109"/>
      <c r="F92" s="56" t="s">
        <v>116</v>
      </c>
      <c r="G92" s="65" t="n">
        <f aca="false">(G90+G91)</f>
        <v>20485.76275703</v>
      </c>
      <c r="H92" s="33"/>
      <c r="J92" s="56" t="s">
        <v>116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22386.1776189576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16406.2038312167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130"/>
      <c r="D94" s="130"/>
      <c r="E94" s="109"/>
      <c r="F94" s="88" t="s">
        <v>117</v>
      </c>
      <c r="G94" s="259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61.9252941176471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74.3103529411765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632.830264351999</v>
      </c>
      <c r="C95" s="130"/>
      <c r="D95" s="130"/>
      <c r="E95" s="109"/>
      <c r="F95" s="91" t="s">
        <v>118</v>
      </c>
      <c r="G95" s="92" t="n">
        <f aca="false">G92/(G85)</f>
        <v>602.522434030293</v>
      </c>
      <c r="H95" s="33"/>
      <c r="J95" s="91" t="s">
        <v>118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658.416988792871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482.535406800493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694.755558469646</v>
      </c>
      <c r="C96" s="130"/>
      <c r="D96" s="130"/>
      <c r="E96" s="109"/>
      <c r="F96" s="93" t="s">
        <v>119</v>
      </c>
      <c r="G96" s="94" t="n">
        <f aca="false">G94+G95</f>
        <v>664.44772814794</v>
      </c>
      <c r="H96" s="33"/>
      <c r="J96" s="93" t="s">
        <v>119</v>
      </c>
      <c r="K96" s="94" t="n">
        <f aca="false">(K94+K95)</f>
        <v>1539.04363744584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720.342282910518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556.845759741669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270</v>
      </c>
      <c r="C108" s="103"/>
      <c r="D108" s="103"/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-3543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25509.6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21258</v>
      </c>
      <c r="Q141" s="154" t="n">
        <f aca="false">(Q135+Q136+Q139+Q140+Q137)-Q138</f>
        <v>35519.004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21258</v>
      </c>
      <c r="Z141" s="154" t="n">
        <f aca="false">(Z135+Z136+Z139+Z140+Z137)-Z138</f>
        <v>21207.765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21258</v>
      </c>
      <c r="Z147" s="161" t="n">
        <f aca="false">Z141-((Z144*1.2)+(Z145*1.2)+(Z146*1.2)+(Z142*1.2))</f>
        <v>21207.765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-16222.1666666667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23009.6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22207.765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632.830264351999</v>
      </c>
      <c r="B167" s="174" t="n">
        <f aca="false">B94</f>
        <v>61.9252941176471</v>
      </c>
      <c r="C167" s="171"/>
      <c r="D167" s="171"/>
      <c r="E167" s="174" t="n">
        <f aca="false">B96</f>
        <v>694.755558469646</v>
      </c>
      <c r="F167" s="23"/>
      <c r="G167" s="23" t="n">
        <f aca="false">ROUND(G95, 2)</f>
        <v>602.52</v>
      </c>
      <c r="H167" s="33"/>
      <c r="J167" s="173" t="n">
        <f aca="false">K95</f>
        <v>1460.84083744584</v>
      </c>
      <c r="K167" s="174" t="n">
        <f aca="false">K94</f>
        <v>78.2028</v>
      </c>
      <c r="L167" s="171"/>
      <c r="M167" s="171"/>
      <c r="N167" s="174" t="n">
        <f aca="false">K96</f>
        <v>1539.04363744584</v>
      </c>
      <c r="O167" s="23"/>
      <c r="P167" s="23"/>
      <c r="Q167" s="33"/>
      <c r="S167" s="173" t="n">
        <f aca="false">T95</f>
        <v>658.416988792871</v>
      </c>
      <c r="T167" s="174" t="n">
        <f aca="false">T94</f>
        <v>61.9252941176471</v>
      </c>
      <c r="U167" s="171"/>
      <c r="V167" s="171"/>
      <c r="W167" s="174" t="n">
        <f aca="false">T96</f>
        <v>720.342282910518</v>
      </c>
      <c r="X167" s="23"/>
      <c r="Y167" s="23"/>
      <c r="Z167" s="33"/>
      <c r="AB167" s="173" t="n">
        <f aca="false">AC95</f>
        <v>482.535406800493</v>
      </c>
      <c r="AC167" s="174" t="n">
        <f aca="false">AC94</f>
        <v>74.3103529411765</v>
      </c>
      <c r="AD167" s="171"/>
      <c r="AE167" s="171"/>
      <c r="AF167" s="174" t="n">
        <f aca="false">AC96</f>
        <v>556.845759741669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5250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5250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5250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25509.6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21207.765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22207.765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3756.62898796797</v>
      </c>
      <c r="B182" s="99" t="str">
        <f aca="false">B114</f>
        <v>199.99</v>
      </c>
      <c r="C182" s="99"/>
      <c r="D182" s="23"/>
      <c r="E182" s="99" t="n">
        <f aca="false">E179+A182+(B182*1.2)+A185</f>
        <v>27016.216987968</v>
      </c>
      <c r="F182" s="23"/>
      <c r="G182" s="23"/>
      <c r="H182" s="101"/>
      <c r="J182" s="107" t="n">
        <f aca="false">(J167*K59)+N185-N179-J185</f>
        <v>18399.5844731586</v>
      </c>
      <c r="K182" s="99" t="n">
        <f aca="false">K114</f>
        <v>239.99</v>
      </c>
      <c r="L182" s="99"/>
      <c r="M182" s="23"/>
      <c r="N182" s="99" t="n">
        <f aca="false">N179+J182+K182+J185</f>
        <v>55178.5784731586</v>
      </c>
      <c r="O182" s="23"/>
      <c r="P182" s="23"/>
      <c r="Q182" s="101"/>
      <c r="S182" s="107" t="n">
        <f aca="false">(S167*T59)+W185-W179-S185</f>
        <v>5428.41261895761</v>
      </c>
      <c r="T182" s="99" t="n">
        <f aca="false">T114</f>
        <v>199.99</v>
      </c>
      <c r="U182" s="99"/>
      <c r="V182" s="23"/>
      <c r="W182" s="99" t="n">
        <f aca="false">W179+S182+T182+S185</f>
        <v>27846.1676189576</v>
      </c>
      <c r="X182" s="23"/>
      <c r="Y182" s="23"/>
      <c r="Z182" s="101"/>
      <c r="AB182" s="107" t="n">
        <f aca="false">(AB167*AC59)+AF185-AF179-AB185</f>
        <v>4421.70383121675</v>
      </c>
      <c r="AC182" s="99" t="n">
        <f aca="false">AC114</f>
        <v>239.99</v>
      </c>
      <c r="AD182" s="99"/>
      <c r="AE182" s="23"/>
      <c r="AF182" s="99" t="n">
        <f aca="false">AF179+AB182+AC182+AB185</f>
        <v>21906.1938312167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5260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5270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5260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5260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4.1856</v>
      </c>
      <c r="B188" s="99" t="n">
        <f aca="false">(G158*B67)/1.2</f>
        <v>187.751944444444</v>
      </c>
      <c r="C188" s="130"/>
      <c r="D188" s="130"/>
      <c r="E188" s="99" t="n">
        <f aca="false">(E40*A108)*0.1*(C45/100)</f>
        <v>35.091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52.6365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181.209193576389</v>
      </c>
      <c r="U188" s="130"/>
      <c r="V188" s="130"/>
      <c r="W188" s="99" t="n">
        <f aca="false">(E40*S108)*0.1</f>
        <v>35.091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322.832944444444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3443.36372569444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1316.29019357639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1315.70973263889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694.755558469646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720.342282910518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556.845759741669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2726.08</v>
      </c>
      <c r="B201" s="183" t="n">
        <f aca="false">E179+A201+(B182*1.2)+A185</f>
        <v>25985.668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632.830264351999</v>
      </c>
      <c r="B212" s="174" t="n">
        <f aca="false">B167</f>
        <v>61.9252941176471</v>
      </c>
      <c r="C212" s="171"/>
      <c r="D212" s="171"/>
      <c r="E212" s="174" t="n">
        <f aca="false">E167</f>
        <v>694.755558469646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3756.62898796797</v>
      </c>
      <c r="B224" s="99" t="str">
        <f aca="false">B182</f>
        <v>199.99</v>
      </c>
      <c r="C224" s="99"/>
      <c r="D224" s="109"/>
      <c r="E224" s="99" t="n">
        <f aca="false">E182</f>
        <v>27016.216987968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632.830264351999</v>
      </c>
      <c r="B230" s="99" t="n">
        <f aca="false">B167</f>
        <v>61.9252941176471</v>
      </c>
      <c r="C230" s="183"/>
      <c r="D230" s="183"/>
      <c r="E230" s="99" t="n">
        <f aca="false">E167</f>
        <v>694.755558469646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5250</v>
      </c>
      <c r="B233" s="99" t="n">
        <f aca="false">E185</f>
        <v>5260</v>
      </c>
      <c r="C233" s="130"/>
      <c r="D233" s="130"/>
      <c r="E233" s="99" t="n">
        <f aca="false">J18*0.000006*100</f>
        <v>12.5568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4.1856</v>
      </c>
      <c r="B236" s="99" t="n">
        <f aca="false">E233+A236</f>
        <v>16.7424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187.751944444444</v>
      </c>
      <c r="C240" s="130"/>
      <c r="D240" s="130"/>
      <c r="E240" s="99" t="n">
        <f aca="false">E188</f>
        <v>35.091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3865.83294444444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1040.54898796797</v>
      </c>
      <c r="C254" s="194"/>
      <c r="D254" s="195" t="s">
        <v>213</v>
      </c>
      <c r="E254" s="195"/>
      <c r="F254" s="196" t="n">
        <f aca="false">F261+F267+F269+B270+B271</f>
        <v>225.302333333333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450.9</v>
      </c>
      <c r="C255" s="194"/>
      <c r="D255" s="195" t="s">
        <v>215</v>
      </c>
      <c r="E255" s="195"/>
      <c r="F255" s="196" t="n">
        <f aca="false">(B254-F254)+B255</f>
        <v>1266.14665463464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1040.54898796797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225.302333333333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1266.14665463464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16745</v>
      </c>
      <c r="C3" s="498" t="n">
        <v>0</v>
      </c>
      <c r="D3" s="262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5" t="n">
        <f aca="false">G9*100/B3</f>
        <v>-809.425699213696</v>
      </c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3488</v>
      </c>
      <c r="F11" s="63"/>
      <c r="G11" s="454" t="n">
        <f aca="false">G13/1.2</f>
        <v>152283.333333333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182740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21258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8730</v>
      </c>
      <c r="I31" s="234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9" t="n">
        <f aca="false">H48</f>
        <v>594.961688834781</v>
      </c>
      <c r="E33" s="212"/>
      <c r="F33" s="63"/>
      <c r="G33" s="215" t="s">
        <v>352</v>
      </c>
      <c r="H33" s="460" t="n">
        <f aca="false">E21-E11+((E16*20%)+(E19*20%)+(E20*20%))</f>
        <v>17770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548.411688834781</v>
      </c>
      <c r="B36" s="99" t="n">
        <f aca="false">IF(B26="YES", H42, "")</f>
        <v>46.55</v>
      </c>
      <c r="C36" s="217"/>
      <c r="D36" s="181" t="n">
        <f aca="false">I31</f>
        <v>8730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17770</v>
      </c>
      <c r="I39" s="234" t="n">
        <f aca="false">(I48*H46)+H44</f>
        <v>34423.8379370532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8730</v>
      </c>
      <c r="B40" s="103" t="n">
        <f aca="false">IF(B26="YES",H42,"0")</f>
        <v>46.55</v>
      </c>
      <c r="C40" s="103"/>
      <c r="D40" s="181" t="n">
        <f aca="false">I32</f>
        <v>1024.1</v>
      </c>
      <c r="E40" s="212"/>
      <c r="F40" s="63"/>
      <c r="G40" s="63" t="s">
        <v>106</v>
      </c>
      <c r="H40" s="234" t="n">
        <f aca="false">A40/1.2</f>
        <v>7275</v>
      </c>
      <c r="I40" s="234" t="n">
        <f aca="false">H39-I39</f>
        <v>-16653.8379370533</v>
      </c>
      <c r="J40" s="63" t="n">
        <v>23875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46.55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6425.00031244387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11344.9996875561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548.411688834781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594.961688834781</v>
      </c>
      <c r="I48" s="234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594.961688834781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20928</v>
      </c>
      <c r="C61" s="211"/>
      <c r="D61" s="211"/>
      <c r="E61" s="212"/>
      <c r="F61" s="63"/>
      <c r="G61" s="210" t="s">
        <v>14</v>
      </c>
      <c r="H61" s="290" t="n">
        <f aca="false">G18</f>
        <v>20928</v>
      </c>
      <c r="I61" s="211"/>
      <c r="J61" s="211"/>
      <c r="K61" s="212"/>
      <c r="L61" s="63"/>
      <c r="M61" s="210" t="s">
        <v>14</v>
      </c>
      <c r="N61" s="290" t="n">
        <f aca="false">G18</f>
        <v>20928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1770.16</v>
      </c>
      <c r="C64" s="211" t="n">
        <v>10000</v>
      </c>
      <c r="D64" s="290" t="n">
        <f aca="false">B64-A143</f>
        <v>1770.16</v>
      </c>
      <c r="E64" s="212"/>
      <c r="F64" s="63"/>
      <c r="G64" s="284" t="s">
        <v>90</v>
      </c>
      <c r="H64" s="129" t="n">
        <f aca="false">H61*H63</f>
        <v>1770.16</v>
      </c>
      <c r="I64" s="211"/>
      <c r="J64" s="290" t="n">
        <f aca="false">H64-G145</f>
        <v>1770.16</v>
      </c>
      <c r="K64" s="212"/>
      <c r="L64" s="63"/>
      <c r="M64" s="284" t="s">
        <v>90</v>
      </c>
      <c r="N64" s="129" t="n">
        <f aca="false">N61*N63</f>
        <v>1770.16</v>
      </c>
      <c r="O64" s="211"/>
      <c r="P64" s="290" t="n">
        <f aca="false">N64-M145</f>
        <v>1770.16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0.0141666666666667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E15*B66</f>
        <v>301.155</v>
      </c>
      <c r="C67" s="211"/>
      <c r="D67" s="290"/>
      <c r="E67" s="212"/>
      <c r="F67" s="63"/>
      <c r="G67" s="284" t="s">
        <v>93</v>
      </c>
      <c r="H67" s="129" t="n">
        <f aca="false">(H61*H66)/1.2</f>
        <v>247.066666666667</v>
      </c>
      <c r="I67" s="211"/>
      <c r="J67" s="290"/>
      <c r="K67" s="212"/>
      <c r="L67" s="63"/>
      <c r="M67" s="284" t="s">
        <v>93</v>
      </c>
      <c r="N67" s="129" t="n">
        <f aca="false">(N61*N66)/1.2</f>
        <v>247.066666666667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471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110</v>
      </c>
      <c r="C73" s="211"/>
      <c r="D73" s="290" t="n">
        <f aca="false">B73+B71</f>
        <v>310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277</v>
      </c>
      <c r="B74" s="431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278</v>
      </c>
      <c r="B75" s="433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279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0</v>
      </c>
      <c r="C77" s="211"/>
      <c r="D77" s="290" t="n">
        <f aca="false">B77</f>
        <v>0</v>
      </c>
      <c r="E77" s="212"/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212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2480.16</v>
      </c>
      <c r="C81" s="211"/>
      <c r="D81" s="211"/>
      <c r="E81" s="212"/>
      <c r="F81" s="63"/>
      <c r="G81" s="302" t="s">
        <v>102</v>
      </c>
      <c r="H81" s="303" t="n">
        <f aca="false">SUM(J64:J80)</f>
        <v>2580.41</v>
      </c>
      <c r="I81" s="211"/>
      <c r="J81" s="211"/>
      <c r="K81" s="212"/>
      <c r="L81" s="63"/>
      <c r="M81" s="302" t="s">
        <v>102</v>
      </c>
      <c r="N81" s="303" t="n">
        <f aca="false">SUM(P64:P80)</f>
        <v>2429.16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112.734545454545</v>
      </c>
      <c r="C82" s="211"/>
      <c r="D82" s="211"/>
      <c r="E82" s="212"/>
      <c r="F82" s="63"/>
      <c r="G82" s="210" t="s">
        <v>103</v>
      </c>
      <c r="H82" s="299" t="n">
        <f aca="false">H81/H29</f>
        <v>117.291363636364</v>
      </c>
      <c r="I82" s="211"/>
      <c r="J82" s="211"/>
      <c r="K82" s="212"/>
      <c r="L82" s="63"/>
      <c r="M82" s="210" t="s">
        <v>103</v>
      </c>
      <c r="N82" s="299" t="n">
        <f aca="false">N81/H29</f>
        <v>110.416363636364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548.411688834781</v>
      </c>
      <c r="C83" s="211"/>
      <c r="D83" s="211"/>
      <c r="E83" s="212"/>
      <c r="F83" s="63"/>
      <c r="G83" s="304" t="s">
        <v>104</v>
      </c>
      <c r="H83" s="305" t="n">
        <f aca="false">H47</f>
        <v>548.411688834781</v>
      </c>
      <c r="I83" s="211"/>
      <c r="J83" s="211"/>
      <c r="K83" s="212"/>
      <c r="L83" s="63"/>
      <c r="M83" s="304" t="s">
        <v>104</v>
      </c>
      <c r="N83" s="305" t="n">
        <f aca="false">H47</f>
        <v>548.411688834781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14545.2171543652</v>
      </c>
      <c r="C85" s="211"/>
      <c r="D85" s="211"/>
      <c r="E85" s="212"/>
      <c r="F85" s="63"/>
      <c r="G85" s="287" t="s">
        <v>114</v>
      </c>
      <c r="H85" s="127" t="n">
        <f aca="false">((H83*H29)+H81)*1.2</f>
        <v>17574.5605852382</v>
      </c>
      <c r="I85" s="211"/>
      <c r="J85" s="211"/>
      <c r="K85" s="212"/>
      <c r="L85" s="63"/>
      <c r="M85" s="287" t="s">
        <v>114</v>
      </c>
      <c r="N85" s="127" t="n">
        <f aca="false">((N83*H29)+N81)</f>
        <v>14494.2171543652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123.21482865739</v>
      </c>
      <c r="C86" s="211"/>
      <c r="D86" s="211"/>
      <c r="E86" s="212"/>
      <c r="F86" s="63"/>
      <c r="G86" s="210" t="s">
        <v>115</v>
      </c>
      <c r="H86" s="299" t="n">
        <f aca="false">((((H83*H29)+H81))/(1-H70))*H70</f>
        <v>124.06406221931</v>
      </c>
      <c r="I86" s="211"/>
      <c r="J86" s="211"/>
      <c r="K86" s="212"/>
      <c r="L86" s="63"/>
      <c r="M86" s="210" t="s">
        <v>115</v>
      </c>
      <c r="N86" s="299" t="n">
        <f aca="false">(N85/(1-N70))*N70</f>
        <v>122.78279961342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14668.4319830226</v>
      </c>
      <c r="C87" s="211"/>
      <c r="D87" s="211"/>
      <c r="E87" s="212"/>
      <c r="F87" s="63"/>
      <c r="G87" s="284" t="s">
        <v>116</v>
      </c>
      <c r="H87" s="129" t="n">
        <f aca="false">IF(H110="YES",((H85+H86)-K114),(H85+H86))</f>
        <v>17698.6246474575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14616.9999539786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(D40+(D40*B105))/(B57+B58))*(C45/100)</f>
        <v>60.515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54.6186666666667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45.5155555555556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666.746908319208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655.504616572501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541.370368665875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727.261908319208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710.123283239168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586.88592422143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18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18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655.504616572501</v>
      </c>
      <c r="H127" s="174" t="n">
        <f aca="false">IF(G105="YES", H89*H57, 0)</f>
        <v>327.712</v>
      </c>
      <c r="I127" s="174"/>
      <c r="J127" s="333" t="n">
        <f aca="false">H91</f>
        <v>710.123283239168</v>
      </c>
      <c r="K127" s="212"/>
      <c r="L127" s="63"/>
      <c r="M127" s="332" t="n">
        <f aca="false">N90</f>
        <v>541.370368665875</v>
      </c>
      <c r="N127" s="174" t="n">
        <f aca="false">IF(M105="YES", N89*N57, 0)</f>
        <v>273.093333333333</v>
      </c>
      <c r="O127" s="174"/>
      <c r="P127" s="174" t="n">
        <f aca="false">N91</f>
        <v>586.88592422143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666.746908319208</v>
      </c>
      <c r="B128" s="320" t="n">
        <f aca="false">IF(A105="YES", B89, 0)</f>
        <v>60.515</v>
      </c>
      <c r="C128" s="324"/>
      <c r="D128" s="320" t="n">
        <f aca="false">B91</f>
        <v>727.261908319208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21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21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666.746908319208</v>
      </c>
      <c r="C131" s="316"/>
      <c r="D131" s="38" t="n">
        <f aca="false">IF(A105="YES", B89*B57, 0)</f>
        <v>60.515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3933.02769943501</v>
      </c>
      <c r="H133" s="99" t="n">
        <f aca="false">IF(G105="YES", H89*H57, 0)</f>
        <v>327.712</v>
      </c>
      <c r="I133" s="217"/>
      <c r="J133" s="181" t="n">
        <f aca="false">H91*H57</f>
        <v>4260.73969943501</v>
      </c>
      <c r="K133" s="212"/>
      <c r="L133" s="63"/>
      <c r="M133" s="182" t="n">
        <f aca="false">N90*N57</f>
        <v>3248.22221199525</v>
      </c>
      <c r="N133" s="99" t="n">
        <f aca="false">IF(M105="YES", N89*N57, 0)</f>
        <v>273.093333333333</v>
      </c>
      <c r="O133" s="217"/>
      <c r="P133" s="181" t="n">
        <f aca="false">N91*N57</f>
        <v>3521.31554532858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727.261908319208</v>
      </c>
      <c r="B134" s="38" t="n">
        <f aca="false">E114</f>
        <v>4000</v>
      </c>
      <c r="C134" s="316"/>
      <c r="D134" s="336" t="n">
        <f aca="false">B58</f>
        <v>21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0.127548</v>
      </c>
      <c r="H136" s="99" t="n">
        <f aca="false">IF(G105="YES", E15*0.000002, 0)</f>
        <v>0.042516</v>
      </c>
      <c r="I136" s="99"/>
      <c r="J136" s="99" t="n">
        <f aca="false">G136+H136</f>
        <v>0.170064</v>
      </c>
      <c r="K136" s="101"/>
      <c r="L136" s="63"/>
      <c r="M136" s="107" t="n">
        <f aca="false">E15*0.000006</f>
        <v>0.127548</v>
      </c>
      <c r="N136" s="99" t="n">
        <f aca="false">IF(M105="YES", E15*0.000002, 0)</f>
        <v>0.042516</v>
      </c>
      <c r="O136" s="99"/>
      <c r="P136" s="99" t="n">
        <f aca="false">M136+N136</f>
        <v>0.170064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666.746908319208</v>
      </c>
      <c r="B137" s="38" t="n">
        <f aca="false">IF(A105="YES", B89, 0)</f>
        <v>60.515</v>
      </c>
      <c r="C137" s="316"/>
      <c r="D137" s="38" t="n">
        <f aca="false">B91</f>
        <v>727.261908319208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247.066666666667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247.066666666667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IF(A105="YES", G18*0.000002, 0)*1.2*100</f>
        <v>5.02272</v>
      </c>
      <c r="C140" s="316"/>
      <c r="D140" s="342" t="n">
        <f aca="false">A140+B140</f>
        <v>20.09088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20.482</v>
      </c>
      <c r="H142" s="99" t="n">
        <f aca="false">G102-100</f>
        <v>99.99</v>
      </c>
      <c r="I142" s="99"/>
      <c r="J142" s="99" t="n">
        <f aca="false">(H139+J139+G142+H142)-H145</f>
        <v>367.538666666667</v>
      </c>
      <c r="K142" s="101"/>
      <c r="L142" s="63"/>
      <c r="M142" s="107" t="n">
        <f aca="false">IF(M105="YES", ((B36*N105)*0.1)*(M130), 0)</f>
        <v>20.482</v>
      </c>
      <c r="N142" s="99" t="n">
        <f aca="false">M102-100</f>
        <v>99.99</v>
      </c>
      <c r="O142" s="99"/>
      <c r="P142" s="99" t="n">
        <f aca="false">(N139+P139+M142+N142)-N145</f>
        <v>367.538666666667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301.155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431.868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710.123283239168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586.88592422143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727.261908319208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666.746908319208</v>
      </c>
      <c r="B177" s="354" t="n">
        <f aca="false">IF(A105="YES", B89, 0)</f>
        <v>60.515</v>
      </c>
      <c r="C177" s="356"/>
      <c r="D177" s="354" t="n">
        <f aca="false">B91</f>
        <v>727.261908319208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666.746908319208</v>
      </c>
      <c r="C180" s="352"/>
      <c r="D180" s="99" t="n">
        <f aca="false">IF(A105="YES", B89*B57, 0)</f>
        <v>60.515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727.261908319208</v>
      </c>
      <c r="B183" s="99" t="n">
        <f aca="false">E114</f>
        <v>4000</v>
      </c>
      <c r="C183" s="352"/>
      <c r="D183" s="360" t="n">
        <f aca="false">B58</f>
        <v>21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666.746908319208</v>
      </c>
      <c r="B186" s="99" t="n">
        <f aca="false">IF(A105="YES", B89, 0)</f>
        <v>60.515</v>
      </c>
      <c r="C186" s="352"/>
      <c r="D186" s="99" t="n">
        <f aca="false">B91</f>
        <v>727.261908319208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IF(A105="YES", G18*0.000002, 0)*1.2*100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301.155</v>
      </c>
      <c r="B197" s="99" t="n">
        <f aca="false">B102</f>
        <v>0</v>
      </c>
      <c r="C197" s="99"/>
      <c r="D197" s="99" t="n">
        <f aca="false">IF(A105="YES", (B40*B105)*B125, 0)*0.1</f>
        <v>30.723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431.868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1770.16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301.155</v>
      </c>
      <c r="C211" s="319" t="s">
        <v>214</v>
      </c>
      <c r="D211" s="369" t="n">
        <f aca="false">B225+E221+B221+B223</f>
        <v>407.22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1876.225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1770.16</v>
      </c>
      <c r="C217" s="374" t="s">
        <v>218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301.155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1876.225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307.23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123.21482865739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19575</v>
      </c>
      <c r="C3" s="498" t="n">
        <v>0</v>
      </c>
      <c r="D3" s="262" t="n">
        <v>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19575</v>
      </c>
      <c r="C7" s="290" t="n">
        <f aca="false">C3-C6</f>
        <v>0</v>
      </c>
      <c r="D7" s="290" t="n">
        <f aca="false">D3-D6</f>
        <v>0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5" t="n">
        <f aca="false">G9*100/B3</f>
        <v>-677.948063005534</v>
      </c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19575</v>
      </c>
      <c r="F9" s="63"/>
      <c r="G9" s="454" t="n">
        <f aca="false">E9-G11</f>
        <v>-132708.333333333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20270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4054</v>
      </c>
      <c r="F11" s="63"/>
      <c r="G11" s="454" t="n">
        <f aca="false">G13/1.2</f>
        <v>152283.333333333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182740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24654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24324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24324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24654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8850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1052.92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9" t="n">
        <f aca="false">H48</f>
        <v>728.803333508501</v>
      </c>
      <c r="E33" s="212"/>
      <c r="F33" s="63"/>
      <c r="G33" s="215" t="s">
        <v>352</v>
      </c>
      <c r="H33" s="460" t="n">
        <f aca="false">E21-E11+((E16*20%)+(E19*20%)+(E20*20%))</f>
        <v>20600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680.943333508501</v>
      </c>
      <c r="B36" s="99" t="n">
        <f aca="false">IF(B26="YES", H42, "")</f>
        <v>47.86</v>
      </c>
      <c r="C36" s="217"/>
      <c r="D36" s="181" t="n">
        <f aca="false">H31</f>
        <v>8850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20600</v>
      </c>
      <c r="I39" s="234" t="n">
        <f aca="false">(I48*H46)+H44</f>
        <v>34485.0541056371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8850</v>
      </c>
      <c r="B40" s="103" t="n">
        <f aca="false">IF(B26="YES",H42,"0")</f>
        <v>47.86</v>
      </c>
      <c r="C40" s="103"/>
      <c r="D40" s="181" t="n">
        <f aca="false">I32</f>
        <v>1052.92</v>
      </c>
      <c r="E40" s="212"/>
      <c r="F40" s="63"/>
      <c r="G40" s="63" t="s">
        <v>106</v>
      </c>
      <c r="H40" s="234" t="n">
        <f aca="false">(A40)/1.2</f>
        <v>7375</v>
      </c>
      <c r="I40" s="234" t="n">
        <f aca="false">H39-I39</f>
        <v>-13885.0541056371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47.86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6513.31646794138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510" t="n">
        <v>100</v>
      </c>
      <c r="D45" s="510"/>
      <c r="E45" s="212"/>
      <c r="F45" s="63"/>
      <c r="G45" s="63" t="s">
        <v>373</v>
      </c>
      <c r="H45" s="234" t="n">
        <f aca="false">(H39-H44)</f>
        <v>14086.6835320586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680.943333508501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728.803333508501</v>
      </c>
      <c r="I48" s="234" t="n">
        <f aca="false">I49-H42</f>
        <v>1352.14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728.803333508501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24324</v>
      </c>
      <c r="C61" s="211"/>
      <c r="D61" s="211"/>
      <c r="E61" s="212"/>
      <c r="F61" s="63"/>
      <c r="G61" s="210" t="s">
        <v>14</v>
      </c>
      <c r="H61" s="290" t="n">
        <f aca="false">G18</f>
        <v>24324</v>
      </c>
      <c r="I61" s="211"/>
      <c r="J61" s="211"/>
      <c r="K61" s="212"/>
      <c r="L61" s="63"/>
      <c r="M61" s="210" t="s">
        <v>14</v>
      </c>
      <c r="N61" s="290" t="n">
        <f aca="false">G18</f>
        <v>24324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2057.405</v>
      </c>
      <c r="C64" s="211" t="n">
        <v>10000</v>
      </c>
      <c r="D64" s="290" t="n">
        <f aca="false">B64-A143</f>
        <v>2057.405</v>
      </c>
      <c r="E64" s="466" t="n">
        <f aca="false">D64/(B58+B57)</f>
        <v>93.5184090909091</v>
      </c>
      <c r="F64" s="63"/>
      <c r="G64" s="284" t="s">
        <v>90</v>
      </c>
      <c r="H64" s="129" t="n">
        <f aca="false">H61*H63</f>
        <v>2057.405</v>
      </c>
      <c r="I64" s="211"/>
      <c r="J64" s="290" t="n">
        <f aca="false">H64-G145</f>
        <v>2057.405</v>
      </c>
      <c r="K64" s="212"/>
      <c r="L64" s="63"/>
      <c r="M64" s="284" t="s">
        <v>90</v>
      </c>
      <c r="N64" s="129" t="n">
        <f aca="false">N61*N63</f>
        <v>2057.405</v>
      </c>
      <c r="O64" s="211"/>
      <c r="P64" s="290" t="n">
        <f aca="false">N64-M145</f>
        <v>2057.405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0.0141666666666667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E15*B66</f>
        <v>349.265</v>
      </c>
      <c r="C67" s="211"/>
      <c r="D67" s="290"/>
      <c r="E67" s="212"/>
      <c r="F67" s="63"/>
      <c r="G67" s="284" t="s">
        <v>93</v>
      </c>
      <c r="H67" s="129" t="n">
        <f aca="false">(H61*H66)/1.2</f>
        <v>287.158333333333</v>
      </c>
      <c r="I67" s="211"/>
      <c r="J67" s="290"/>
      <c r="K67" s="212"/>
      <c r="L67" s="63"/>
      <c r="M67" s="284" t="s">
        <v>93</v>
      </c>
      <c r="N67" s="129" t="n">
        <f aca="false">(N61*N66)/1.2</f>
        <v>287.158333333333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110</v>
      </c>
      <c r="C73" s="211"/>
      <c r="D73" s="290" t="n">
        <f aca="false">B73+B71</f>
        <v>310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466" t="n">
        <f aca="false">D77/(B58+B57)</f>
        <v>20.2020202020202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466" t="n">
        <f aca="false">(D73+D76+D79+D80)/(B58+B57)</f>
        <v>32.2727272727273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3434.07166666667</v>
      </c>
      <c r="C81" s="211"/>
      <c r="D81" s="211"/>
      <c r="E81" s="466"/>
      <c r="F81" s="63"/>
      <c r="G81" s="302" t="s">
        <v>102</v>
      </c>
      <c r="H81" s="303" t="n">
        <f aca="false">SUM(J64:J80)</f>
        <v>2867.655</v>
      </c>
      <c r="I81" s="211"/>
      <c r="J81" s="211"/>
      <c r="K81" s="212"/>
      <c r="L81" s="63"/>
      <c r="M81" s="302" t="s">
        <v>102</v>
      </c>
      <c r="N81" s="303" t="n">
        <f aca="false">SUM(P64:P80)</f>
        <v>2716.405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156.094166666667</v>
      </c>
      <c r="C82" s="211"/>
      <c r="D82" s="211"/>
      <c r="E82" s="466"/>
      <c r="F82" s="63"/>
      <c r="G82" s="210" t="s">
        <v>103</v>
      </c>
      <c r="H82" s="299" t="n">
        <f aca="false">H81/H29</f>
        <v>130.347954545455</v>
      </c>
      <c r="I82" s="211"/>
      <c r="J82" s="211"/>
      <c r="K82" s="212"/>
      <c r="L82" s="63"/>
      <c r="M82" s="210" t="s">
        <v>103</v>
      </c>
      <c r="N82" s="299" t="n">
        <f aca="false">N81/H29</f>
        <v>123.472954545455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680.943333508501</v>
      </c>
      <c r="C83" s="211"/>
      <c r="D83" s="211"/>
      <c r="E83" s="466" t="n">
        <f aca="false">B83+E80+E77+E64</f>
        <v>826.936490074157</v>
      </c>
      <c r="F83" s="63"/>
      <c r="G83" s="304" t="s">
        <v>104</v>
      </c>
      <c r="H83" s="305" t="n">
        <f aca="false">H47</f>
        <v>680.943333508501</v>
      </c>
      <c r="I83" s="211"/>
      <c r="J83" s="211"/>
      <c r="K83" s="212"/>
      <c r="L83" s="63"/>
      <c r="M83" s="304" t="s">
        <v>104</v>
      </c>
      <c r="N83" s="305" t="n">
        <f aca="false">H47</f>
        <v>680.943333508501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22097.7900046244</v>
      </c>
      <c r="C85" s="211"/>
      <c r="D85" s="211"/>
      <c r="E85" s="466" t="n">
        <f aca="false">B85/(B58+B57)</f>
        <v>1004.4450002102</v>
      </c>
      <c r="F85" s="63"/>
      <c r="G85" s="287" t="s">
        <v>114</v>
      </c>
      <c r="H85" s="127" t="n">
        <f aca="false">((H83*H29)+H81)*1.2</f>
        <v>21418.0900046244</v>
      </c>
      <c r="I85" s="211"/>
      <c r="J85" s="211"/>
      <c r="K85" s="212"/>
      <c r="L85" s="63"/>
      <c r="M85" s="287" t="s">
        <v>114</v>
      </c>
      <c r="N85" s="127" t="n">
        <f aca="false">((N83*H29)+N81)</f>
        <v>17697.158337187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((((B83*H29)+B81))/(1-B70))*B70</f>
        <v>155.994887083876</v>
      </c>
      <c r="C86" s="211"/>
      <c r="D86" s="211"/>
      <c r="E86" s="466" t="n">
        <f aca="false">B86/(B58+B57)</f>
        <v>7.09067668563071</v>
      </c>
      <c r="F86" s="63"/>
      <c r="G86" s="210" t="s">
        <v>115</v>
      </c>
      <c r="H86" s="299" t="n">
        <f aca="false">((((H83*H29)+H81))/(1-H70))*H70</f>
        <v>151.196682162536</v>
      </c>
      <c r="I86" s="211"/>
      <c r="J86" s="211"/>
      <c r="K86" s="212"/>
      <c r="L86" s="63"/>
      <c r="M86" s="210" t="s">
        <v>115</v>
      </c>
      <c r="N86" s="299" t="n">
        <f aca="false">(N85/(1-N70))*N70</f>
        <v>149.915419556647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22253.7848917083</v>
      </c>
      <c r="C87" s="211"/>
      <c r="D87" s="211"/>
      <c r="E87" s="466" t="n">
        <f aca="false">E86+E85</f>
        <v>1011.53567689583</v>
      </c>
      <c r="F87" s="63"/>
      <c r="G87" s="284" t="s">
        <v>116</v>
      </c>
      <c r="H87" s="129" t="n">
        <f aca="false">IF(H110="YES",((H85+H86)-K114),(H85+H86))</f>
        <v>21569.286686787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17847.0737567437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(D40+(D40*B105))/(B57+B58))*1.2*(C45/100)</f>
        <v>74.6616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56.1557333333333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46.7964444444444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1011.53567689583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798.862469880998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661.002731731247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1086.19727689583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855.018203214332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707.799176175691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E118+E117-E114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798.862469880998</v>
      </c>
      <c r="H127" s="174" t="n">
        <f aca="false">IF(G105="YES", H89*H57, 0)</f>
        <v>336.9344</v>
      </c>
      <c r="I127" s="174"/>
      <c r="J127" s="333" t="n">
        <f aca="false">H91</f>
        <v>855.018203214332</v>
      </c>
      <c r="K127" s="212"/>
      <c r="L127" s="63"/>
      <c r="M127" s="332" t="n">
        <f aca="false">N90</f>
        <v>661.002731731247</v>
      </c>
      <c r="N127" s="174" t="n">
        <f aca="false">IF(M105="YES", N89*N57, 0)</f>
        <v>280.778666666667</v>
      </c>
      <c r="O127" s="174"/>
      <c r="P127" s="174" t="n">
        <f aca="false">N91</f>
        <v>707.799176175691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1011.53567689583</v>
      </c>
      <c r="B128" s="320" t="n">
        <f aca="false">IF(A105="YES", B89, 0)</f>
        <v>74.6616</v>
      </c>
      <c r="C128" s="324"/>
      <c r="D128" s="320" t="n">
        <f aca="false">B91</f>
        <v>1086.19727689583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9103.82109206248</v>
      </c>
      <c r="C131" s="316"/>
      <c r="D131" s="38" t="n">
        <f aca="false">IF(A105="YES", B89*B57, 0)</f>
        <v>671.9544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4793.17481928599</v>
      </c>
      <c r="H133" s="99" t="n">
        <f aca="false">IF(G105="YES", H89*H57, 0)</f>
        <v>336.9344</v>
      </c>
      <c r="I133" s="217"/>
      <c r="J133" s="181" t="n">
        <f aca="false">H91*H57</f>
        <v>5130.10921928599</v>
      </c>
      <c r="K133" s="212"/>
      <c r="L133" s="63"/>
      <c r="M133" s="182" t="n">
        <f aca="false">N90*N57</f>
        <v>3966.01639038748</v>
      </c>
      <c r="N133" s="99" t="n">
        <f aca="false">IF(M105="YES", N89*N57, 0)</f>
        <v>280.778666666667</v>
      </c>
      <c r="O133" s="217"/>
      <c r="P133" s="181" t="n">
        <f aca="false">N91*N57</f>
        <v>4246.79505705415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9775.77549206248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0.147924</v>
      </c>
      <c r="H136" s="99" t="n">
        <f aca="false">IF(G105="YES", E15*0.000002, 0)</f>
        <v>0.049308</v>
      </c>
      <c r="I136" s="99"/>
      <c r="J136" s="99" t="n">
        <f aca="false">G136+H136</f>
        <v>0.197232</v>
      </c>
      <c r="K136" s="101"/>
      <c r="L136" s="63"/>
      <c r="M136" s="107" t="n">
        <f aca="false">E15*0.000006</f>
        <v>0.147924</v>
      </c>
      <c r="N136" s="99" t="n">
        <f aca="false">IF(M105="YES", E15*0.000002, 0)</f>
        <v>0.049308</v>
      </c>
      <c r="O136" s="99"/>
      <c r="P136" s="99" t="n">
        <f aca="false">M136+N136</f>
        <v>0.197232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1011.53567689583</v>
      </c>
      <c r="B137" s="38" t="n">
        <f aca="false">IF(A105="YES", B89, 0)</f>
        <v>74.6616</v>
      </c>
      <c r="C137" s="316"/>
      <c r="D137" s="38" t="n">
        <f aca="false">B91</f>
        <v>1086.19727689583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287.158333333333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287.158333333333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17.51328</v>
      </c>
      <c r="B140" s="342" t="n">
        <f aca="false">IF(A105="YES", G18*0.000002, 0)*1.2*100</f>
        <v>5.83776</v>
      </c>
      <c r="C140" s="316"/>
      <c r="D140" s="342" t="n">
        <f aca="false">A140+B140</f>
        <v>23.35104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21.0584</v>
      </c>
      <c r="H142" s="99" t="n">
        <f aca="false">G102-100</f>
        <v>99.99</v>
      </c>
      <c r="I142" s="99"/>
      <c r="J142" s="99" t="n">
        <f aca="false">(H139+J139+G142+H142)-H145</f>
        <v>408.206733333333</v>
      </c>
      <c r="K142" s="101"/>
      <c r="L142" s="63"/>
      <c r="M142" s="107" t="n">
        <f aca="false">IF(M105="YES", ((B36*N105)*0.1)*(M130), 0)</f>
        <v>21.0584</v>
      </c>
      <c r="N142" s="99" t="n">
        <f aca="false">M102-100</f>
        <v>99.99</v>
      </c>
      <c r="O142" s="99"/>
      <c r="P142" s="99" t="n">
        <f aca="false">(N139+P139+M142+N142)-N145</f>
        <v>408.206733333333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349.265</v>
      </c>
      <c r="B148" s="38" t="n">
        <f aca="false">B102</f>
        <v>400</v>
      </c>
      <c r="C148" s="38"/>
      <c r="D148" s="38" t="n">
        <f aca="false">IF(A105="YES", (B40*B105)*B125, 0)*0.1</f>
        <v>31.5876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880.844266666667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855.018203214332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707.799176175691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1086.19727689583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1011.53567689583</v>
      </c>
      <c r="B177" s="354" t="n">
        <f aca="false">IF(A105="YES", B89, 0)</f>
        <v>74.6616</v>
      </c>
      <c r="C177" s="356"/>
      <c r="D177" s="354" t="n">
        <f aca="false">B91</f>
        <v>1086.19727689583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Terminal pause with 9 down</v>
      </c>
      <c r="B180" s="99" t="n">
        <f aca="false">B90*B57</f>
        <v>9103.82109206248</v>
      </c>
      <c r="C180" s="352"/>
      <c r="D180" s="99" t="n">
        <f aca="false">IF(A105="YES", B89*B57, 0)</f>
        <v>671.9544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9775.77549206248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1011.53567689583</v>
      </c>
      <c r="B186" s="99" t="n">
        <f aca="false">IF(A105="YES", B89, 0)</f>
        <v>74.6616</v>
      </c>
      <c r="C186" s="352"/>
      <c r="D186" s="99" t="n">
        <f aca="false">B91</f>
        <v>1086.19727689583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17.51328</v>
      </c>
      <c r="B189" s="364" t="n">
        <f aca="false">IF(A105="YES", G18*0.000002, 0)*1.2*100</f>
        <v>5.83776</v>
      </c>
      <c r="C189" s="352"/>
      <c r="D189" s="364" t="n">
        <f aca="false">A189+B189</f>
        <v>23.35104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349.265</v>
      </c>
      <c r="B197" s="99" t="n">
        <f aca="false">B102</f>
        <v>400</v>
      </c>
      <c r="C197" s="99"/>
      <c r="D197" s="99" t="n">
        <f aca="false">IF(A105="YES", (B40*B105)*B125, 0)*0.1</f>
        <v>31.5876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880.844266666667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2057.405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349.265</v>
      </c>
      <c r="C211" s="319" t="s">
        <v>214</v>
      </c>
      <c r="D211" s="369" t="n">
        <f aca="false">B225+E221+B221+B223</f>
        <v>655.867666666667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2364.00766666667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2057.405</v>
      </c>
      <c r="C217" s="374" t="s">
        <v>218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349.265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2364.00766666667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315.876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155.994887083876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</v>
      </c>
      <c r="D3" s="262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5250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1754.55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1473.70529771041</v>
      </c>
      <c r="E33" s="212"/>
      <c r="F33" s="63"/>
      <c r="G33" s="215" t="s">
        <v>352</v>
      </c>
      <c r="H33" s="460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1423.57529771041</v>
      </c>
      <c r="B36" s="99" t="n">
        <f aca="false">IF(B26="YES", H42, "")</f>
        <v>50.13</v>
      </c>
      <c r="C36" s="217"/>
      <c r="D36" s="181" t="n">
        <f aca="false">H31</f>
        <v>5250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48877.5</v>
      </c>
      <c r="I39" s="234" t="n">
        <f aca="false">(I48*H46)+H44</f>
        <v>46533.3604158311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5250</v>
      </c>
      <c r="B40" s="103" t="n">
        <f aca="false">IF(B26="YES",H42,"0")</f>
        <v>50.13</v>
      </c>
      <c r="C40" s="103"/>
      <c r="D40" s="181" t="n">
        <f aca="false">I32</f>
        <v>1754.55</v>
      </c>
      <c r="E40" s="212"/>
      <c r="F40" s="63"/>
      <c r="G40" s="63" t="s">
        <v>106</v>
      </c>
      <c r="H40" s="234" t="n">
        <f aca="false">A40/1.2</f>
        <v>4375</v>
      </c>
      <c r="I40" s="234" t="n">
        <f aca="false">H39-I39</f>
        <v>2344.13958416892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50.13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3601.79648789393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45275.7035121061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1423.57529771041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1473.70529771041</v>
      </c>
      <c r="I48" s="234" t="n">
        <f aca="false">I49-H42</f>
        <v>1349.87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1473.70529771041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5993.509375</v>
      </c>
      <c r="C64" s="465" t="n">
        <v>10000</v>
      </c>
      <c r="D64" s="290" t="n">
        <f aca="false">B64</f>
        <v>5993.509375</v>
      </c>
      <c r="E64" s="466" t="n">
        <f aca="false">D64/(B58+B57)</f>
        <v>171.243125</v>
      </c>
      <c r="F64" s="63"/>
      <c r="G64" s="284" t="s">
        <v>90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90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E15*B66</f>
        <v>1146.11458333333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93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22.1428571428571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6768.509375</v>
      </c>
      <c r="C81" s="473"/>
      <c r="D81" s="474"/>
      <c r="E81" s="466"/>
      <c r="F81" s="63"/>
      <c r="G81" s="302" t="s">
        <v>102</v>
      </c>
      <c r="H81" s="303" t="n">
        <f aca="false">SUM(J64:J80)</f>
        <v>7041.009375</v>
      </c>
      <c r="I81" s="211"/>
      <c r="J81" s="211"/>
      <c r="K81" s="212"/>
      <c r="L81" s="63"/>
      <c r="M81" s="302" t="s">
        <v>102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193.385982142857</v>
      </c>
      <c r="C82" s="473"/>
      <c r="D82" s="211"/>
      <c r="E82" s="466"/>
      <c r="F82" s="63"/>
      <c r="G82" s="210" t="s">
        <v>103</v>
      </c>
      <c r="H82" s="299" t="n">
        <f aca="false">H81/H29</f>
        <v>201.171696428571</v>
      </c>
      <c r="I82" s="211"/>
      <c r="J82" s="211"/>
      <c r="K82" s="212"/>
      <c r="L82" s="63"/>
      <c r="M82" s="210" t="s">
        <v>103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1423.57529771041</v>
      </c>
      <c r="C83" s="473"/>
      <c r="D83" s="211"/>
      <c r="E83" s="466" t="n">
        <f aca="false">B83+E80+E77+E64</f>
        <v>1616.96127985327</v>
      </c>
      <c r="F83" s="63"/>
      <c r="G83" s="304" t="s">
        <v>104</v>
      </c>
      <c r="H83" s="305" t="n">
        <f aca="false">H47</f>
        <v>1423.57529771041</v>
      </c>
      <c r="I83" s="211"/>
      <c r="J83" s="211"/>
      <c r="K83" s="212"/>
      <c r="L83" s="63"/>
      <c r="M83" s="304" t="s">
        <v>104</v>
      </c>
      <c r="N83" s="305" t="n">
        <f aca="false">H47</f>
        <v>1423.57529771041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56593.6447948643</v>
      </c>
      <c r="C85" s="473"/>
      <c r="D85" s="473"/>
      <c r="E85" s="466" t="n">
        <f aca="false">B85/(B58+B57)</f>
        <v>1616.96127985327</v>
      </c>
      <c r="F85" s="63"/>
      <c r="G85" s="287" t="s">
        <v>114</v>
      </c>
      <c r="H85" s="127" t="n">
        <f aca="false">((H83*H29)+H81)*1.2</f>
        <v>68239.3737538372</v>
      </c>
      <c r="I85" s="211"/>
      <c r="J85" s="211"/>
      <c r="K85" s="212"/>
      <c r="L85" s="63"/>
      <c r="M85" s="287" t="s">
        <v>114</v>
      </c>
      <c r="N85" s="127" t="n">
        <f aca="false">((N83*H29)+N81)</f>
        <v>56536.1447948644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479.413691283643</v>
      </c>
      <c r="C86" s="473" t="s">
        <v>227</v>
      </c>
      <c r="D86" s="211"/>
      <c r="E86" s="466" t="n">
        <f aca="false">B86/(B58+B57)</f>
        <v>13.6975340366755</v>
      </c>
      <c r="F86" s="63"/>
      <c r="G86" s="210" t="s">
        <v>115</v>
      </c>
      <c r="H86" s="299" t="n">
        <f aca="false">((((H83*H29)+H81))/(1-H70))*H70</f>
        <v>481.722081763675</v>
      </c>
      <c r="I86" s="211"/>
      <c r="J86" s="211"/>
      <c r="K86" s="212"/>
      <c r="L86" s="63"/>
      <c r="M86" s="210" t="s">
        <v>115</v>
      </c>
      <c r="N86" s="299" t="n">
        <f aca="false">(N85/(1-N70))*N70</f>
        <v>478.926599714462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57073.058486148</v>
      </c>
      <c r="C87" s="473"/>
      <c r="D87" s="475"/>
      <c r="E87" s="466" t="n">
        <f aca="false">E86+E85</f>
        <v>1630.65881388994</v>
      </c>
      <c r="F87" s="63"/>
      <c r="G87" s="284" t="s">
        <v>116</v>
      </c>
      <c r="H87" s="129" t="n">
        <f aca="false">IF(H110="YES",((H85+H86)-K114),(H85+H86))</f>
        <v>68721.0958356009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57015.0713945788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65.169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63.1638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52.6365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1630.65881388994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1718.02739589002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1425.37678486447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1695.82781388994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1781.19119589002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1478.01328486447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 t="s">
        <v>19</v>
      </c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1718.02739589002</v>
      </c>
      <c r="H127" s="174" t="n">
        <f aca="false">IF(G105="YES", H89*H57, 0)</f>
        <v>378.9828</v>
      </c>
      <c r="I127" s="174"/>
      <c r="J127" s="333" t="n">
        <f aca="false">H91</f>
        <v>1781.19119589002</v>
      </c>
      <c r="K127" s="212"/>
      <c r="L127" s="63"/>
      <c r="M127" s="332" t="n">
        <f aca="false">N90</f>
        <v>1425.37678486447</v>
      </c>
      <c r="N127" s="174" t="n">
        <f aca="false">IF(M105="YES", N89*N57, 0)</f>
        <v>315.819</v>
      </c>
      <c r="O127" s="174"/>
      <c r="P127" s="174" t="n">
        <f aca="false">N91</f>
        <v>1478.01328486447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1630.65881388994</v>
      </c>
      <c r="B128" s="320" t="n">
        <f aca="false">IF(A105="YES", B89, 0)</f>
        <v>65.169</v>
      </c>
      <c r="C128" s="324"/>
      <c r="D128" s="320" t="n">
        <f aca="false">B91</f>
        <v>1695.82781388994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1630.65881388994</v>
      </c>
      <c r="C131" s="316"/>
      <c r="D131" s="38" t="n">
        <f aca="false">IF(A105="YES", B89*B57, 0)</f>
        <v>65.169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10308.1643753401</v>
      </c>
      <c r="H133" s="99" t="n">
        <f aca="false">IF(G105="YES", H89*H57, 0)</f>
        <v>378.9828</v>
      </c>
      <c r="I133" s="217"/>
      <c r="J133" s="181" t="n">
        <f aca="false">H91*H57</f>
        <v>10687.1471753401</v>
      </c>
      <c r="K133" s="212"/>
      <c r="L133" s="63"/>
      <c r="M133" s="182" t="n">
        <f aca="false">N90*N57</f>
        <v>8552.26070918682</v>
      </c>
      <c r="N133" s="99" t="n">
        <f aca="false">IF(M105="YES", N89*N57, 0)</f>
        <v>315.819</v>
      </c>
      <c r="O133" s="217"/>
      <c r="P133" s="181" t="n">
        <f aca="false">N91*N57</f>
        <v>8868.07970918682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1695.82781388994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1630.65881388994</v>
      </c>
      <c r="B137" s="38" t="n">
        <f aca="false">IF(A105="YES", B89, 0)</f>
        <v>65.169</v>
      </c>
      <c r="C137" s="316"/>
      <c r="D137" s="38" t="n">
        <f aca="false">B91</f>
        <v>1695.82781388994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35.091</v>
      </c>
      <c r="H142" s="99" t="n">
        <f aca="false">G102-100</f>
        <v>99.99</v>
      </c>
      <c r="I142" s="99"/>
      <c r="J142" s="99" t="n">
        <f aca="false">(H139+J139+G142+H142)-H145</f>
        <v>1079.73204166667</v>
      </c>
      <c r="K142" s="101"/>
      <c r="L142" s="63"/>
      <c r="M142" s="107" t="n">
        <f aca="false">IF(M105="YES", ((B36*N105)*0.1)*(M130), 0)</f>
        <v>35.091</v>
      </c>
      <c r="N142" s="99" t="n">
        <f aca="false">M102-100</f>
        <v>99.99</v>
      </c>
      <c r="O142" s="99"/>
      <c r="P142" s="99" t="n">
        <f aca="false">(N139+P139+M142+N142)-N145</f>
        <v>1079.73204166667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1146.11458333333</v>
      </c>
      <c r="B148" s="99" t="n">
        <f aca="false">B102</f>
        <v>0</v>
      </c>
      <c r="C148" s="38"/>
      <c r="D148" s="38" t="n">
        <f aca="false">IF(A105="YES", (B40*B105)*B125, 0)*0.1</f>
        <v>52.6365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1298.74108333333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1781.19119589002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1478.01328486447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1695.82781388994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1630.65881388994</v>
      </c>
      <c r="B177" s="354" t="n">
        <f aca="false">IF(A105="YES", B89, 0)</f>
        <v>65.169</v>
      </c>
      <c r="C177" s="356"/>
      <c r="D177" s="354" t="n">
        <f aca="false">B91</f>
        <v>1695.82781388994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1630.65881388994</v>
      </c>
      <c r="C180" s="352"/>
      <c r="D180" s="99" t="n">
        <f aca="false">IF(A105="YES", B89*B57, 0)</f>
        <v>65.169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1695.82781388994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1630.65881388994</v>
      </c>
      <c r="B186" s="99" t="n">
        <f aca="false">IF(A105="YES", B89, 0)</f>
        <v>65.169</v>
      </c>
      <c r="C186" s="352"/>
      <c r="D186" s="99" t="n">
        <f aca="false">B91</f>
        <v>1695.82781388994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1146.11458333333</v>
      </c>
      <c r="B197" s="99" t="n">
        <f aca="false">B102</f>
        <v>0</v>
      </c>
      <c r="C197" s="99"/>
      <c r="D197" s="99" t="n">
        <f aca="false">IF(A105="YES", (B40*B105)*B125, 0)*0.1</f>
        <v>52.6365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1298.74108333333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1146.11458333333</v>
      </c>
      <c r="C211" s="319" t="s">
        <v>214</v>
      </c>
      <c r="D211" s="369" t="n">
        <f aca="false">B225+E221+B221+B223</f>
        <v>626.355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5473.74979166667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5993.509375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1146.11458333333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5473.74979166667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526.365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479.413691283643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255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383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81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4711.95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392.6625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10723.95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 t="s">
        <v>284</v>
      </c>
      <c r="B105" s="311" t="s">
        <v>265</v>
      </c>
      <c r="C105" s="311"/>
      <c r="D105" s="420" t="n">
        <v>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181</v>
      </c>
      <c r="B130" s="169" t="n">
        <v>1200</v>
      </c>
      <c r="C130" s="169"/>
      <c r="D130" s="211"/>
      <c r="E130" s="212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82</v>
      </c>
      <c r="B132" s="211" t="s">
        <v>83</v>
      </c>
      <c r="C132" s="211"/>
      <c r="D132" s="211" t="s">
        <v>85</v>
      </c>
      <c r="E132" s="212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250</v>
      </c>
      <c r="C135" s="327"/>
      <c r="D135" s="327" t="s">
        <v>119</v>
      </c>
      <c r="E135" s="212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239</v>
      </c>
      <c r="C138" s="211"/>
      <c r="D138" s="211" t="s">
        <v>243</v>
      </c>
      <c r="E138" s="212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252</v>
      </c>
      <c r="B141" s="211" t="s">
        <v>253</v>
      </c>
      <c r="C141" s="211"/>
      <c r="D141" s="211" t="s">
        <v>257</v>
      </c>
      <c r="E141" s="212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139</v>
      </c>
      <c r="B144" s="211" t="s">
        <v>310</v>
      </c>
      <c r="C144" s="211"/>
      <c r="D144" s="211" t="s">
        <v>311</v>
      </c>
      <c r="E144" s="212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313</v>
      </c>
      <c r="B147" s="211" t="s">
        <v>314</v>
      </c>
      <c r="C147" s="211"/>
      <c r="D147" s="211" t="s">
        <v>315</v>
      </c>
      <c r="E147" s="212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317</v>
      </c>
      <c r="B150" s="211" t="s">
        <v>318</v>
      </c>
      <c r="C150" s="211"/>
      <c r="D150" s="211"/>
      <c r="E150" s="212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323</v>
      </c>
      <c r="B154" s="211"/>
      <c r="C154" s="211"/>
      <c r="D154" s="281"/>
      <c r="E154" s="282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82</v>
      </c>
      <c r="B156" s="247" t="s">
        <v>83</v>
      </c>
      <c r="C156" s="247"/>
      <c r="D156" s="211"/>
      <c r="E156" s="212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11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255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20928</v>
      </c>
      <c r="C61" s="211"/>
      <c r="D61" s="211"/>
      <c r="E61" s="212"/>
      <c r="F61" s="63"/>
      <c r="G61" s="210" t="s">
        <v>14</v>
      </c>
      <c r="H61" s="290" t="n">
        <f aca="false">G18</f>
        <v>20928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1464.96</v>
      </c>
      <c r="C64" s="211" t="n">
        <v>10000</v>
      </c>
      <c r="D64" s="290" t="n">
        <f aca="false">B64</f>
        <v>1464.96</v>
      </c>
      <c r="E64" s="212"/>
      <c r="F64" s="63"/>
      <c r="G64" s="284" t="s">
        <v>90</v>
      </c>
      <c r="H64" s="129" t="n">
        <f aca="false">H61*H63</f>
        <v>1464.96</v>
      </c>
      <c r="I64" s="211"/>
      <c r="J64" s="290" t="n">
        <f aca="false">H64</f>
        <v>1464.96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209.28</v>
      </c>
      <c r="C67" s="211"/>
      <c r="D67" s="290"/>
      <c r="E67" s="212"/>
      <c r="F67" s="63"/>
      <c r="G67" s="284" t="s">
        <v>93</v>
      </c>
      <c r="H67" s="129" t="n">
        <f aca="false">H61*H66</f>
        <v>104.64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2791.62666666667</v>
      </c>
      <c r="C81" s="211"/>
      <c r="D81" s="211"/>
      <c r="E81" s="212"/>
      <c r="F81" s="63"/>
      <c r="G81" s="302" t="s">
        <v>102</v>
      </c>
      <c r="H81" s="303" t="n">
        <f aca="false">SUM(J64:J80)</f>
        <v>3091.46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232.635555555556</v>
      </c>
      <c r="C82" s="211"/>
      <c r="D82" s="211"/>
      <c r="E82" s="212"/>
      <c r="F82" s="63"/>
      <c r="G82" s="210" t="s">
        <v>103</v>
      </c>
      <c r="H82" s="299" t="n">
        <f aca="false">H81/H29</f>
        <v>257.621666666667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10564.352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10924.152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74.5769100443727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77.1168455022186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10638.9289100444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10901.2788455022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886.577409170364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908.439903791851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886.577409170364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908.439903791851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886.577409170364</v>
      </c>
      <c r="B128" s="320" t="n">
        <f aca="false">IF(A105="YES", B89, 0)</f>
        <v>0</v>
      </c>
      <c r="C128" s="325"/>
      <c r="D128" s="320" t="n">
        <f aca="false">B91</f>
        <v>886.577409170364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908.439903791851</v>
      </c>
      <c r="H130" s="174" t="n">
        <f aca="false">IF(G105="YES", H89*H57, 0)</f>
        <v>0</v>
      </c>
      <c r="I130" s="174"/>
      <c r="J130" s="333" t="n">
        <f aca="false">H91</f>
        <v>908.439903791851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886.577409170364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908.439903791851</v>
      </c>
      <c r="H133" s="99" t="n">
        <f aca="false">IF(G105="YES", H89*H57, 0)</f>
        <v>0</v>
      </c>
      <c r="I133" s="217"/>
      <c r="J133" s="181" t="n">
        <f aca="false">H91*H57</f>
        <v>908.439903791851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886.577409170364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0.127548</v>
      </c>
      <c r="H136" s="99" t="n">
        <f aca="false">IF(G105="YES", E15*0.000002, 0)</f>
        <v>0.042516</v>
      </c>
      <c r="I136" s="99"/>
      <c r="J136" s="99" t="n">
        <f aca="false">G136+H136</f>
        <v>0.170064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886.577409170364</v>
      </c>
      <c r="B137" s="38" t="n">
        <f aca="false">IF(A105="YES", B89, 0)</f>
        <v>0</v>
      </c>
      <c r="C137" s="316"/>
      <c r="D137" s="38" t="n">
        <f aca="false">B91</f>
        <v>886.577409170364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104.64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G18*0.000002 *1.2*100</f>
        <v>5.02272</v>
      </c>
      <c r="C140" s="316"/>
      <c r="D140" s="342" t="n">
        <f aca="false">A140+B140</f>
        <v>20.09088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1324.628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908.439903791851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886.577409170364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886.577409170364</v>
      </c>
      <c r="B171" s="354" t="n">
        <f aca="false">IF(A105="YES", B89, 0)</f>
        <v>0</v>
      </c>
      <c r="C171" s="357"/>
      <c r="D171" s="354" t="n">
        <f aca="false">B91</f>
        <v>886.577409170364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Monthly in advance</v>
      </c>
      <c r="B174" s="99" t="n">
        <f aca="false">B90*B57</f>
        <v>886.577409170364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886.577409170364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886.577409170364</v>
      </c>
      <c r="B180" s="99" t="n">
        <f aca="false">IF(A105="YES", B89, 0)</f>
        <v>0</v>
      </c>
      <c r="C180" s="352"/>
      <c r="D180" s="99" t="n">
        <f aca="false">B91</f>
        <v>886.577409170364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15.06816</v>
      </c>
      <c r="B183" s="364" t="n">
        <f aca="false">G18*0.000002 *1.2*100</f>
        <v>5.02272</v>
      </c>
      <c r="C183" s="352"/>
      <c r="D183" s="364" t="n">
        <f aca="false">A183+B183</f>
        <v>20.09088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209.28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709.27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1464.96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209.28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1595.67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1464.96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209.28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1876.1668</v>
      </c>
      <c r="C6" s="290" t="n">
        <f aca="false">(C3*C4/100)+C5</f>
        <v>0</v>
      </c>
      <c r="D6" s="290" t="n">
        <f aca="false">(D3*D4/100)+D5</f>
        <v>36.3332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44978.0032</v>
      </c>
      <c r="C7" s="290" t="n">
        <f aca="false">C3-C6</f>
        <v>0</v>
      </c>
      <c r="D7" s="290" t="n">
        <f aca="false">D3-D6</f>
        <v>796.9968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45775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45785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9157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55582</v>
      </c>
      <c r="F15" s="63"/>
      <c r="G15" s="273" t="n">
        <f aca="false">E15</f>
        <v>55582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57237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55578.4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57237</v>
      </c>
      <c r="C61" s="211"/>
      <c r="D61" s="211"/>
      <c r="E61" s="212"/>
      <c r="F61" s="63"/>
      <c r="G61" s="210" t="s">
        <v>14</v>
      </c>
      <c r="H61" s="290" t="n">
        <f aca="false">G18</f>
        <v>57237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4006.59</v>
      </c>
      <c r="C64" s="211" t="n">
        <v>10000</v>
      </c>
      <c r="D64" s="290" t="n">
        <f aca="false">B64</f>
        <v>4006.59</v>
      </c>
      <c r="E64" s="212"/>
      <c r="F64" s="63"/>
      <c r="G64" s="284" t="s">
        <v>90</v>
      </c>
      <c r="H64" s="129" t="n">
        <f aca="false">H61*H63</f>
        <v>4006.59</v>
      </c>
      <c r="I64" s="211"/>
      <c r="J64" s="290" t="n">
        <f aca="false">H64</f>
        <v>4006.59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572.37</v>
      </c>
      <c r="C67" s="211"/>
      <c r="D67" s="290"/>
      <c r="E67" s="212"/>
      <c r="F67" s="63"/>
      <c r="G67" s="284" t="s">
        <v>93</v>
      </c>
      <c r="H67" s="129" t="n">
        <f aca="false">H61*H66</f>
        <v>286.185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5333.25666666667</v>
      </c>
      <c r="C81" s="211"/>
      <c r="D81" s="211"/>
      <c r="E81" s="212"/>
      <c r="F81" s="63"/>
      <c r="G81" s="302" t="s">
        <v>102</v>
      </c>
      <c r="H81" s="303" t="n">
        <f aca="false">SUM(J64:J80)</f>
        <v>5660.17333333333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444.438055555556</v>
      </c>
      <c r="C82" s="211"/>
      <c r="D82" s="211"/>
      <c r="E82" s="212"/>
      <c r="F82" s="63"/>
      <c r="G82" s="210" t="s">
        <v>103</v>
      </c>
      <c r="H82" s="299" t="n">
        <f aca="false">H81/H29</f>
        <v>471.681111111111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11345.2566666667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14006.608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96.1074586526826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98.8768212989109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11441.3641253194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14005.4948212989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953.447010443279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1167.12456844158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1013.44701044328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1239.12456844158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953.447010443279</v>
      </c>
      <c r="B128" s="320" t="n">
        <f aca="false">IF(A105="YES", B89, 0)</f>
        <v>60</v>
      </c>
      <c r="C128" s="325"/>
      <c r="D128" s="320" t="n">
        <f aca="false">B91</f>
        <v>1013.44701044328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1167.12456844158</v>
      </c>
      <c r="H130" s="174" t="n">
        <f aca="false">IF(G105="YES", H89*H57, 0)</f>
        <v>72</v>
      </c>
      <c r="I130" s="174"/>
      <c r="J130" s="333" t="n">
        <f aca="false">H91</f>
        <v>1239.12456844158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8581.02309398951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1167.12456844158</v>
      </c>
      <c r="H133" s="99" t="n">
        <f aca="false">IF(G105="YES", H89*H57, 0)</f>
        <v>72</v>
      </c>
      <c r="I133" s="217"/>
      <c r="J133" s="181" t="n">
        <f aca="false">H91*H57</f>
        <v>1239.12456844158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9121.02309398951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0.333492</v>
      </c>
      <c r="H136" s="99" t="n">
        <f aca="false">IF(G105="YES", E15*0.000002, 0)</f>
        <v>0.111164</v>
      </c>
      <c r="I136" s="99"/>
      <c r="J136" s="99" t="n">
        <f aca="false">G136+H136</f>
        <v>0.444656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953.447010443279</v>
      </c>
      <c r="B137" s="38" t="n">
        <f aca="false">IF(A105="YES", B89, 0)</f>
        <v>60</v>
      </c>
      <c r="C137" s="316"/>
      <c r="D137" s="38" t="n">
        <f aca="false">B91</f>
        <v>1013.44701044328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286.185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41.21064</v>
      </c>
      <c r="B140" s="342" t="n">
        <f aca="false">G18*0.000002 *1.2*100</f>
        <v>13.73688</v>
      </c>
      <c r="C140" s="316"/>
      <c r="D140" s="342" t="n">
        <f aca="false">A140+B140</f>
        <v>54.94752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1513.373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572.37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1084.36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1239.12456844158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1013.44701044328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953.447010443279</v>
      </c>
      <c r="B171" s="354" t="n">
        <f aca="false">IF(A105="YES", B89, 0)</f>
        <v>60</v>
      </c>
      <c r="C171" s="357"/>
      <c r="D171" s="354" t="n">
        <f aca="false">B91</f>
        <v>1013.44701044328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8581.02309398951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9121.02309398951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953.447010443279</v>
      </c>
      <c r="B180" s="99" t="n">
        <f aca="false">IF(A105="YES", B89, 0)</f>
        <v>60</v>
      </c>
      <c r="C180" s="352"/>
      <c r="D180" s="99" t="n">
        <f aca="false">B91</f>
        <v>1013.44701044328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41.21064</v>
      </c>
      <c r="B183" s="364" t="n">
        <f aca="false">G18*0.000002 *1.2*100</f>
        <v>13.73688</v>
      </c>
      <c r="C183" s="352"/>
      <c r="D183" s="364" t="n">
        <f aca="false">A183+B183</f>
        <v>54.94752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572.37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1084.36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4006.59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572.37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3894.21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4006.59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572.37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3894.21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96.1074586526826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4740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2020-12-02T11:02:33Z</dcterms:created>
  <dc:creator>Kushal Panchal</dc:creator>
  <dc:description/>
  <dc:language>en-US</dc:language>
  <cp:lastModifiedBy/>
  <dcterms:modified xsi:type="dcterms:W3CDTF">2023-07-11T19:20:28Z</dcterms:modified>
  <cp:revision>835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