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CP (Formula 3) - PCH" sheetId="1" state="visible" r:id="rId2"/>
    <sheet name="CP (Formula 3) - BCH" sheetId="2" state="visible" r:id="rId3"/>
    <sheet name="Formula1-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BCH" sheetId="10" state="visible" r:id="rId11"/>
    <sheet name="HPNR (Formula 3) - HPNR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HirePurchaseNonRegulated" sheetId="15" state="visible" r:id="rId16"/>
    <sheet name="HirePurchaseRegulated" sheetId="16" state="visible" r:id="rId17"/>
    <sheet name="PersonalContractPurchase" sheetId="17" state="visible" r:id="rId18"/>
    <sheet name="ContractPurchase" sheetId="18" state="visible" r:id="rId19"/>
    <sheet name="Formula1-FL" sheetId="19" state="visible" r:id="rId20"/>
    <sheet name="Formula1-PCH" sheetId="20" state="visible" r:id="rId21"/>
    <sheet name="FL (Formula 3) - BCH, PCH, FL" sheetId="21" state="visible" r:id="rId22"/>
    <sheet name="BCH (Formula 3) - PCH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<sst xmlns="http://schemas.openxmlformats.org/spreadsheetml/2006/main" count="10725" uniqueCount="371">
  <si>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</si>
  <si>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</si>
  <si>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</si>
  <si>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</si>
  <si>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</si>
  <si>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</si>
  <si>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</si>
  <si>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</si>
  <si>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</si>
  <si>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</si>
  <si>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</si>
  <si>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</si>
  <si>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</si>
  <si>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</si>
  <si>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</si>
  <si>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</si>
  <si>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</si>
  <si>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</si>
  <si>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</si>
  <si>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</si>
  <si>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</si>
  <si>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</si>
  <si>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</si>
  <si>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</si>
  <si>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</si>
  <si>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</si>
  <si>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</si>
  <si>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</si>
  <si>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</si>
  <si>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</si>
  <si>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</si>
  <si>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</si>
  <si>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</si>
  <si>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</si>
  <si>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</si>
  <si>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</si>
  <si>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</si>
  <si>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</si>
  <si>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</si>
  <si>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</si>
  <si>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</si>
  <si>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</si>
  <si>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</si>
  <si>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</si>
  <si>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</si>
  <si>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</si>
  <si>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</si>
  <si>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</si>
  <si>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</si>
  <si>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</si>
  <si>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</si>
  <si>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</si>
  <si>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</si>
  <si>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</si>
  <si>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</si>
  <si>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</si>
  <si>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</si>
  <si>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</si>
  <si>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</si>
  <si>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</si>
  <si>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</si>
  <si>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</si>
  <si>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</si>
  <si>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</si>
  <si>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</si>
  <si>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</si>
  <si>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</si>
  <si>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</si>
  <si>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</si>
  <si>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</si>
  <si>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</si>
  <si>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</si>
  <si>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</si>
  <si>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</si>
  <si>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</si>
  <si>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</si>
  <si>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</si>
  <si>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</si>
  <si>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</si>
  <si>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</si>
  <si>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</si>
  <si>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</si>
  <si>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</si>
  <si>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</si>
  <si>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</si>
  <si>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</si>
  <si>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</si>
  <si>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</si>
  <si>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</si>
  <si>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</si>
  <si>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</si>
  <si>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</si>
  <si>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</si>
  <si>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</si>
  <si>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</si>
  <si>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</si>
  <si>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</si>
  <si>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</si>
  <si>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</si>
  <si>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</si>
  <si>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</si>
  <si>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</si>
  <si>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</si>
  <si>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</si>
  <si>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</si>
  <si>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</si>
  <si>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</si>
  <si>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</si>
  <si>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</si>
  <si>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</si>
  <si>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</si>
  <si>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</si>
  <si>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</si>
  <si>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</si>
  <si>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</si>
  <si>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</si>
  <si>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</si>
  <si>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</si>
  <si>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</si>
  <si>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</si>
  <si>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</si>
  <si>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</si>
  <si>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</si>
  <si>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</si>
  <si>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</si>
  <si>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</si>
  <si>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</si>
  <si>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</si>
  <si>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</si>
  <si>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</si>
  <si>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</si>
  <si>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</si>
  <si>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</si>
  <si>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</si>
  <si>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</si>
  <si>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</si>
  <si>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</si>
  <si>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</si>
  <si>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</si>
  <si>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</si>
  <si>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</si>
  <si>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</si>
  <si>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</si>
  <si>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</si>
  <si>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</si>
  <si>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</si>
  <si>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</si>
  <si>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</si>
  <si>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</si>
  <si>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</si>
  <si>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</si>
  <si>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</si>
  <si>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</si>
  <si>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</si>
  <si>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</si>
  <si>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</si>
  <si>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</si>
  <si>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</si>
  <si>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</si>
  <si>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</si>
  <si>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</si>
  <si>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</si>
  <si>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</si>
  <si>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</si>
  <si>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</si>
  <si>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</si>
  <si>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</si>
  <si>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</si>
  <si>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</si>
  <si>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</si>
  <si>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</si>
  <si>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</si>
  <si>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</si>
  <si>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</si>
  <si>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</si>
  <si>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</si>
  <si>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</si>
  <si>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</si>
  <si>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</si>
  <si>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</si>
  <si>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</si>
  <si>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</si>
  <si>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</si>
  <si>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</si>
  <si>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</si>
  <si>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</si>
  <si>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</si>
  <si>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</si>
  <si>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</si>
  <si>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</si>
  <si>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</si>
  <si>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</si>
  <si>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</si>
  <si>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</si>
  <si>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</si>
  <si>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</si>
  <si>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</si>
  <si>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</si>
  <si>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</si>
  <si>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</si>
  <si>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</si>
  <si>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</si>
  <si>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</si>
  <si>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</si>
  <si>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</si>
  <si>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</si>
  <si>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</si>
  <si>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</si>
  <si>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</si>
  <si>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</si>
  <si>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</si>
  <si>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</si>
  <si>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</si>
  <si>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</si>
  <si>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</si>
  <si>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</si>
  <si>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50</t>
  </si>
  <si>
    <t xml:space="preserve">Holding cost - formula - 1</t>
  </si>
  <si>
    <t xml:space="preserve">       Summary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</si>
  <si>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</si>
  <si>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</si>
  <si>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</si>
  <si>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</si>
  <si>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</si>
  <si>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</si>
  <si>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</si>
  <si>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</si>
  <si>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</si>
  <si>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</si>
  <si>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</si>
  <si>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</si>
  <si>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</si>
  <si>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</si>
  <si>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</si>
  <si>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</si>
  <si>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</si>
  <si>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</si>
  <si>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</si>
  <si>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</si>
  <si>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</si>
  <si>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</si>
  <si>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</si>
  <si>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</si>
  <si>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</si>
  <si>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</si>
  <si>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</si>
  <si>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</si>
  <si>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</si>
  <si>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</si>
  <si>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</si>
  <si>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</si>
  <si>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</si>
  <si>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</si>
  <si>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</si>
  <si>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</si>
  <si>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</si>
  <si>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</si>
  <si>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</si>
  <si>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</si>
  <si>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</si>
  <si>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</si>
  <si>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</si>
  <si>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</si>
  <si>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</si>
  <si>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</si>
  <si>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</si>
  <si>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</si>
  <si>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</si>
  <si>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</si>
  <si>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</si>
  <si>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</si>
  <si>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</si>
  <si>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</si>
  <si>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</si>
  <si>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</si>
  <si>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</si>
  <si>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</si>
  <si>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</si>
  <si>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</si>
  <si>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</si>
  <si>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</si>
  <si>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</si>
  <si>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</si>
  <si>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</si>
  <si>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</si>
  <si>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</si>
  <si>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</si>
  <si>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</si>
  <si>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</si>
  <si>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</si>
  <si>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</si>
  <si>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</si>
  <si>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</si>
  <si>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</si>
  <si>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</si>
  <si>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</si>
  <si>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</si>
  <si>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</si>
  <si>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</si>
  <si>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</si>
  <si>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</si>
  <si>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</si>
  <si>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</si>
  <si>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</si>
  <si>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</si>
  <si>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</si>
  <si>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</si>
  <si>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</si>
  <si>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</si>
  <si>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</si>
  <si>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</si>
  <si>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</si>
  <si>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</si>
  <si>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</si>
  <si>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</si>
  <si>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</si>
  <si>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</si>
  <si>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</si>
  <si>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</si>
  <si>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</si>
  <si>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TOTAL CASH PURCHASE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</si>
  <si>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</si>
  <si>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</si>
  <si>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</si>
  <si>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</si>
  <si>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</si>
  <si>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</si>
  <si>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</si>
  <si>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</si>
  <si>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</si>
  <si>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</si>
  <si>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</si>
  <si>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</si>
  <si>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</si>
  <si>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</si>
  <si>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</si>
  <si>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</si>
  <si>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199.99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</si>
  <si>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</si>
  <si>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</si>
  <si>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</si>
  <si>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</si>
  <si>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</si>
  <si>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</si>
  <si>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</si>
  <si>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</si>
  <si>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</si>
  <si>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</si>
  <si>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</si>
  <si>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</si>
  <si>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</si>
  <si>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</si>
  <si>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</si>
  <si>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</si>
  <si>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</si>
  <si>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</si>
  <si>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</si>
  <si>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</si>
  <si>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</si>
  <si>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</si>
  <si>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RFL included?</t>
  </si>
  <si>
    <t xml:space="preserve">Upload document</t>
  </si>
  <si>
    <t xml:space="preserve">`</t>
  </si>
  <si>
    <t>NO</t>
  </si>
  <si>
    <t>Limited Credit</t>
  </si>
  <si>
    <t>YES</t>
  </si>
  <si>
    <t>199.99</t>
  </si>
  <si>
    <t>0</t>
  </si>
  <si>
    <t>100</t>
  </si>
  <si>
    <t>A1 Credit</t>
  </si>
  <si>
    <t>239.99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</si>
</sst>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8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44959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71</v>
      </c>
      <c r="C44" s="45"/>
      <c r="D44" s="45" t="n">
        <v>0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-217.958333333333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((B89*H29)+B87)*1.2</f>
        <v>2567.74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-117.844463157187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122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136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0</v>
      </c>
      <c r="C134" s="125"/>
      <c r="D134" s="120" t="n">
        <f aca="false">B97</f>
        <v>-117.844463157187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-1060.60016841468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-1060.60016841468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0</v>
      </c>
      <c r="C143" s="13"/>
      <c r="D143" s="136" t="n">
        <f aca="false">B97</f>
        <v>-117.844463157187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139.99</v>
      </c>
      <c r="B157" s="136" t="n">
        <f aca="false">(A154+B154+D154+A157)*(A149/B70)</f>
        <v>0</v>
      </c>
      <c r="C157" s="136"/>
      <c r="D157" s="136" t="n">
        <f aca="false">(A154+B154+D154+A157)-B157</f>
        <v>718.84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-117.844463157187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0</v>
      </c>
      <c r="C177" s="162"/>
      <c r="D177" s="160" t="n">
        <f aca="false">A177+B177</f>
        <v>-117.844463157187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-1060.60016841468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-1060.60016841468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0</v>
      </c>
      <c r="C186" s="31"/>
      <c r="D186" s="164" t="n">
        <f aca="false">B97</f>
        <v>-117.844463157187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718.84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694.62</v>
      </c>
      <c r="C211" s="119" t="s">
        <v>198</v>
      </c>
      <c r="D211" s="173" t="n">
        <f aca="false">B225+E221+B221+B223</f>
        <v>99.9916666666667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3457.32166666667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B73*1.2</f>
        <v>694.62</v>
      </c>
      <c r="C219" s="137" t="s">
        <v>201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3457.32166666667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571.541224059881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83" activeCellId="0" sqref="B83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17.0909090909091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1766.51515105796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54" t="n">
        <f aca="false">B95</f>
        <v>1749.42424196705</v>
      </c>
      <c r="B167" s="286" t="n">
        <f aca="false">B94</f>
        <v>17.0909090909091</v>
      </c>
      <c r="C167" s="439"/>
      <c r="D167" s="439"/>
      <c r="E167" s="286" t="n">
        <f aca="false">B96</f>
        <v>1766.51515105796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119.843758333333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219.833758333333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1766.51515105796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0</v>
      </c>
      <c r="C209" s="439"/>
      <c r="D209" s="439"/>
      <c r="E209" s="439" t="n">
        <f aca="false">B196</f>
        <v>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1749.42424196705</v>
      </c>
      <c r="B212" s="286" t="n">
        <f aca="false">B167</f>
        <v>17.0909090909091</v>
      </c>
      <c r="C212" s="439"/>
      <c r="D212" s="439"/>
      <c r="E212" s="286" t="n">
        <f aca="false">E167</f>
        <v>1766.51515105796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1749.42424196705</v>
      </c>
      <c r="B230" s="164" t="n">
        <f aca="false">B167</f>
        <v>17.0909090909091</v>
      </c>
      <c r="C230" s="441"/>
      <c r="D230" s="441"/>
      <c r="E230" s="164" t="n">
        <f aca="false">E167</f>
        <v>1766.51515105796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-589.52749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A157" activeCellId="0" sqref="A15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60</v>
      </c>
      <c r="E32" s="407"/>
      <c r="F32" s="171"/>
      <c r="G32" s="408" t="s">
        <v>319</v>
      </c>
      <c r="H32" s="406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346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347</v>
      </c>
      <c r="E44" s="45"/>
      <c r="F44" s="171"/>
      <c r="G44" s="171" t="s">
        <v>332</v>
      </c>
      <c r="H44" s="22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561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s">
        <v>348</v>
      </c>
      <c r="C47" s="455"/>
      <c r="D47" s="45" t="s">
        <v>348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75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645.899522656985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349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30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78</v>
      </c>
      <c r="C134" s="191"/>
      <c r="D134" s="120" t="n">
        <f aca="false">B97</f>
        <v>645.899522656985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78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645.899522656985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78</v>
      </c>
      <c r="C143" s="13"/>
      <c r="D143" s="136" t="n">
        <f aca="false">B97</f>
        <v>645.899522656985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645.899522656985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78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78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645.899522656985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78</v>
      </c>
      <c r="C186" s="31"/>
      <c r="D186" s="164" t="n">
        <f aca="false">B97</f>
        <v>645.899522656985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3" colorId="64" zoomScale="75" zoomScaleNormal="75" zoomScalePageLayoutView="100" workbookViewId="0">
      <selection pane="topLeft" activeCell="A200" activeCellId="0" sqref="A200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348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s">
        <v>348</v>
      </c>
      <c r="C47" s="455"/>
      <c r="D47" s="45" t="s">
        <v>348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76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828.995946282103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78</v>
      </c>
      <c r="C134" s="191"/>
      <c r="D134" s="120" t="n">
        <f aca="false">B97</f>
        <v>828.995946282103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702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7460.96351653893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78</v>
      </c>
      <c r="C143" s="13"/>
      <c r="D143" s="136" t="n">
        <f aca="false">B97</f>
        <v>828.995946282103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4.32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683.161666666667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828.995946282103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78</v>
      </c>
      <c r="C177" s="192"/>
      <c r="D177" s="160" t="n">
        <f aca="false">B97</f>
        <v>828.995946282103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7460.96351653893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78</v>
      </c>
      <c r="C186" s="31"/>
      <c r="D186" s="164" t="n">
        <f aca="false">B97</f>
        <v>828.995946282103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683.161666666667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348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s">
        <v>348</v>
      </c>
      <c r="C47" s="455"/>
      <c r="D47" s="45" t="s">
        <v>348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65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636.541224059881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54" colorId="64" zoomScale="75" zoomScaleNormal="75" zoomScalePageLayoutView="100" workbookViewId="0">
      <selection pane="topLeft" activeCell="B68" activeCellId="0" sqref="B68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K9" s="288" t="s">
        <v>27</v>
      </c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K10" s="288" t="s">
        <v>28</v>
      </c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  <c r="L13" s="0"/>
      <c r="M13" s="0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/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IF(B26="YES",K42,"0")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(K32/K36)*C45/100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7" t="s">
        <v>236</v>
      </c>
      <c r="B45" s="402"/>
      <c r="C45" s="325" t="s">
        <v>236</v>
      </c>
      <c r="D45" s="325"/>
      <c r="E45" s="325"/>
      <c r="F45" s="402"/>
      <c r="G45" s="402"/>
      <c r="H45" s="11"/>
      <c r="J45" s="53" t="s">
        <v>351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0.05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11348.9267337287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-756.0974340266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476.875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B73*K29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02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45468.749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0.115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0.00958333333333333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19508.0781399797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29.6156943349079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37716.9218600203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26865.8831902377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1273.54508165502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927.687248290581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44574.0778579256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32469.0536901703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44574.0778579256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32469.0536901703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429" t="n">
        <f aca="false">IF(B26="YES",((E40/B85)*(1+A108)),"0")</f>
        <v>38.2571428571429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1273.54508165502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927.687248290581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B94+B95</f>
        <v>1311.80222451216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963.001534004866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8" t="s">
        <v>28</v>
      </c>
      <c r="F105" s="458"/>
      <c r="G105" s="458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353</v>
      </c>
      <c r="C108" s="113"/>
      <c r="D108" s="113"/>
      <c r="E108" s="354" t="n">
        <f aca="false">B83</f>
        <v>0.115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(U121*U122)+U123</f>
        <v>11713.5425</v>
      </c>
      <c r="V124" s="435" t="n">
        <f aca="false">(V121*V122)+V123</f>
        <v>0</v>
      </c>
      <c r="W124" s="264" t="n">
        <f aca="false">(W121*W122)+W123</f>
        <v>0</v>
      </c>
      <c r="X124" s="435" t="n">
        <f aca="false">(X121*X122)+X123</f>
        <v>0</v>
      </c>
      <c r="Y124" s="264" t="n">
        <f aca="false">(Y121*Y122)+Y123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35140.6275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35973.9575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7304.7915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44468.749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44468.749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-14056.251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45468.749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454" t="n">
        <f aca="false">B95</f>
        <v>1273.54508165502</v>
      </c>
      <c r="B167" s="286" t="n">
        <f aca="false">B94</f>
        <v>38.2571428571429</v>
      </c>
      <c r="C167" s="439"/>
      <c r="D167" s="439"/>
      <c r="E167" s="286" t="n">
        <f aca="false">B96</f>
        <v>1311.80222451216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927.687248290581</v>
      </c>
      <c r="T167" s="286" t="n">
        <f aca="false">T94</f>
        <v>35.3142857142857</v>
      </c>
      <c r="U167" s="439"/>
      <c r="V167" s="439"/>
      <c r="W167" s="286" t="n">
        <f aca="false">T96</f>
        <v>963.001534004866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36523.9575</v>
      </c>
      <c r="T173" s="164" t="n">
        <f aca="false">Z137</f>
        <v>7304.7915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44468.749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45468.749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14849.0778579256</v>
      </c>
      <c r="B182" s="164" t="str">
        <f aca="false">B114</f>
        <v>199.99</v>
      </c>
      <c r="C182" s="164"/>
      <c r="D182" s="308"/>
      <c r="E182" s="164" t="n">
        <f aca="false">E179+A182+B182+A185</f>
        <v>72284.0678579257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14500.3046901703</v>
      </c>
      <c r="T182" s="164" t="n">
        <f aca="false">T114</f>
        <v>199.99</v>
      </c>
      <c r="U182" s="164"/>
      <c r="V182" s="308"/>
      <c r="W182" s="164" t="n">
        <f aca="false">W179+S182+T182+S185</f>
        <v>60179.0436901703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2239.988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476.875</v>
      </c>
      <c r="C188" s="402"/>
      <c r="D188" s="402"/>
      <c r="E188" s="164" t="n">
        <f aca="false">(E40*A108)*0.1</f>
        <v>30.9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378.906241666667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607.765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1499.49624166667</v>
      </c>
      <c r="U191" s="402"/>
      <c r="V191" s="402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1311.80222451216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963.001534004866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1273.54508165502</v>
      </c>
      <c r="B212" s="286" t="n">
        <f aca="false">B167</f>
        <v>38.2571428571429</v>
      </c>
      <c r="C212" s="439"/>
      <c r="D212" s="439"/>
      <c r="E212" s="286" t="n">
        <f aca="false">E167</f>
        <v>1311.80222451216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14849.0778579256</v>
      </c>
      <c r="B224" s="164" t="str">
        <f aca="false">B182</f>
        <v>199.99</v>
      </c>
      <c r="C224" s="164"/>
      <c r="D224" s="421"/>
      <c r="E224" s="164" t="n">
        <f aca="false">E182</f>
        <v>72284.0678579257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1273.54508165502</v>
      </c>
      <c r="B230" s="164" t="n">
        <f aca="false">B167</f>
        <v>38.2571428571429</v>
      </c>
      <c r="C230" s="441"/>
      <c r="D230" s="441"/>
      <c r="E230" s="164" t="n">
        <f aca="false">E167</f>
        <v>1311.80222451216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11.577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402"/>
      <c r="D240" s="402"/>
      <c r="E240" s="164" t="n">
        <f aca="false">E188</f>
        <v>30.9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1607.765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251" customFormat="false" ht="22.05" hidden="false" customHeight="false" outlineLevel="0" collapsed="false">
      <c r="A251" s="442" t="s">
        <v>194</v>
      </c>
      <c r="B251" s="442"/>
      <c r="C251" s="442"/>
      <c r="D251" s="442"/>
      <c r="E251" s="442"/>
      <c r="F251" s="442"/>
      <c r="G251" s="442"/>
      <c r="H251" s="442"/>
    </row>
    <row r="252" customFormat="false" ht="17.35" hidden="false" customHeight="false" outlineLevel="0" collapsed="false">
      <c r="A252" s="293"/>
      <c r="B252" s="12"/>
      <c r="C252" s="12"/>
      <c r="D252" s="12"/>
      <c r="E252" s="308"/>
      <c r="F252" s="308"/>
      <c r="G252" s="308"/>
      <c r="H252" s="11"/>
    </row>
    <row r="253" customFormat="false" ht="17.35" hidden="false" customHeight="false" outlineLevel="0" collapsed="false">
      <c r="A253" s="443" t="s">
        <v>195</v>
      </c>
      <c r="B253" s="459" t="n">
        <f aca="false">K35</f>
        <v>0.065</v>
      </c>
      <c r="C253" s="460"/>
      <c r="D253" s="461" t="s">
        <v>354</v>
      </c>
      <c r="E253" s="461"/>
      <c r="F253" s="459" t="n">
        <f aca="false">B83</f>
        <v>0.115</v>
      </c>
      <c r="G253" s="308"/>
      <c r="H253" s="11"/>
    </row>
    <row r="254" customFormat="false" ht="17.35" hidden="false" customHeight="false" outlineLevel="0" collapsed="false">
      <c r="A254" s="443" t="s">
        <v>196</v>
      </c>
      <c r="B254" s="462"/>
      <c r="C254" s="460"/>
      <c r="D254" s="461" t="s">
        <v>197</v>
      </c>
      <c r="E254" s="461"/>
      <c r="F254" s="462" t="n">
        <f aca="false">F261+F267+F269+B270+B271</f>
        <v>476.875</v>
      </c>
      <c r="G254" s="308"/>
      <c r="H254" s="11"/>
    </row>
    <row r="255" customFormat="false" ht="17.35" hidden="false" customHeight="false" outlineLevel="0" collapsed="false">
      <c r="A255" s="443" t="s">
        <v>198</v>
      </c>
      <c r="B255" s="462" t="n">
        <f aca="false">F262+B263</f>
        <v>408.99</v>
      </c>
      <c r="C255" s="460"/>
      <c r="D255" s="461" t="s">
        <v>199</v>
      </c>
      <c r="E255" s="461"/>
      <c r="F255" s="462" t="n">
        <f aca="false">(B254-F254)+B255</f>
        <v>-67.885</v>
      </c>
      <c r="G255" s="308"/>
      <c r="H255" s="11"/>
    </row>
    <row r="256" customFormat="false" ht="17.35" hidden="false" customHeight="false" outlineLevel="0" collapsed="false">
      <c r="A256" s="463"/>
      <c r="B256" s="461"/>
      <c r="C256" s="464"/>
      <c r="D256" s="464"/>
      <c r="E256" s="464"/>
      <c r="F256" s="464"/>
      <c r="G256" s="465"/>
      <c r="H256" s="466"/>
    </row>
    <row r="257" customFormat="false" ht="17.35" hidden="false" customHeight="false" outlineLevel="0" collapsed="false">
      <c r="A257" s="293" t="s">
        <v>195</v>
      </c>
      <c r="B257" s="467" t="n">
        <f aca="false">B253</f>
        <v>0.065</v>
      </c>
      <c r="C257" s="460"/>
      <c r="D257" s="460"/>
      <c r="E257" s="460"/>
      <c r="F257" s="460"/>
      <c r="G257" s="308"/>
      <c r="H257" s="11"/>
    </row>
    <row r="258" customFormat="false" ht="17.35" hidden="false" customHeight="false" outlineLevel="0" collapsed="false">
      <c r="A258" s="468"/>
      <c r="B258" s="469"/>
      <c r="C258" s="470"/>
      <c r="D258" s="470"/>
      <c r="E258" s="465"/>
      <c r="F258" s="465"/>
      <c r="G258" s="465"/>
      <c r="H258" s="466"/>
    </row>
    <row r="259" customFormat="false" ht="17.35" hidden="false" customHeight="false" outlineLevel="0" collapsed="false">
      <c r="A259" s="293" t="s">
        <v>355</v>
      </c>
      <c r="B259" s="467" t="n">
        <f aca="false">B64</f>
        <v>0.05</v>
      </c>
      <c r="C259" s="12"/>
      <c r="D259" s="165" t="s">
        <v>356</v>
      </c>
      <c r="E259" s="165"/>
      <c r="F259" s="467" t="n">
        <v>0</v>
      </c>
      <c r="G259" s="308"/>
      <c r="H259" s="11"/>
    </row>
    <row r="260" customFormat="false" ht="17.35" hidden="false" customHeight="false" outlineLevel="0" collapsed="false">
      <c r="A260" s="54" t="s">
        <v>354</v>
      </c>
      <c r="B260" s="471" t="n">
        <f aca="false">B83</f>
        <v>0.115</v>
      </c>
      <c r="C260" s="316"/>
      <c r="D260" s="165" t="s">
        <v>196</v>
      </c>
      <c r="E260" s="165"/>
      <c r="F260" s="373" t="n">
        <f aca="false">(B89*B59)-(C89*B59)</f>
        <v>44574.0778579256</v>
      </c>
      <c r="G260" s="308"/>
      <c r="H260" s="11"/>
    </row>
    <row r="261" customFormat="false" ht="17.35" hidden="false" customHeight="false" outlineLevel="0" collapsed="false">
      <c r="A261" s="293" t="s">
        <v>200</v>
      </c>
      <c r="B261" s="471" t="n">
        <f aca="false">B67</f>
        <v>0.01</v>
      </c>
      <c r="C261" s="12"/>
      <c r="D261" s="165" t="s">
        <v>200</v>
      </c>
      <c r="E261" s="165"/>
      <c r="F261" s="151" t="n">
        <f aca="false">B68</f>
        <v>476.875</v>
      </c>
      <c r="G261" s="308"/>
      <c r="H261" s="11"/>
    </row>
    <row r="262" customFormat="false" ht="17.35" hidden="false" customHeight="false" outlineLevel="0" collapsed="false">
      <c r="A262" s="293" t="s">
        <v>357</v>
      </c>
      <c r="B262" s="467" t="n">
        <f aca="false">A108</f>
        <v>0.3</v>
      </c>
      <c r="C262" s="12"/>
      <c r="D262" s="165" t="s">
        <v>357</v>
      </c>
      <c r="E262" s="165"/>
      <c r="F262" s="373" t="n">
        <f aca="false">E240*10</f>
        <v>309</v>
      </c>
      <c r="G262" s="308"/>
      <c r="H262" s="11"/>
    </row>
    <row r="263" customFormat="false" ht="17.35" hidden="false" customHeight="false" outlineLevel="0" collapsed="false">
      <c r="A263" s="293" t="s">
        <v>202</v>
      </c>
      <c r="B263" s="373" t="n">
        <f aca="false">A243</f>
        <v>99.99</v>
      </c>
      <c r="C263" s="12"/>
      <c r="D263" s="115" t="s">
        <v>199</v>
      </c>
      <c r="E263" s="115"/>
      <c r="F263" s="373" t="n">
        <f aca="false">(B254-F254)+B255</f>
        <v>-67.885</v>
      </c>
      <c r="G263" s="308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308"/>
      <c r="G264" s="308"/>
      <c r="H264" s="11"/>
    </row>
    <row r="265" customFormat="false" ht="22.05" hidden="false" customHeight="false" outlineLevel="0" collapsed="false">
      <c r="A265" s="447" t="s">
        <v>358</v>
      </c>
      <c r="B265" s="447"/>
      <c r="C265" s="447"/>
      <c r="D265" s="447"/>
      <c r="E265" s="447"/>
      <c r="F265" s="447"/>
      <c r="G265" s="447"/>
      <c r="H265" s="447"/>
    </row>
    <row r="266" customFormat="false" ht="17.35" hidden="false" customHeight="false" outlineLevel="0" collapsed="false">
      <c r="A266" s="293" t="s">
        <v>206</v>
      </c>
      <c r="B266" s="151" t="n">
        <v>0</v>
      </c>
      <c r="C266" s="12"/>
      <c r="D266" s="472" t="s">
        <v>207</v>
      </c>
      <c r="E266" s="472"/>
      <c r="F266" s="151" t="n">
        <v>0</v>
      </c>
      <c r="G266" s="308"/>
      <c r="H266" s="11"/>
    </row>
    <row r="267" customFormat="false" ht="17.35" hidden="false" customHeight="false" outlineLevel="0" collapsed="false">
      <c r="A267" s="141"/>
      <c r="B267" s="373"/>
      <c r="C267" s="12"/>
      <c r="D267" s="165" t="s">
        <v>208</v>
      </c>
      <c r="E267" s="165"/>
      <c r="F267" s="373" t="n">
        <f aca="false">B266+F266*B209</f>
        <v>0</v>
      </c>
      <c r="G267" s="308"/>
      <c r="H267" s="11"/>
    </row>
    <row r="268" customFormat="false" ht="17.35" hidden="false" customHeight="false" outlineLevel="0" collapsed="false">
      <c r="A268" s="144" t="s">
        <v>209</v>
      </c>
      <c r="B268" s="473" t="s">
        <v>76</v>
      </c>
      <c r="C268" s="12"/>
      <c r="D268" s="165" t="s">
        <v>210</v>
      </c>
      <c r="E268" s="165"/>
      <c r="F268" s="473" t="n">
        <f aca="false">B70</f>
        <v>0</v>
      </c>
      <c r="G268" s="308"/>
      <c r="H268" s="11"/>
    </row>
    <row r="269" customFormat="false" ht="17.35" hidden="false" customHeight="false" outlineLevel="0" collapsed="false">
      <c r="A269" s="144"/>
      <c r="B269" s="302"/>
      <c r="C269" s="12"/>
      <c r="D269" s="165" t="s">
        <v>211</v>
      </c>
      <c r="E269" s="165"/>
      <c r="F269" s="373" t="n">
        <f aca="false">B91</f>
        <v>0</v>
      </c>
      <c r="G269" s="308"/>
      <c r="H269" s="11"/>
    </row>
    <row r="270" customFormat="false" ht="17.35" hidden="false" customHeight="false" outlineLevel="0" collapsed="false">
      <c r="A270" s="144" t="s">
        <v>212</v>
      </c>
      <c r="B270" s="151" t="n">
        <v>0</v>
      </c>
      <c r="C270" s="12"/>
      <c r="D270" s="12"/>
      <c r="E270" s="136"/>
      <c r="F270" s="308"/>
      <c r="G270" s="308"/>
      <c r="H270" s="11"/>
    </row>
    <row r="271" customFormat="false" ht="17.35" hidden="false" customHeight="false" outlineLevel="0" collapsed="false">
      <c r="A271" s="293" t="s">
        <v>214</v>
      </c>
      <c r="B271" s="151" t="n">
        <v>0</v>
      </c>
      <c r="C271" s="12"/>
      <c r="D271" s="12"/>
      <c r="E271" s="308"/>
      <c r="F271" s="308"/>
      <c r="G271" s="308"/>
      <c r="H271" s="11"/>
      <c r="J271" s="288" t="n">
        <v>4</v>
      </c>
    </row>
    <row r="272" customFormat="false" ht="17.35" hidden="false" customHeight="false" outlineLevel="0" collapsed="false">
      <c r="A272" s="321"/>
      <c r="B272" s="322"/>
      <c r="C272" s="322"/>
      <c r="D272" s="322"/>
      <c r="E272" s="322"/>
      <c r="F272" s="322"/>
      <c r="G272" s="322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57" colorId="64" zoomScale="75" zoomScaleNormal="75" zoomScalePageLayoutView="100" workbookViewId="0">
      <selection pane="topLeft" activeCell="B68" activeCellId="0" sqref="B68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74" t="s">
        <v>236</v>
      </c>
      <c r="B45" s="402"/>
      <c r="C45" s="475" t="s">
        <v>236</v>
      </c>
      <c r="D45" s="475"/>
      <c r="E45" s="475"/>
      <c r="F45" s="402"/>
      <c r="G45" s="402"/>
      <c r="H45" s="11"/>
      <c r="J45" s="53" t="s">
        <v>351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0.05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476.875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IF(B26="YES",((E40/B85)*(1+A108)*1.2),"0")</f>
        <v>42.3771428571428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1218.83050794124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271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0.3</v>
      </c>
      <c r="B108" s="113" t="s">
        <v>353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359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n">
        <f aca="false">B94</f>
        <v>42.3771428571428</v>
      </c>
      <c r="C167" s="439"/>
      <c r="D167" s="439"/>
      <c r="E167" s="286" t="n">
        <f aca="false">B96</f>
        <v>1218.83050794124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239.99</v>
      </c>
      <c r="C182" s="164"/>
      <c r="D182" s="308"/>
      <c r="E182" s="164" t="n">
        <f aca="false">E179+A182+B182+A185</f>
        <v>68925.8577779432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13.8924</v>
      </c>
      <c r="B188" s="164" t="n">
        <f aca="false">(G158*B67)</f>
        <v>572.25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692.841666666667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1218.83050794124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1176.45336508409</v>
      </c>
      <c r="B212" s="286" t="n">
        <f aca="false">B167</f>
        <v>42.3771428571428</v>
      </c>
      <c r="C212" s="439"/>
      <c r="D212" s="439"/>
      <c r="E212" s="286" t="n">
        <f aca="false">E167</f>
        <v>1218.83050794124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11450.8677779432</v>
      </c>
      <c r="B224" s="164" t="str">
        <f aca="false">B182</f>
        <v>239.99</v>
      </c>
      <c r="C224" s="164"/>
      <c r="D224" s="421"/>
      <c r="E224" s="164" t="n">
        <f aca="false">E182</f>
        <v>68925.8577779432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1176.45336508409</v>
      </c>
      <c r="B230" s="164" t="n">
        <f aca="false">B167</f>
        <v>42.3771428571428</v>
      </c>
      <c r="C230" s="441"/>
      <c r="D230" s="441"/>
      <c r="E230" s="164" t="n">
        <f aca="false">E167</f>
        <v>1218.83050794124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13.8924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1597.46666666667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251" customFormat="false" ht="22.05" hidden="false" customHeight="false" outlineLevel="0" collapsed="false">
      <c r="A251" s="442" t="s">
        <v>194</v>
      </c>
      <c r="B251" s="442"/>
      <c r="C251" s="442"/>
      <c r="D251" s="442"/>
      <c r="E251" s="442"/>
      <c r="F251" s="442"/>
      <c r="G251" s="442"/>
      <c r="H251" s="442"/>
    </row>
    <row r="252" customFormat="false" ht="17.35" hidden="false" customHeight="false" outlineLevel="0" collapsed="false">
      <c r="A252" s="293"/>
      <c r="B252" s="12"/>
      <c r="C252" s="12"/>
      <c r="D252" s="12"/>
      <c r="E252" s="308"/>
      <c r="F252" s="308"/>
      <c r="G252" s="308"/>
      <c r="H252" s="11"/>
    </row>
    <row r="253" customFormat="false" ht="17.35" hidden="false" customHeight="false" outlineLevel="0" collapsed="false">
      <c r="A253" s="443" t="s">
        <v>195</v>
      </c>
      <c r="B253" s="459" t="n">
        <f aca="false">K35</f>
        <v>0.065</v>
      </c>
      <c r="C253" s="460"/>
      <c r="D253" s="461" t="s">
        <v>354</v>
      </c>
      <c r="E253" s="461"/>
      <c r="F253" s="459" t="n">
        <f aca="false">B83</f>
        <v>0.089</v>
      </c>
      <c r="G253" s="308"/>
      <c r="H253" s="11"/>
    </row>
    <row r="254" customFormat="false" ht="17.35" hidden="false" customHeight="false" outlineLevel="0" collapsed="false">
      <c r="A254" s="443" t="s">
        <v>196</v>
      </c>
      <c r="B254" s="462"/>
      <c r="C254" s="460"/>
      <c r="D254" s="461" t="s">
        <v>197</v>
      </c>
      <c r="E254" s="461"/>
      <c r="F254" s="462" t="n">
        <f aca="false">F261+F267+F269+B270+B271</f>
        <v>476.875</v>
      </c>
      <c r="G254" s="308"/>
      <c r="H254" s="11"/>
    </row>
    <row r="255" customFormat="false" ht="17.35" hidden="false" customHeight="false" outlineLevel="0" collapsed="false">
      <c r="A255" s="443" t="s">
        <v>198</v>
      </c>
      <c r="B255" s="462" t="n">
        <f aca="false">F262+B263</f>
        <v>305.991666666667</v>
      </c>
      <c r="C255" s="460"/>
      <c r="D255" s="461" t="s">
        <v>199</v>
      </c>
      <c r="E255" s="461"/>
      <c r="F255" s="462" t="n">
        <f aca="false">(B254-F254)+B255</f>
        <v>-170.883333333333</v>
      </c>
      <c r="G255" s="308"/>
      <c r="H255" s="11"/>
    </row>
    <row r="256" customFormat="false" ht="17.35" hidden="false" customHeight="false" outlineLevel="0" collapsed="false">
      <c r="A256" s="463"/>
      <c r="B256" s="461"/>
      <c r="C256" s="464"/>
      <c r="D256" s="464"/>
      <c r="E256" s="464"/>
      <c r="F256" s="464"/>
      <c r="G256" s="465"/>
      <c r="H256" s="466"/>
    </row>
    <row r="257" customFormat="false" ht="17.35" hidden="false" customHeight="false" outlineLevel="0" collapsed="false">
      <c r="A257" s="293" t="s">
        <v>195</v>
      </c>
      <c r="B257" s="467" t="n">
        <f aca="false">B253</f>
        <v>0.065</v>
      </c>
      <c r="C257" s="460"/>
      <c r="D257" s="460"/>
      <c r="E257" s="460"/>
      <c r="F257" s="460"/>
      <c r="G257" s="308"/>
      <c r="H257" s="11"/>
    </row>
    <row r="258" customFormat="false" ht="17.35" hidden="false" customHeight="false" outlineLevel="0" collapsed="false">
      <c r="A258" s="468"/>
      <c r="B258" s="469"/>
      <c r="C258" s="470"/>
      <c r="D258" s="470"/>
      <c r="E258" s="465"/>
      <c r="F258" s="465"/>
      <c r="G258" s="465"/>
      <c r="H258" s="466"/>
    </row>
    <row r="259" customFormat="false" ht="17.35" hidden="false" customHeight="false" outlineLevel="0" collapsed="false">
      <c r="A259" s="293" t="s">
        <v>355</v>
      </c>
      <c r="B259" s="467" t="n">
        <f aca="false">B64</f>
        <v>0.024</v>
      </c>
      <c r="C259" s="12"/>
      <c r="D259" s="165" t="s">
        <v>356</v>
      </c>
      <c r="E259" s="165"/>
      <c r="F259" s="467" t="n">
        <v>0</v>
      </c>
      <c r="G259" s="308"/>
      <c r="H259" s="11"/>
    </row>
    <row r="260" customFormat="false" ht="17.35" hidden="false" customHeight="false" outlineLevel="0" collapsed="false">
      <c r="A260" s="54" t="s">
        <v>354</v>
      </c>
      <c r="B260" s="471" t="n">
        <f aca="false">B83</f>
        <v>0.089</v>
      </c>
      <c r="C260" s="316"/>
      <c r="D260" s="165" t="s">
        <v>196</v>
      </c>
      <c r="E260" s="165"/>
      <c r="F260" s="373" t="n">
        <f aca="false">(B89*B59)-(C89*B59)</f>
        <v>41175.8677779432</v>
      </c>
      <c r="G260" s="308"/>
      <c r="H260" s="11"/>
    </row>
    <row r="261" customFormat="false" ht="17.35" hidden="false" customHeight="false" outlineLevel="0" collapsed="false">
      <c r="A261" s="293" t="s">
        <v>200</v>
      </c>
      <c r="B261" s="471" t="n">
        <f aca="false">B67</f>
        <v>0.01</v>
      </c>
      <c r="C261" s="12"/>
      <c r="D261" s="165" t="s">
        <v>200</v>
      </c>
      <c r="E261" s="165"/>
      <c r="F261" s="151" t="n">
        <f aca="false">B68</f>
        <v>476.875</v>
      </c>
      <c r="G261" s="308"/>
      <c r="H261" s="11"/>
    </row>
    <row r="262" customFormat="false" ht="17.35" hidden="false" customHeight="false" outlineLevel="0" collapsed="false">
      <c r="A262" s="293" t="s">
        <v>357</v>
      </c>
      <c r="B262" s="467" t="n">
        <f aca="false">A108</f>
        <v>0.2</v>
      </c>
      <c r="C262" s="12"/>
      <c r="D262" s="165" t="s">
        <v>357</v>
      </c>
      <c r="E262" s="165"/>
      <c r="F262" s="373" t="n">
        <f aca="false">E240*10</f>
        <v>206</v>
      </c>
      <c r="G262" s="308"/>
      <c r="H262" s="11"/>
    </row>
    <row r="263" customFormat="false" ht="17.35" hidden="false" customHeight="false" outlineLevel="0" collapsed="false">
      <c r="A263" s="293" t="s">
        <v>202</v>
      </c>
      <c r="B263" s="373" t="n">
        <f aca="false">A243</f>
        <v>99.9916666666667</v>
      </c>
      <c r="C263" s="12"/>
      <c r="D263" s="115" t="s">
        <v>199</v>
      </c>
      <c r="E263" s="115"/>
      <c r="F263" s="373" t="n">
        <f aca="false">(B254-F254)+B255</f>
        <v>-170.883333333333</v>
      </c>
      <c r="G263" s="308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308"/>
      <c r="G264" s="308"/>
      <c r="H264" s="11"/>
    </row>
    <row r="265" customFormat="false" ht="22.05" hidden="false" customHeight="false" outlineLevel="0" collapsed="false">
      <c r="A265" s="447" t="s">
        <v>358</v>
      </c>
      <c r="B265" s="447"/>
      <c r="C265" s="447"/>
      <c r="D265" s="447"/>
      <c r="E265" s="447"/>
      <c r="F265" s="447"/>
      <c r="G265" s="447"/>
      <c r="H265" s="447"/>
    </row>
    <row r="266" customFormat="false" ht="17.35" hidden="false" customHeight="false" outlineLevel="0" collapsed="false">
      <c r="A266" s="293" t="s">
        <v>206</v>
      </c>
      <c r="B266" s="151" t="n">
        <v>0</v>
      </c>
      <c r="C266" s="12"/>
      <c r="D266" s="472" t="s">
        <v>207</v>
      </c>
      <c r="E266" s="472"/>
      <c r="F266" s="151" t="n">
        <v>0</v>
      </c>
      <c r="G266" s="308"/>
      <c r="H266" s="11"/>
    </row>
    <row r="267" customFormat="false" ht="17.35" hidden="false" customHeight="false" outlineLevel="0" collapsed="false">
      <c r="A267" s="141"/>
      <c r="B267" s="373"/>
      <c r="C267" s="12"/>
      <c r="D267" s="165" t="s">
        <v>208</v>
      </c>
      <c r="E267" s="165"/>
      <c r="F267" s="373" t="n">
        <f aca="false">B266+F266*B209</f>
        <v>0</v>
      </c>
      <c r="G267" s="308"/>
      <c r="H267" s="11"/>
    </row>
    <row r="268" customFormat="false" ht="17.35" hidden="false" customHeight="false" outlineLevel="0" collapsed="false">
      <c r="A268" s="144" t="s">
        <v>209</v>
      </c>
      <c r="B268" s="473" t="s">
        <v>76</v>
      </c>
      <c r="C268" s="12"/>
      <c r="D268" s="165" t="s">
        <v>210</v>
      </c>
      <c r="E268" s="165"/>
      <c r="F268" s="473" t="n">
        <f aca="false">B70</f>
        <v>0</v>
      </c>
      <c r="G268" s="308"/>
      <c r="H268" s="11"/>
    </row>
    <row r="269" customFormat="false" ht="17.35" hidden="false" customHeight="false" outlineLevel="0" collapsed="false">
      <c r="A269" s="144"/>
      <c r="B269" s="302"/>
      <c r="C269" s="12"/>
      <c r="D269" s="165" t="s">
        <v>211</v>
      </c>
      <c r="E269" s="165"/>
      <c r="F269" s="373" t="n">
        <f aca="false">B91</f>
        <v>0</v>
      </c>
      <c r="G269" s="308"/>
      <c r="H269" s="11"/>
    </row>
    <row r="270" customFormat="false" ht="17.35" hidden="false" customHeight="false" outlineLevel="0" collapsed="false">
      <c r="A270" s="144" t="s">
        <v>212</v>
      </c>
      <c r="B270" s="151" t="n">
        <v>0</v>
      </c>
      <c r="C270" s="12"/>
      <c r="D270" s="12"/>
      <c r="E270" s="136"/>
      <c r="F270" s="308"/>
      <c r="G270" s="308"/>
      <c r="H270" s="11"/>
    </row>
    <row r="271" customFormat="false" ht="17.35" hidden="false" customHeight="false" outlineLevel="0" collapsed="false">
      <c r="A271" s="293" t="s">
        <v>214</v>
      </c>
      <c r="B271" s="151" t="n">
        <v>0</v>
      </c>
      <c r="C271" s="12"/>
      <c r="D271" s="12"/>
      <c r="E271" s="308"/>
      <c r="F271" s="308"/>
      <c r="G271" s="308"/>
      <c r="H271" s="11"/>
    </row>
    <row r="272" customFormat="false" ht="17.35" hidden="false" customHeight="false" outlineLevel="0" collapsed="false">
      <c r="A272" s="321"/>
      <c r="B272" s="322"/>
      <c r="C272" s="322"/>
      <c r="D272" s="322"/>
      <c r="E272" s="322"/>
      <c r="F272" s="322"/>
      <c r="G272" s="322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53" colorId="64" zoomScale="75" zoomScaleNormal="75" zoomScalePageLayoutView="100" workbookViewId="0">
      <selection pane="topLeft" activeCell="A251" activeCellId="0" sqref="A251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0.0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0.0</v>
      </c>
      <c r="C4" s="400" t="n">
        <v>0</v>
      </c>
      <c r="D4" s="400" t="n">
        <v>0.0</v>
      </c>
      <c r="E4" s="400"/>
      <c r="F4" s="400" t="n">
        <v>0.0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0.0</v>
      </c>
      <c r="C5" s="294" t="n">
        <v>0</v>
      </c>
      <c r="D5" s="294" t="n">
        <v>0.0</v>
      </c>
      <c r="E5" s="294"/>
      <c r="F5" s="294" t="n">
        <v>0.0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550</v>
      </c>
      <c r="F10" s="301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555</v>
      </c>
      <c r="F13" s="301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0</v>
      </c>
      <c r="F16" s="301"/>
      <c r="G16" s="43"/>
      <c r="H16" s="8" t="n">
        <v>0.0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363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36.0</v>
      </c>
      <c r="P29" s="404"/>
    </row>
    <row r="30" customFormat="false" ht="17.9" hidden="false" customHeight="false" outlineLevel="0" collapsed="false">
      <c r="A30" s="293" t="s">
        <v>148</v>
      </c>
      <c r="B30" s="45" t="s">
        <v>367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10000.0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27500.0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0.0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76" t="s">
        <v>368</v>
      </c>
      <c r="B45" s="402"/>
      <c r="C45" s="475" t="s">
        <v>368</v>
      </c>
      <c r="D45" s="475"/>
      <c r="E45" s="475"/>
      <c r="F45" s="402"/>
      <c r="G45" s="402"/>
      <c r="H45" s="11"/>
      <c r="J45" s="53" t="s">
        <v>351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10.0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0.0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0.05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9773.25069764638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490.208333333333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58825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37748.2347422869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1228.52576633838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42998.4018218433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42998.4018218433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IF(B26="YES",((E40/B85)*(1+A108)*1.2),"0")</f>
        <v>42.3771428571428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1228.52576633838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1270.90290919552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273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363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364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365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400</v>
      </c>
      <c r="B114" s="113" t="s">
        <v>370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0.0</v>
      </c>
      <c r="D122" s="433" t="n">
        <f aca="false">D4</f>
        <v>0</v>
      </c>
      <c r="E122" s="400" t="n">
        <f aca="false">D122</f>
        <v>0.0</v>
      </c>
      <c r="F122" s="433" t="n">
        <f aca="false">F4</f>
        <v>0</v>
      </c>
      <c r="G122" s="434" t="n">
        <f aca="false">F122</f>
        <v>0.0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-1000.0</v>
      </c>
      <c r="D123" s="435" t="n">
        <f aca="false">D5</f>
        <v>0</v>
      </c>
      <c r="E123" s="432" t="n">
        <f aca="false">D123</f>
        <v>0.0</v>
      </c>
      <c r="F123" s="435" t="n">
        <f aca="false">F5</f>
        <v>0</v>
      </c>
      <c r="G123" s="432" t="n">
        <f aca="false">F123</f>
        <v>0.0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2000.0</v>
      </c>
      <c r="F152" s="113"/>
      <c r="G152" s="113" t="n">
        <v>1000.0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500.0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400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58825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1228.52576633838</v>
      </c>
      <c r="B167" s="286" t="n">
        <f aca="false">B94</f>
        <v>42.3771428571428</v>
      </c>
      <c r="C167" s="439"/>
      <c r="D167" s="439"/>
      <c r="E167" s="286" t="n">
        <f aca="false">B96</f>
        <v>1270.90290919552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200</v>
      </c>
      <c r="C176" s="164"/>
      <c r="D176" s="308"/>
      <c r="E176" s="164" t="n">
        <f aca="false">E111</f>
        <v>200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400</v>
      </c>
      <c r="B179" s="164" t="n">
        <f aca="false">G154</f>
        <v>500</v>
      </c>
      <c r="C179" s="164"/>
      <c r="D179" s="308"/>
      <c r="E179" s="164" t="n">
        <f aca="false">A176-A179-B179</f>
        <v>58825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11673.4018218433</v>
      </c>
      <c r="B182" s="164" t="str">
        <f aca="false">B114</f>
        <v>239.99</v>
      </c>
      <c r="C182" s="164"/>
      <c r="D182" s="308"/>
      <c r="E182" s="164" t="n">
        <f aca="false">E179+A182+B182+A185</f>
        <v>70748.3918218433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639.99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490.208333333333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610.8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1270.90290919552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1228.52576633838</v>
      </c>
      <c r="B212" s="286" t="n">
        <f aca="false">B167</f>
        <v>42.3771428571428</v>
      </c>
      <c r="C212" s="439"/>
      <c r="D212" s="439"/>
      <c r="E212" s="286" t="n">
        <f aca="false">E167</f>
        <v>1270.90290919552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200</v>
      </c>
      <c r="C218" s="164"/>
      <c r="D218" s="421"/>
      <c r="E218" s="164" t="n">
        <f aca="false">E176</f>
        <v>200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400</v>
      </c>
      <c r="B221" s="164" t="n">
        <f aca="false">B179</f>
        <v>500</v>
      </c>
      <c r="C221" s="164"/>
      <c r="D221" s="421"/>
      <c r="E221" s="164" t="n">
        <f aca="false">E179</f>
        <v>58825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11673.4018218433</v>
      </c>
      <c r="B224" s="164" t="str">
        <f aca="false">B182</f>
        <v>239.99</v>
      </c>
      <c r="C224" s="164"/>
      <c r="D224" s="421"/>
      <c r="E224" s="164" t="n">
        <f aca="false">E182</f>
        <v>70748.3918218433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639.99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1228.52576633838</v>
      </c>
      <c r="B230" s="164" t="n">
        <f aca="false">B167</f>
        <v>42.3771428571428</v>
      </c>
      <c r="C230" s="441"/>
      <c r="D230" s="441"/>
      <c r="E230" s="164" t="n">
        <f aca="false">E167</f>
        <v>1270.90290919552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J18*0.000006*100*1.2</f>
        <v>41.6772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0)*100*1.2</f>
        <v>13.8924</v>
      </c>
      <c r="B236" s="164" t="n">
        <f aca="false">E233+A236</f>
        <v>55.5696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490.208333333333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1610.8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251" customFormat="false" ht="22.05" hidden="false" customHeight="false" outlineLevel="0" collapsed="false">
      <c r="A251" s="442" t="s">
        <v>194</v>
      </c>
      <c r="B251" s="442"/>
      <c r="C251" s="442"/>
      <c r="D251" s="442"/>
      <c r="E251" s="442"/>
      <c r="F251" s="442"/>
      <c r="G251" s="442"/>
      <c r="H251" s="442"/>
    </row>
    <row r="252" customFormat="false" ht="17.35" hidden="false" customHeight="false" outlineLevel="0" collapsed="false">
      <c r="A252" s="293"/>
      <c r="B252" s="12"/>
      <c r="C252" s="12"/>
      <c r="D252" s="12"/>
      <c r="E252" s="308"/>
      <c r="F252" s="308"/>
      <c r="G252" s="308"/>
      <c r="H252" s="11"/>
    </row>
    <row r="253" customFormat="false" ht="17.35" hidden="false" customHeight="false" outlineLevel="0" collapsed="false">
      <c r="A253" s="443" t="s">
        <v>195</v>
      </c>
      <c r="B253" s="459" t="n">
        <f aca="false">K35</f>
        <v>0.065</v>
      </c>
      <c r="C253" s="460"/>
      <c r="D253" s="461" t="s">
        <v>354</v>
      </c>
      <c r="E253" s="461"/>
      <c r="F253" s="459" t="n">
        <f aca="false">B83</f>
        <v>0.089</v>
      </c>
      <c r="G253" s="308"/>
      <c r="H253" s="11"/>
    </row>
    <row r="254" customFormat="false" ht="17.35" hidden="false" customHeight="false" outlineLevel="0" collapsed="false">
      <c r="A254" s="443" t="s">
        <v>196</v>
      </c>
      <c r="B254" s="462"/>
      <c r="C254" s="460"/>
      <c r="D254" s="461" t="s">
        <v>197</v>
      </c>
      <c r="E254" s="461"/>
      <c r="F254" s="462" t="n">
        <f aca="false">F261+F267+F269+B270+B271</f>
        <v>490.208333333333</v>
      </c>
      <c r="G254" s="308"/>
      <c r="H254" s="11"/>
    </row>
    <row r="255" customFormat="false" ht="17.35" hidden="false" customHeight="false" outlineLevel="0" collapsed="false">
      <c r="A255" s="443" t="s">
        <v>198</v>
      </c>
      <c r="B255" s="462" t="n">
        <f aca="false">F262+B263</f>
        <v>305.991666666667</v>
      </c>
      <c r="C255" s="460"/>
      <c r="D255" s="461" t="s">
        <v>199</v>
      </c>
      <c r="E255" s="461"/>
      <c r="F255" s="462" t="n">
        <f aca="false">(B254-F254)+B255</f>
        <v>-184.216666666667</v>
      </c>
      <c r="G255" s="308"/>
      <c r="H255" s="11"/>
    </row>
    <row r="256" customFormat="false" ht="17.35" hidden="false" customHeight="false" outlineLevel="0" collapsed="false">
      <c r="A256" s="463"/>
      <c r="B256" s="461"/>
      <c r="C256" s="464"/>
      <c r="D256" s="464"/>
      <c r="E256" s="464"/>
      <c r="F256" s="464"/>
      <c r="G256" s="465"/>
      <c r="H256" s="466"/>
    </row>
    <row r="257" customFormat="false" ht="17.35" hidden="false" customHeight="false" outlineLevel="0" collapsed="false">
      <c r="A257" s="293" t="s">
        <v>195</v>
      </c>
      <c r="B257" s="467" t="n">
        <f aca="false">B253</f>
        <v>0.065</v>
      </c>
      <c r="C257" s="460"/>
      <c r="D257" s="460"/>
      <c r="E257" s="460"/>
      <c r="F257" s="460"/>
      <c r="G257" s="308"/>
      <c r="H257" s="11"/>
    </row>
    <row r="258" customFormat="false" ht="17.35" hidden="false" customHeight="false" outlineLevel="0" collapsed="false">
      <c r="A258" s="468"/>
      <c r="B258" s="469"/>
      <c r="C258" s="470"/>
      <c r="D258" s="470"/>
      <c r="E258" s="465"/>
      <c r="F258" s="465"/>
      <c r="G258" s="465"/>
      <c r="H258" s="466"/>
    </row>
    <row r="259" customFormat="false" ht="17.35" hidden="false" customHeight="false" outlineLevel="0" collapsed="false">
      <c r="A259" s="293" t="s">
        <v>355</v>
      </c>
      <c r="B259" s="467" t="n">
        <f aca="false">B64</f>
        <v>0.024</v>
      </c>
      <c r="C259" s="12"/>
      <c r="D259" s="165" t="s">
        <v>356</v>
      </c>
      <c r="E259" s="165"/>
      <c r="F259" s="467" t="n">
        <v>0</v>
      </c>
      <c r="G259" s="308"/>
      <c r="H259" s="11"/>
    </row>
    <row r="260" customFormat="false" ht="17.35" hidden="false" customHeight="false" outlineLevel="0" collapsed="false">
      <c r="A260" s="54" t="s">
        <v>354</v>
      </c>
      <c r="B260" s="471" t="n">
        <f aca="false">B83</f>
        <v>0.089</v>
      </c>
      <c r="C260" s="316"/>
      <c r="D260" s="165" t="s">
        <v>196</v>
      </c>
      <c r="E260" s="165"/>
      <c r="F260" s="373" t="n">
        <f aca="false">(B89*B59)-(C89*B59)</f>
        <v>42998.4018218433</v>
      </c>
      <c r="G260" s="308"/>
      <c r="H260" s="11"/>
    </row>
    <row r="261" customFormat="false" ht="17.35" hidden="false" customHeight="false" outlineLevel="0" collapsed="false">
      <c r="A261" s="293" t="s">
        <v>200</v>
      </c>
      <c r="B261" s="471" t="n">
        <f aca="false">B67</f>
        <v>0.01</v>
      </c>
      <c r="C261" s="12"/>
      <c r="D261" s="165" t="s">
        <v>200</v>
      </c>
      <c r="E261" s="165"/>
      <c r="F261" s="151" t="n">
        <f aca="false">B68</f>
        <v>490.208333333333</v>
      </c>
      <c r="G261" s="308"/>
      <c r="H261" s="11"/>
    </row>
    <row r="262" customFormat="false" ht="17.35" hidden="false" customHeight="false" outlineLevel="0" collapsed="false">
      <c r="A262" s="293" t="s">
        <v>357</v>
      </c>
      <c r="B262" s="467" t="n">
        <f aca="false">A108</f>
        <v>0.2</v>
      </c>
      <c r="C262" s="12"/>
      <c r="D262" s="165" t="s">
        <v>357</v>
      </c>
      <c r="E262" s="165"/>
      <c r="F262" s="373" t="n">
        <f aca="false">E240*10</f>
        <v>206</v>
      </c>
      <c r="G262" s="308"/>
      <c r="H262" s="11"/>
    </row>
    <row r="263" customFormat="false" ht="17.35" hidden="false" customHeight="false" outlineLevel="0" collapsed="false">
      <c r="A263" s="293" t="s">
        <v>202</v>
      </c>
      <c r="B263" s="373" t="n">
        <f aca="false">A243</f>
        <v>99.9916666666667</v>
      </c>
      <c r="C263" s="12"/>
      <c r="D263" s="115" t="s">
        <v>199</v>
      </c>
      <c r="E263" s="115"/>
      <c r="F263" s="373" t="n">
        <f aca="false">(B254-F254)+B255</f>
        <v>-184.216666666667</v>
      </c>
      <c r="G263" s="308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308"/>
      <c r="G264" s="308"/>
      <c r="H264" s="11"/>
    </row>
    <row r="265" customFormat="false" ht="22.05" hidden="false" customHeight="false" outlineLevel="0" collapsed="false">
      <c r="A265" s="447" t="s">
        <v>358</v>
      </c>
      <c r="B265" s="447"/>
      <c r="C265" s="447"/>
      <c r="D265" s="447"/>
      <c r="E265" s="447"/>
      <c r="F265" s="447"/>
      <c r="G265" s="447"/>
      <c r="H265" s="447"/>
    </row>
    <row r="266" customFormat="false" ht="17.35" hidden="false" customHeight="false" outlineLevel="0" collapsed="false">
      <c r="A266" s="293" t="s">
        <v>206</v>
      </c>
      <c r="B266" s="151" t="n">
        <v>0</v>
      </c>
      <c r="C266" s="12"/>
      <c r="D266" s="472" t="s">
        <v>207</v>
      </c>
      <c r="E266" s="472"/>
      <c r="F266" s="151" t="n">
        <v>0</v>
      </c>
      <c r="G266" s="308"/>
      <c r="H266" s="11"/>
    </row>
    <row r="267" customFormat="false" ht="17.35" hidden="false" customHeight="false" outlineLevel="0" collapsed="false">
      <c r="A267" s="141"/>
      <c r="B267" s="373"/>
      <c r="C267" s="12"/>
      <c r="D267" s="165" t="s">
        <v>208</v>
      </c>
      <c r="E267" s="165"/>
      <c r="F267" s="373" t="n">
        <f aca="false">B266+F266*B209</f>
        <v>0</v>
      </c>
      <c r="G267" s="308"/>
      <c r="H267" s="11"/>
    </row>
    <row r="268" customFormat="false" ht="17.35" hidden="false" customHeight="false" outlineLevel="0" collapsed="false">
      <c r="A268" s="144" t="s">
        <v>209</v>
      </c>
      <c r="B268" s="473" t="s">
        <v>76</v>
      </c>
      <c r="C268" s="12"/>
      <c r="D268" s="165" t="s">
        <v>210</v>
      </c>
      <c r="E268" s="165"/>
      <c r="F268" s="473" t="n">
        <f aca="false">B70</f>
        <v>0</v>
      </c>
      <c r="G268" s="308"/>
      <c r="H268" s="11"/>
    </row>
    <row r="269" customFormat="false" ht="17.35" hidden="false" customHeight="false" outlineLevel="0" collapsed="false">
      <c r="A269" s="144"/>
      <c r="B269" s="302"/>
      <c r="C269" s="12"/>
      <c r="D269" s="165" t="s">
        <v>211</v>
      </c>
      <c r="E269" s="165"/>
      <c r="F269" s="373" t="n">
        <f aca="false">B91</f>
        <v>0</v>
      </c>
      <c r="G269" s="308"/>
      <c r="H269" s="11"/>
    </row>
    <row r="270" customFormat="false" ht="17.35" hidden="false" customHeight="false" outlineLevel="0" collapsed="false">
      <c r="A270" s="144" t="s">
        <v>212</v>
      </c>
      <c r="B270" s="151" t="n">
        <v>0</v>
      </c>
      <c r="C270" s="12"/>
      <c r="D270" s="12"/>
      <c r="E270" s="136"/>
      <c r="F270" s="308"/>
      <c r="G270" s="308"/>
      <c r="H270" s="11"/>
    </row>
    <row r="271" customFormat="false" ht="17.35" hidden="false" customHeight="false" outlineLevel="0" collapsed="false">
      <c r="A271" s="293" t="s">
        <v>214</v>
      </c>
      <c r="B271" s="151" t="n">
        <v>0</v>
      </c>
      <c r="C271" s="12"/>
      <c r="D271" s="12"/>
      <c r="E271" s="308"/>
      <c r="F271" s="308"/>
      <c r="G271" s="308"/>
      <c r="H271" s="11"/>
    </row>
    <row r="272" customFormat="false" ht="17.35" hidden="false" customHeight="false" outlineLevel="0" collapsed="false">
      <c r="A272" s="321"/>
      <c r="B272" s="322"/>
      <c r="C272" s="322"/>
      <c r="D272" s="322"/>
      <c r="E272" s="322"/>
      <c r="F272" s="322"/>
      <c r="G272" s="322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true" showOutlineSymbols="true" defaultGridColor="true" view="normal" topLeftCell="E34" colorId="64" zoomScale="75" zoomScaleNormal="75" zoomScalePageLayoutView="100" workbookViewId="0">
      <selection pane="topLeft" activeCell="K36" activeCellId="0" sqref="K36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0.0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0.0</v>
      </c>
      <c r="C4" s="400" t="n">
        <v>0</v>
      </c>
      <c r="D4" s="400" t="n">
        <v>0.0</v>
      </c>
      <c r="E4" s="400"/>
      <c r="F4" s="400" t="n">
        <v>0.0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0.0</v>
      </c>
      <c r="C5" s="294" t="n">
        <v>0</v>
      </c>
      <c r="D5" s="294" t="n">
        <v>0.0</v>
      </c>
      <c r="E5" s="294"/>
      <c r="F5" s="294" t="n">
        <v>0.0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0.0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363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36.0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10000.0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27500.0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0.0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922.920864561025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922.920864561025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43933.3921514451</v>
      </c>
      <c r="N39" s="288" t="n">
        <f aca="false">K39-L39</f>
        <v>4944.10784855493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4944.10784855493</v>
      </c>
      <c r="N40" s="288" t="n">
        <f aca="false">N38-N39</f>
        <v>-2032.42784855493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76" t="s">
        <v>236</v>
      </c>
      <c r="B45" s="402"/>
      <c r="C45" s="475" t="s">
        <v>236</v>
      </c>
      <c r="D45" s="475"/>
      <c r="E45" s="475"/>
      <c r="F45" s="402"/>
      <c r="G45" s="402"/>
      <c r="H45" s="11"/>
      <c r="J45" s="53" t="s">
        <v>351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922.920864561025</v>
      </c>
      <c r="L47" s="53" t="n">
        <f aca="false">L49-K42</f>
        <v>771.388888888889</v>
      </c>
      <c r="M47" s="288" t="n">
        <f aca="false">K47-L47</f>
        <v>151.531975672136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922.920864561025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922.920864561025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10.0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0.0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0.05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18480.8061357563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16061.8583918842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-756.097434026557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B66+(B66*0.5*(H29/12-1))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476.875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922.920864561025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922.920864561025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922.920864561025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922.920864561025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1391.54873164819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363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364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365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366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0.0</v>
      </c>
      <c r="D122" s="433" t="n">
        <f aca="false">D4</f>
        <v>0</v>
      </c>
      <c r="E122" s="400" t="n">
        <f aca="false">D122</f>
        <v>0.0</v>
      </c>
      <c r="F122" s="433" t="n">
        <f aca="false">F4</f>
        <v>0</v>
      </c>
      <c r="G122" s="434" t="n">
        <f aca="false">F122</f>
        <v>0.0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-1000.0</v>
      </c>
      <c r="D123" s="435" t="n">
        <f aca="false">D5</f>
        <v>0</v>
      </c>
      <c r="E123" s="432" t="n">
        <f aca="false">D123</f>
        <v>0.0</v>
      </c>
      <c r="F123" s="435" t="n">
        <f aca="false">F5</f>
        <v>0</v>
      </c>
      <c r="G123" s="432" t="n">
        <f aca="false">F123</f>
        <v>0.0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2000.0</v>
      </c>
      <c r="F152" s="113"/>
      <c r="G152" s="113" t="n">
        <v>1000.0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500.0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n">
        <f aca="false">B94</f>
        <v>35.3142857142857</v>
      </c>
      <c r="C167" s="439"/>
      <c r="D167" s="439"/>
      <c r="E167" s="286" t="n">
        <f aca="false">B96</f>
        <v>1391.54873164819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199.99</v>
      </c>
      <c r="C182" s="164"/>
      <c r="D182" s="308"/>
      <c r="E182" s="164" t="n">
        <f aca="false">E179+A182+B182+A185</f>
        <v>75178.1956076868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2239.988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476.875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597.465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1391.54873164819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1356.23444593391</v>
      </c>
      <c r="B212" s="286" t="n">
        <f aca="false">B167</f>
        <v>35.3142857142857</v>
      </c>
      <c r="C212" s="439"/>
      <c r="D212" s="439"/>
      <c r="E212" s="286" t="n">
        <f aca="false">E167</f>
        <v>1391.54873164819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17743.2056076868</v>
      </c>
      <c r="B224" s="164" t="str">
        <f aca="false">B182</f>
        <v>199.99</v>
      </c>
      <c r="C224" s="164"/>
      <c r="D224" s="421"/>
      <c r="E224" s="164" t="n">
        <f aca="false">E182</f>
        <v>75178.1956076868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1356.23444593391</v>
      </c>
      <c r="B230" s="164" t="n">
        <f aca="false">B167</f>
        <v>35.3142857142857</v>
      </c>
      <c r="C230" s="441"/>
      <c r="D230" s="441"/>
      <c r="E230" s="164" t="n">
        <f aca="false">E167</f>
        <v>1391.54873164819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J18*0.000006*100</f>
        <v>34.731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</f>
        <v>11.577</v>
      </c>
      <c r="B236" s="164" t="n">
        <f aca="false">E233+A236</f>
        <v>46.308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1597.465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251" customFormat="false" ht="22.05" hidden="false" customHeight="false" outlineLevel="0" collapsed="false">
      <c r="A251" s="442" t="s">
        <v>194</v>
      </c>
      <c r="B251" s="442"/>
      <c r="C251" s="442"/>
      <c r="D251" s="442"/>
      <c r="E251" s="442"/>
      <c r="F251" s="442"/>
      <c r="G251" s="442"/>
      <c r="H251" s="442"/>
    </row>
    <row r="252" customFormat="false" ht="17.35" hidden="false" customHeight="false" outlineLevel="0" collapsed="false">
      <c r="A252" s="293"/>
      <c r="B252" s="12"/>
      <c r="C252" s="12"/>
      <c r="D252" s="12"/>
      <c r="E252" s="308"/>
      <c r="F252" s="308"/>
      <c r="G252" s="308"/>
      <c r="H252" s="11"/>
    </row>
    <row r="253" customFormat="false" ht="17.35" hidden="false" customHeight="false" outlineLevel="0" collapsed="false">
      <c r="A253" s="443" t="s">
        <v>195</v>
      </c>
      <c r="B253" s="459" t="n">
        <f aca="false">K35</f>
        <v>0.065</v>
      </c>
      <c r="C253" s="460"/>
      <c r="D253" s="461" t="s">
        <v>354</v>
      </c>
      <c r="E253" s="461"/>
      <c r="F253" s="459" t="n">
        <f aca="false">B83</f>
        <v>0.137</v>
      </c>
      <c r="G253" s="308"/>
      <c r="H253" s="11"/>
    </row>
    <row r="254" customFormat="false" ht="17.35" hidden="false" customHeight="false" outlineLevel="0" collapsed="false">
      <c r="A254" s="443" t="s">
        <v>196</v>
      </c>
      <c r="B254" s="462"/>
      <c r="C254" s="460"/>
      <c r="D254" s="461" t="s">
        <v>197</v>
      </c>
      <c r="E254" s="461"/>
      <c r="F254" s="462" t="n">
        <f aca="false">F261+F267+F269+B270+B271</f>
        <v>476.875</v>
      </c>
      <c r="G254" s="308"/>
      <c r="H254" s="11"/>
    </row>
    <row r="255" customFormat="false" ht="17.35" hidden="false" customHeight="false" outlineLevel="0" collapsed="false">
      <c r="A255" s="443" t="s">
        <v>198</v>
      </c>
      <c r="B255" s="462" t="n">
        <f aca="false">F262+B263</f>
        <v>305.99</v>
      </c>
      <c r="C255" s="460"/>
      <c r="D255" s="461" t="s">
        <v>199</v>
      </c>
      <c r="E255" s="461"/>
      <c r="F255" s="462" t="n">
        <f aca="false">(B254-F254)+B255</f>
        <v>-170.885</v>
      </c>
      <c r="G255" s="308"/>
      <c r="H255" s="11"/>
    </row>
    <row r="256" customFormat="false" ht="17.35" hidden="false" customHeight="false" outlineLevel="0" collapsed="false">
      <c r="A256" s="463"/>
      <c r="B256" s="461"/>
      <c r="C256" s="464"/>
      <c r="D256" s="464"/>
      <c r="E256" s="464"/>
      <c r="F256" s="464"/>
      <c r="G256" s="465"/>
      <c r="H256" s="466"/>
    </row>
    <row r="257" customFormat="false" ht="17.35" hidden="false" customHeight="false" outlineLevel="0" collapsed="false">
      <c r="A257" s="293" t="s">
        <v>195</v>
      </c>
      <c r="B257" s="467" t="n">
        <f aca="false">B253</f>
        <v>0.065</v>
      </c>
      <c r="C257" s="460"/>
      <c r="D257" s="460"/>
      <c r="E257" s="460"/>
      <c r="F257" s="460"/>
      <c r="G257" s="308"/>
      <c r="H257" s="11"/>
    </row>
    <row r="258" customFormat="false" ht="17.35" hidden="false" customHeight="false" outlineLevel="0" collapsed="false">
      <c r="A258" s="468"/>
      <c r="B258" s="469"/>
      <c r="C258" s="470"/>
      <c r="D258" s="470"/>
      <c r="E258" s="465"/>
      <c r="F258" s="465"/>
      <c r="G258" s="465"/>
      <c r="H258" s="466"/>
    </row>
    <row r="259" customFormat="false" ht="17.35" hidden="false" customHeight="false" outlineLevel="0" collapsed="false">
      <c r="A259" s="293" t="s">
        <v>355</v>
      </c>
      <c r="B259" s="467" t="n">
        <f aca="false">B64</f>
        <v>0.072</v>
      </c>
      <c r="C259" s="12"/>
      <c r="D259" s="165" t="s">
        <v>356</v>
      </c>
      <c r="E259" s="165"/>
      <c r="F259" s="467" t="n">
        <v>0</v>
      </c>
      <c r="G259" s="308"/>
      <c r="H259" s="11"/>
    </row>
    <row r="260" customFormat="false" ht="17.35" hidden="false" customHeight="false" outlineLevel="0" collapsed="false">
      <c r="A260" s="54" t="s">
        <v>354</v>
      </c>
      <c r="B260" s="471" t="n">
        <f aca="false">B83</f>
        <v>0.137</v>
      </c>
      <c r="C260" s="316"/>
      <c r="D260" s="165" t="s">
        <v>196</v>
      </c>
      <c r="E260" s="165"/>
      <c r="F260" s="373" t="n">
        <f aca="false">(B89*B59)-(C89*B59)</f>
        <v>47468.2056076868</v>
      </c>
      <c r="G260" s="308"/>
      <c r="H260" s="11"/>
    </row>
    <row r="261" customFormat="false" ht="17.35" hidden="false" customHeight="false" outlineLevel="0" collapsed="false">
      <c r="A261" s="293" t="s">
        <v>200</v>
      </c>
      <c r="B261" s="471" t="n">
        <f aca="false">B67</f>
        <v>0.01</v>
      </c>
      <c r="C261" s="12"/>
      <c r="D261" s="165" t="s">
        <v>200</v>
      </c>
      <c r="E261" s="165"/>
      <c r="F261" s="151" t="n">
        <f aca="false">B68</f>
        <v>476.875</v>
      </c>
      <c r="G261" s="308"/>
      <c r="H261" s="11"/>
    </row>
    <row r="262" customFormat="false" ht="17.35" hidden="false" customHeight="false" outlineLevel="0" collapsed="false">
      <c r="A262" s="293" t="s">
        <v>357</v>
      </c>
      <c r="B262" s="467" t="n">
        <f aca="false">A108</f>
        <v>0.2</v>
      </c>
      <c r="C262" s="12"/>
      <c r="D262" s="165" t="s">
        <v>357</v>
      </c>
      <c r="E262" s="165"/>
      <c r="F262" s="373" t="n">
        <f aca="false">E240*10</f>
        <v>206</v>
      </c>
      <c r="G262" s="308"/>
      <c r="H262" s="11"/>
    </row>
    <row r="263" customFormat="false" ht="17.35" hidden="false" customHeight="false" outlineLevel="0" collapsed="false">
      <c r="A263" s="293" t="s">
        <v>202</v>
      </c>
      <c r="B263" s="373" t="n">
        <f aca="false">A243</f>
        <v>99.99</v>
      </c>
      <c r="C263" s="12"/>
      <c r="D263" s="115" t="s">
        <v>199</v>
      </c>
      <c r="E263" s="115"/>
      <c r="F263" s="373" t="n">
        <f aca="false">(B254-F254)+B255</f>
        <v>-170.885</v>
      </c>
      <c r="G263" s="308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308"/>
      <c r="G264" s="308"/>
      <c r="H264" s="11"/>
    </row>
    <row r="265" customFormat="false" ht="22.05" hidden="false" customHeight="false" outlineLevel="0" collapsed="false">
      <c r="A265" s="447" t="s">
        <v>358</v>
      </c>
      <c r="B265" s="447"/>
      <c r="C265" s="447"/>
      <c r="D265" s="447"/>
      <c r="E265" s="447"/>
      <c r="F265" s="447"/>
      <c r="G265" s="447"/>
      <c r="H265" s="447"/>
    </row>
    <row r="266" customFormat="false" ht="17.35" hidden="false" customHeight="false" outlineLevel="0" collapsed="false">
      <c r="A266" s="293" t="s">
        <v>206</v>
      </c>
      <c r="B266" s="151" t="n">
        <v>0</v>
      </c>
      <c r="C266" s="12"/>
      <c r="D266" s="472" t="s">
        <v>207</v>
      </c>
      <c r="E266" s="472"/>
      <c r="F266" s="151" t="n">
        <v>0</v>
      </c>
      <c r="G266" s="308"/>
      <c r="H266" s="11"/>
    </row>
    <row r="267" customFormat="false" ht="17.35" hidden="false" customHeight="false" outlineLevel="0" collapsed="false">
      <c r="A267" s="141"/>
      <c r="B267" s="373"/>
      <c r="C267" s="12"/>
      <c r="D267" s="165" t="s">
        <v>208</v>
      </c>
      <c r="E267" s="165"/>
      <c r="F267" s="373" t="n">
        <f aca="false">B266+F266*B209</f>
        <v>0</v>
      </c>
      <c r="G267" s="308"/>
      <c r="H267" s="11"/>
    </row>
    <row r="268" customFormat="false" ht="17.35" hidden="false" customHeight="false" outlineLevel="0" collapsed="false">
      <c r="A268" s="144" t="s">
        <v>209</v>
      </c>
      <c r="B268" s="473" t="s">
        <v>76</v>
      </c>
      <c r="C268" s="12"/>
      <c r="D268" s="165" t="s">
        <v>210</v>
      </c>
      <c r="E268" s="165"/>
      <c r="F268" s="473" t="n">
        <f aca="false">B70</f>
        <v>0</v>
      </c>
      <c r="G268" s="308"/>
      <c r="H268" s="11"/>
    </row>
    <row r="269" customFormat="false" ht="17.35" hidden="false" customHeight="false" outlineLevel="0" collapsed="false">
      <c r="A269" s="144"/>
      <c r="B269" s="302"/>
      <c r="C269" s="12"/>
      <c r="D269" s="165" t="s">
        <v>211</v>
      </c>
      <c r="E269" s="165"/>
      <c r="F269" s="373" t="n">
        <f aca="false">B91</f>
        <v>0</v>
      </c>
      <c r="G269" s="308"/>
      <c r="H269" s="11"/>
    </row>
    <row r="270" customFormat="false" ht="17.35" hidden="false" customHeight="false" outlineLevel="0" collapsed="false">
      <c r="A270" s="144" t="s">
        <v>212</v>
      </c>
      <c r="B270" s="151" t="n">
        <v>0</v>
      </c>
      <c r="C270" s="12"/>
      <c r="D270" s="12"/>
      <c r="E270" s="136"/>
      <c r="F270" s="308"/>
      <c r="G270" s="308"/>
      <c r="H270" s="11"/>
    </row>
    <row r="271" customFormat="false" ht="17.35" hidden="false" customHeight="false" outlineLevel="0" collapsed="false">
      <c r="A271" s="293" t="s">
        <v>214</v>
      </c>
      <c r="B271" s="151" t="n">
        <v>0</v>
      </c>
      <c r="C271" s="12"/>
      <c r="D271" s="12"/>
      <c r="E271" s="308"/>
      <c r="F271" s="308"/>
      <c r="G271" s="308"/>
      <c r="H271" s="11"/>
    </row>
    <row r="272" customFormat="false" ht="17.35" hidden="false" customHeight="false" outlineLevel="0" collapsed="false">
      <c r="A272" s="321"/>
      <c r="B272" s="322"/>
      <c r="C272" s="322"/>
      <c r="D272" s="322"/>
      <c r="E272" s="322"/>
      <c r="F272" s="322"/>
      <c r="G272" s="322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A151" activeCellId="0" sqref="A15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226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I31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04"/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4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58" t="s">
        <v>98</v>
      </c>
      <c r="B74" s="259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260" t="s">
        <v>99</v>
      </c>
      <c r="B75" s="261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62" t="s">
        <v>100</v>
      </c>
      <c r="B76" s="263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6857.925</v>
      </c>
      <c r="C81" s="203"/>
      <c r="D81" s="203"/>
      <c r="E81" s="204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190.497916666667</v>
      </c>
      <c r="C82" s="203"/>
      <c r="D82" s="203"/>
      <c r="E82" s="204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04"/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40083.0761241969</v>
      </c>
      <c r="C85" s="203"/>
      <c r="D85" s="203"/>
      <c r="E85" s="204"/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339.550059946807</v>
      </c>
      <c r="C86" s="203"/>
      <c r="D86" s="203"/>
      <c r="E86" s="204"/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40422.6261841437</v>
      </c>
      <c r="C87" s="203"/>
      <c r="D87" s="203"/>
      <c r="E87" s="204"/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</f>
        <v>37.1944444444444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1122.85072733733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1160.04517178177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 t="s">
        <v>138</v>
      </c>
      <c r="C107" s="213" t="s">
        <v>27</v>
      </c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1122.85072733733</v>
      </c>
      <c r="B128" s="120" t="n">
        <f aca="false">IF(A105="YES", B89, 0)</f>
        <v>37.1944444444444</v>
      </c>
      <c r="C128" s="125"/>
      <c r="D128" s="120" t="n">
        <f aca="false">B91</f>
        <v>1160.04517178177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10105.6565460359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10440.4065460359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1122.85072733733</v>
      </c>
      <c r="B137" s="136" t="n">
        <f aca="false">IF(A105="YES", B89, 0)</f>
        <v>37.1944444444444</v>
      </c>
      <c r="C137" s="13"/>
      <c r="D137" s="136" t="n">
        <f aca="false">B91</f>
        <v>1160.04517178177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1160.04517178177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1122.85072733733</v>
      </c>
      <c r="B177" s="160" t="n">
        <f aca="false">IF(A105="YES", B89, 0)</f>
        <v>37.1944444444444</v>
      </c>
      <c r="C177" s="162"/>
      <c r="D177" s="160" t="n">
        <f aca="false">B91</f>
        <v>1160.04517178177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10105.6565460359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10440.4065460359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1122.85072733733</v>
      </c>
      <c r="B186" s="164" t="n">
        <f aca="false">IF(A105="YES", B89, 0)</f>
        <v>37.1944444444444</v>
      </c>
      <c r="C186" s="31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44959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74</v>
      </c>
      <c r="B34" s="51" t="s">
        <v>48</v>
      </c>
      <c r="C34" s="48" t="s">
        <v>76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76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76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 t="s">
        <v>76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76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216</v>
      </c>
      <c r="B44" s="45" t="s">
        <v>71</v>
      </c>
      <c r="C44" s="45"/>
      <c r="D44" s="45" t="s">
        <v>71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 t="s">
        <v>76</v>
      </c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65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-153.507518712743</v>
      </c>
      <c r="C96" s="13" t="s">
        <v>76</v>
      </c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-88.5075187127426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118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27</v>
      </c>
      <c r="B111" s="110" t="n">
        <v>30</v>
      </c>
      <c r="C111" s="110"/>
      <c r="D111" s="113" t="n">
        <v>200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11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65</v>
      </c>
      <c r="C134" s="191"/>
      <c r="D134" s="120" t="n">
        <f aca="false">B97</f>
        <v>-88.5075187127426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-153.507518712743</v>
      </c>
      <c r="C137" s="13"/>
      <c r="D137" s="136" t="n">
        <f aca="false">IF(A111="YES", B95*B63, 0)</f>
        <v>65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-88.5075187127426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65</v>
      </c>
      <c r="C143" s="13"/>
      <c r="D143" s="136" t="n">
        <f aca="false">B97</f>
        <v>-88.5075187127426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180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858.84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-88.5075187127426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65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-153.507518712743</v>
      </c>
      <c r="C180" s="31"/>
      <c r="D180" s="164" t="n">
        <f aca="false">IF(A111="YES", B95*B63, 0)</f>
        <v>65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-88.5075187127426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65</v>
      </c>
      <c r="C186" s="31"/>
      <c r="D186" s="164" t="n">
        <f aca="false">B97</f>
        <v>-88.5075187127426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858.84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279.99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3753.09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3753.09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180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20" activeCellId="0" sqref="B220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477" t="s">
        <v>236</v>
      </c>
      <c r="D45" s="477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1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35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03"/>
      <c r="D81" s="203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03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((B83*H29)+B81)*1.2</f>
        <v>49399.6913490363</v>
      </c>
      <c r="C85" s="203"/>
      <c r="D85" s="203"/>
      <c r="E85" s="247" t="n">
        <f aca="false">B85/(B58+B57)</f>
        <v>1372.21364858434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((((B83*H29)+B81))/(1-B70))*B70</f>
        <v>348.727147482104</v>
      </c>
      <c r="C86" s="203"/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49748.4184965184</v>
      </c>
      <c r="C87" s="203"/>
      <c r="D87" s="203"/>
      <c r="E87" s="247" t="n">
        <f aca="false">E86+E85</f>
        <v>1381.90051379218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(D40+(D40*B105))/(B57+B58))*1.2</f>
        <v>44.6333333333333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1381.90051379218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1426.53384712551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n">
        <v>200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((E118/1.2)+E117)-(D115-E113)</f>
        <v>-800.008333333333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1381.90051379218</v>
      </c>
      <c r="B128" s="120" t="n">
        <f aca="false">IF(A105="YES", B89, 0)</f>
        <v>44.6333333333333</v>
      </c>
      <c r="C128" s="125"/>
      <c r="D128" s="120" t="n">
        <f aca="false">B91</f>
        <v>1426.53384712551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1381.90051379218</v>
      </c>
      <c r="C131" s="13"/>
      <c r="D131" s="136" t="n">
        <f aca="false">IF(A105="YES", B89*B57, 0)</f>
        <v>44.6333333333333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1426.53384712551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1381.90051379218</v>
      </c>
      <c r="B137" s="136" t="n">
        <f aca="false">IF(A105="YES", B89, 0)</f>
        <v>44.6333333333333</v>
      </c>
      <c r="C137" s="13"/>
      <c r="D137" s="136" t="n">
        <f aca="false">B91</f>
        <v>1426.53384712551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1288.59166666667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1426.53384712551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1381.90051379218</v>
      </c>
      <c r="B177" s="160" t="n">
        <f aca="false">IF(A105="YES", B89, 0)</f>
        <v>44.6333333333333</v>
      </c>
      <c r="C177" s="162"/>
      <c r="D177" s="160" t="n">
        <f aca="false">B91</f>
        <v>1426.53384712551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Monthly in advance</v>
      </c>
      <c r="B180" s="164" t="n">
        <f aca="false">B90*B57</f>
        <v>1381.90051379218</v>
      </c>
      <c r="C180" s="31"/>
      <c r="D180" s="164" t="n">
        <f aca="false">IF(A105="YES", B89*B57, 0)</f>
        <v>44.6333333333333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1426.53384712551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1381.90051379218</v>
      </c>
      <c r="B186" s="164" t="n">
        <f aca="false">IF(A105="YES", B89, 0)</f>
        <v>44.6333333333333</v>
      </c>
      <c r="C186" s="31"/>
      <c r="D186" s="164" t="n">
        <f aca="false">B91</f>
        <v>1426.53384712551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1288.59166666667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332</v>
      </c>
      <c r="H44" s="22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n">
        <v>0.01</v>
      </c>
      <c r="C47" s="455"/>
      <c r="D47" s="45" t="n">
        <v>1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360</v>
      </c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213" t="s">
        <v>28</v>
      </c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361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240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12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/>
      <c r="D70" s="201" t="n">
        <f aca="false">B70-A151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10814.7942718838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((H44*B35)+((H44*B35)*B111))/(B63+B64)</f>
        <v>31.304347826087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IF(B105=Y104, (B93-D111)/(B64), B93/(B63+B64))</f>
        <v>470.208446603645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501.512794429732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 t="s">
        <v>123</v>
      </c>
      <c r="B105" s="110" t="s">
        <v>125</v>
      </c>
      <c r="C105" s="110"/>
      <c r="D105" s="111" t="n">
        <v>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0.2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/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28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0</v>
      </c>
      <c r="E118" s="113" t="n">
        <v>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0</v>
      </c>
      <c r="E119" s="113" t="n">
        <v>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0</v>
      </c>
      <c r="E120" s="116" t="n">
        <f aca="false">E118-E119</f>
        <v>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199.99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5"/>
      <c r="B129" s="203"/>
      <c r="C129" s="203"/>
      <c r="D129" s="203"/>
      <c r="E129" s="20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5" t="s">
        <v>148</v>
      </c>
      <c r="B130" s="122" t="n">
        <v>1200</v>
      </c>
      <c r="C130" s="122"/>
      <c r="D130" s="203"/>
      <c r="E130" s="204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5"/>
      <c r="B131" s="203"/>
      <c r="C131" s="203"/>
      <c r="D131" s="203"/>
      <c r="E131" s="20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5" t="s">
        <v>81</v>
      </c>
      <c r="B132" s="203" t="s">
        <v>82</v>
      </c>
      <c r="C132" s="203"/>
      <c r="D132" s="203" t="s">
        <v>85</v>
      </c>
      <c r="E132" s="204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20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5"/>
      <c r="B134" s="203"/>
      <c r="C134" s="203"/>
      <c r="D134" s="203"/>
      <c r="E134" s="20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84" t="s">
        <v>154</v>
      </c>
      <c r="B135" s="285" t="s">
        <v>155</v>
      </c>
      <c r="C135" s="285"/>
      <c r="D135" s="285" t="s">
        <v>113</v>
      </c>
      <c r="E135" s="20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286" t="n">
        <f aca="false">IF(A111="YES", B95*B63, 0)</f>
        <v>375.652173913043</v>
      </c>
      <c r="C136" s="286"/>
      <c r="D136" s="286" t="n">
        <f aca="false">B97</f>
        <v>501.512794429732</v>
      </c>
      <c r="E136" s="20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5"/>
      <c r="B137" s="203"/>
      <c r="C137" s="203"/>
      <c r="D137" s="203"/>
      <c r="E137" s="20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5" t="s">
        <v>161</v>
      </c>
      <c r="B138" s="203" t="s">
        <v>162</v>
      </c>
      <c r="C138" s="203"/>
      <c r="D138" s="203" t="s">
        <v>163</v>
      </c>
      <c r="E138" s="20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224"/>
      <c r="D139" s="140" t="n">
        <f aca="false">B97*B63</f>
        <v>6018.15353315678</v>
      </c>
      <c r="E139" s="20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5"/>
      <c r="B140" s="203"/>
      <c r="C140" s="203"/>
      <c r="D140" s="203"/>
      <c r="E140" s="20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5" t="s">
        <v>170</v>
      </c>
      <c r="B141" s="203" t="s">
        <v>171</v>
      </c>
      <c r="C141" s="203"/>
      <c r="D141" s="203" t="s">
        <v>172</v>
      </c>
      <c r="E141" s="20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5"/>
      <c r="B143" s="203"/>
      <c r="C143" s="203"/>
      <c r="D143" s="203"/>
      <c r="E143" s="20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5" t="s">
        <v>176</v>
      </c>
      <c r="B144" s="203" t="s">
        <v>174</v>
      </c>
      <c r="C144" s="203"/>
      <c r="D144" s="203" t="s">
        <v>175</v>
      </c>
      <c r="E144" s="20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5"/>
      <c r="B146" s="203"/>
      <c r="C146" s="203"/>
      <c r="D146" s="203"/>
      <c r="E146" s="20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5" t="s">
        <v>179</v>
      </c>
      <c r="B147" s="203" t="s">
        <v>180</v>
      </c>
      <c r="C147" s="203"/>
      <c r="D147" s="203" t="s">
        <v>181</v>
      </c>
      <c r="E147" s="20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5"/>
      <c r="B149" s="203"/>
      <c r="C149" s="203"/>
      <c r="D149" s="203"/>
      <c r="E149" s="20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5" t="s">
        <v>183</v>
      </c>
      <c r="B150" s="203" t="s">
        <v>184</v>
      </c>
      <c r="C150" s="203"/>
      <c r="D150" s="203"/>
      <c r="E150" s="20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203"/>
      <c r="D151" s="203"/>
      <c r="E151" s="20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5"/>
      <c r="B152" s="203"/>
      <c r="C152" s="203"/>
      <c r="D152" s="203"/>
      <c r="E152" s="20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5"/>
      <c r="B153" s="203"/>
      <c r="C153" s="203"/>
      <c r="D153" s="203"/>
      <c r="E153" s="20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37" t="s">
        <v>191</v>
      </c>
      <c r="B154" s="203"/>
      <c r="C154" s="203"/>
      <c r="D154" s="238"/>
      <c r="E154" s="239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5"/>
      <c r="B155" s="241"/>
      <c r="C155" s="241"/>
      <c r="D155" s="203"/>
      <c r="E155" s="20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81</v>
      </c>
      <c r="B156" s="68" t="s">
        <v>82</v>
      </c>
      <c r="C156" s="68"/>
      <c r="D156" s="203"/>
      <c r="E156" s="20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203"/>
      <c r="E157" s="204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203"/>
      <c r="E158" s="20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5"/>
      <c r="B159" s="203"/>
      <c r="C159" s="203"/>
      <c r="D159" s="203"/>
      <c r="E159" s="20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5"/>
      <c r="B160" s="203"/>
      <c r="C160" s="203"/>
      <c r="D160" s="203"/>
      <c r="E160" s="20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5"/>
      <c r="B161" s="203"/>
      <c r="C161" s="203"/>
      <c r="D161" s="203"/>
      <c r="E161" s="20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5"/>
      <c r="B162" s="203"/>
      <c r="C162" s="203"/>
      <c r="D162" s="203"/>
      <c r="E162" s="20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4"/>
      <c r="B163" s="235"/>
      <c r="C163" s="235"/>
      <c r="D163" s="235"/>
      <c r="E163" s="236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74" colorId="64" zoomScale="75" zoomScaleNormal="75" zoomScalePageLayoutView="100" workbookViewId="0">
      <selection pane="topLeft" activeCell="D191" activeCellId="0" sqref="D19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78" t="n">
        <v>0</v>
      </c>
      <c r="C4" s="478" t="n">
        <v>0</v>
      </c>
      <c r="D4" s="47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(B3*B4)+B5</f>
        <v>0</v>
      </c>
      <c r="C6" s="201" t="n">
        <f aca="false">(C3*C4)+C5</f>
        <v>0</v>
      </c>
      <c r="D6" s="201" t="n">
        <f aca="false">(D3*D4)+D5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50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51" t="s">
        <v>361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 t="s">
        <v>76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551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1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11</v>
      </c>
      <c r="C58" s="203" t="s">
        <v>362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 t="n">
        <f aca="false">IF(G18&gt;40000, 325, 0)</f>
        <v>325</v>
      </c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((B83*(H29)+B81))*1.2</f>
        <v>12868.74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(((B83*(H29))+B81)/(1-B70))*B70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12959.5842718838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79" t="n">
        <f aca="false">IF(B99=Z102,(((H44*B35)+(H44*B35)*(B105/100))/(B58))*1.2,(((H44*B35)+(H44*B35)*(B105/100))/(B57+B58))*1.2)</f>
        <v>72</v>
      </c>
      <c r="C89" s="203"/>
      <c r="D89" s="203"/>
      <c r="E89" s="204"/>
      <c r="F89" s="171"/>
      <c r="G89" s="268" t="s">
        <v>67</v>
      </c>
      <c r="H89" s="269" t="n">
        <f aca="false">(A41+(A41*H105))*1.2</f>
        <v>72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1079.96535599032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J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1151.96535599032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1243.69258941778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27</v>
      </c>
      <c r="B105" s="110" t="n">
        <v>20</v>
      </c>
      <c r="C105" s="110"/>
      <c r="D105" s="113" t="n">
        <v>0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239.988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-3760.012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1079.96535599032</v>
      </c>
      <c r="B128" s="120" t="n">
        <f aca="false">IF(A105="YES", B89, 0)</f>
        <v>72</v>
      </c>
      <c r="C128" s="191"/>
      <c r="D128" s="120" t="n">
        <f aca="false">B91</f>
        <v>1151.96535599032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0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72</v>
      </c>
      <c r="I130" s="286"/>
      <c r="J130" s="134" t="n">
        <f aca="false">H91</f>
        <v>1243.69258941778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0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1079.96535599032</v>
      </c>
      <c r="C131" s="13"/>
      <c r="D131" s="136" t="n">
        <f aca="false">IF(A105="YES", B89*B57, 0)</f>
        <v>72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72</v>
      </c>
      <c r="I133" s="224"/>
      <c r="J133" s="140" t="n">
        <f aca="false">H91*H57</f>
        <v>1243.69258941778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1151.96535599032</v>
      </c>
      <c r="B134" s="136" t="n">
        <f aca="false">E114</f>
        <v>4000</v>
      </c>
      <c r="C134" s="13"/>
      <c r="D134" s="142" t="n">
        <f aca="false">B58</f>
        <v>11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1079.96535599032</v>
      </c>
      <c r="B137" s="136" t="n">
        <f aca="false">IF(A105="YES", B89, 0)</f>
        <v>72</v>
      </c>
      <c r="C137" s="13"/>
      <c r="D137" s="136" t="n">
        <f aca="false">B91</f>
        <v>1151.96535599032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7.2</v>
      </c>
      <c r="H142" s="164" t="n">
        <f aca="false">G102-100</f>
        <v>139.988</v>
      </c>
      <c r="I142" s="164"/>
      <c r="J142" s="164" t="n">
        <f aca="false">(H139+J139+G142+H142)-H145</f>
        <v>1516.613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1200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1878.84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1243.69258941778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1151.96535599032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1079.96535599032</v>
      </c>
      <c r="B171" s="160" t="n">
        <f aca="false">IF(A105="YES", B89, 0)</f>
        <v>72</v>
      </c>
      <c r="C171" s="192"/>
      <c r="D171" s="160" t="n">
        <f aca="false">B91</f>
        <v>1151.96535599032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Monthly in advance</v>
      </c>
      <c r="B174" s="164" t="n">
        <f aca="false">B90*B57</f>
        <v>1079.96535599032</v>
      </c>
      <c r="C174" s="31"/>
      <c r="D174" s="164" t="n">
        <f aca="false">IF(A105="YES", B89*B57, 0)</f>
        <v>72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1151.96535599032</v>
      </c>
      <c r="B177" s="164" t="n">
        <f aca="false">E114</f>
        <v>4000</v>
      </c>
      <c r="C177" s="31"/>
      <c r="D177" s="166" t="n">
        <f aca="false">B58</f>
        <v>11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1079.96535599032</v>
      </c>
      <c r="B180" s="164" t="n">
        <f aca="false">IF(A105="YES", B89, 0)</f>
        <v>72</v>
      </c>
      <c r="C180" s="31"/>
      <c r="D180" s="164" t="n">
        <f aca="false">B91</f>
        <v>1151.96535599032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0)*0.001</f>
        <v>12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1878.84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219.99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3693.09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3693.09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120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45" colorId="64" zoomScale="75" zoomScaleNormal="75" zoomScalePageLayoutView="100" workbookViewId="0">
      <selection pane="topLeft" activeCell="D149" activeCellId="0" sqref="D149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217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1</v>
      </c>
      <c r="C44" s="45"/>
      <c r="D44" s="55" t="n">
        <f aca="false">A44+B44</f>
        <v>2</v>
      </c>
      <c r="E44" s="55"/>
      <c r="F44" s="171"/>
      <c r="G44" s="171" t="s">
        <v>332</v>
      </c>
      <c r="H44" s="226" t="n">
        <f aca="false">((A41*(B35-1))+D32)/B35</f>
        <v>50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51" t="s">
        <v>361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 t="n">
        <f aca="false">(A41*(B58+B57))</f>
        <v>600</v>
      </c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551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9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3</v>
      </c>
      <c r="C58" s="203" t="s">
        <v>362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/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</f>
        <v>10723.95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6814.79427188382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79" t="n">
        <f aca="false">IF(B99=Z102,(((H44*B35)+(H44*B35)*(B105/100))/(B58)),(((H44*B35)+(H44*B35)*(B105/100))/(B57+B58)))</f>
        <v>65</v>
      </c>
      <c r="C89" s="203" t="s">
        <v>76</v>
      </c>
      <c r="D89" s="203"/>
      <c r="E89" s="204"/>
      <c r="F89" s="171"/>
      <c r="G89" s="268" t="s">
        <v>67</v>
      </c>
      <c r="H89" s="269" t="n">
        <f aca="false">(A41+(A41*H105))*1.2</f>
        <v>72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567.899522656985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632.899522656985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1243.69258941778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27</v>
      </c>
      <c r="B105" s="110" t="n">
        <v>30</v>
      </c>
      <c r="C105" s="110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27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567.899522656985</v>
      </c>
      <c r="B128" s="120" t="n">
        <f aca="false">IF(A105="YES", B89, 0)</f>
        <v>65</v>
      </c>
      <c r="C128" s="191"/>
      <c r="D128" s="120" t="n">
        <f aca="false">B91</f>
        <v>632.899522656985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0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72</v>
      </c>
      <c r="I130" s="286"/>
      <c r="J130" s="134" t="n">
        <f aca="false">H91</f>
        <v>1243.69258941778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0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5111.09570391287</v>
      </c>
      <c r="C131" s="13"/>
      <c r="D131" s="136" t="n">
        <f aca="false">IF(A105="YES", B89*B57, 0)</f>
        <v>585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72</v>
      </c>
      <c r="I133" s="224"/>
      <c r="J133" s="140" t="n">
        <f aca="false">H91*H57</f>
        <v>1243.69258941778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5696.09570391287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567.899522656985</v>
      </c>
      <c r="B137" s="136" t="n">
        <f aca="false">IF(A105="YES", B89, 0)</f>
        <v>65</v>
      </c>
      <c r="C137" s="13"/>
      <c r="D137" s="136" t="n">
        <f aca="false">B91</f>
        <v>632.899522656985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7.2</v>
      </c>
      <c r="H142" s="164" t="n">
        <f aca="false">G102-100</f>
        <v>139.988</v>
      </c>
      <c r="I142" s="164"/>
      <c r="J142" s="164" t="n">
        <f aca="false">(H139+J139+G142+H142)-H145</f>
        <v>1516.613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0)*0.001</f>
        <v>18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696.84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1243.69258941778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632.899522656985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567.899522656985</v>
      </c>
      <c r="B171" s="160" t="n">
        <f aca="false">IF(A105="YES", B89, 0)</f>
        <v>65</v>
      </c>
      <c r="C171" s="192"/>
      <c r="D171" s="160" t="n">
        <f aca="false">B91</f>
        <v>632.899522656985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5111.09570391287</v>
      </c>
      <c r="C174" s="31"/>
      <c r="D174" s="164" t="n">
        <f aca="false">IF(A105="YES", B89*B57, 0)</f>
        <v>585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5696.09570391287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567.899522656985</v>
      </c>
      <c r="B180" s="164" t="n">
        <f aca="false">IF(A105="YES", B89, 0)</f>
        <v>65</v>
      </c>
      <c r="C180" s="31"/>
      <c r="D180" s="164" t="n">
        <f aca="false">B91</f>
        <v>632.899522656985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0)*0.001</f>
        <v>18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696.84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279.99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3753.09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3753.09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180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3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3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3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314" t="s">
        <v>216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288.924242424242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288.924242424242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288.924242424242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</f>
        <v>61.875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1701.76041555755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61.875</v>
      </c>
      <c r="C176" s="392"/>
      <c r="D176" s="392"/>
      <c r="E176" s="133" t="n">
        <f aca="false">B105</f>
        <v>1701.76041555755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1701.76041555755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0" activeCellId="0" sqref="J10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 t="s">
        <v>76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 t="s">
        <v>76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 t="s">
        <v>76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21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B62+(B62*0.25*((H29/12)-1))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46" t="n">
        <v>10000</v>
      </c>
      <c r="D64" s="201" t="n">
        <f aca="false">B64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1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48" t="s">
        <v>200</v>
      </c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49" t="s">
        <v>200</v>
      </c>
      <c r="D67" s="250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51"/>
      <c r="D68" s="201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57" t="n">
        <f aca="false">B73+B71</f>
        <v>380</v>
      </c>
      <c r="E73" s="204" t="s">
        <v>208</v>
      </c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28" t="s">
        <v>101</v>
      </c>
      <c r="B77" s="264" t="n">
        <f aca="false">B102/(1-0.1)</f>
        <v>0</v>
      </c>
      <c r="C77" s="265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65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65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65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65"/>
      <c r="D81" s="270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65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65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65"/>
      <c r="D84" s="265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41166.4094575303</v>
      </c>
      <c r="C85" s="265"/>
      <c r="D85" s="265"/>
      <c r="E85" s="247" t="n">
        <f aca="false">B85/(B58+B57)</f>
        <v>1143.51137382028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(((B83*H29)+B81)/(1-B70))*B70</f>
        <v>348.727147482104</v>
      </c>
      <c r="C86" s="265" t="s">
        <v>211</v>
      </c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41515.1366050124</v>
      </c>
      <c r="C87" s="265"/>
      <c r="D87" s="273"/>
      <c r="E87" s="247" t="n">
        <f aca="false">E86+E85</f>
        <v>1153.19823902812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65"/>
      <c r="D88" s="203"/>
      <c r="E88" s="247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(I32+(I32*B105))/(B58), (I32+(I32*B105))/(B57+B58))</f>
        <v>37.1944444444444</v>
      </c>
      <c r="C89" s="265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1153.19823902812</v>
      </c>
      <c r="C90" s="265"/>
      <c r="D90" s="203"/>
      <c r="E90" s="276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1190.39268347257</v>
      </c>
      <c r="C91" s="265"/>
      <c r="D91" s="279"/>
      <c r="E91" s="280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81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 t="s">
        <v>243</v>
      </c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82"/>
      <c r="C97" s="282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244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 t="s">
        <v>28</v>
      </c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IF(B110="YES",((E118*1.2)+E117)-E114,((E118*1.2)+E117))</f>
        <v>1239.988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1153.19823902812</v>
      </c>
      <c r="B128" s="120" t="n">
        <f aca="false">IF(A105="YES", B89, 0)</f>
        <v>37.1944444444444</v>
      </c>
      <c r="C128" s="125"/>
      <c r="D128" s="120" t="n">
        <f aca="false">B91</f>
        <v>1190.39268347257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10378.7841512531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10713.5341512531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1153.19823902812</v>
      </c>
      <c r="B137" s="136" t="n">
        <f aca="false">IF(A105="YES", B89, 0)</f>
        <v>37.1944444444444</v>
      </c>
      <c r="C137" s="13"/>
      <c r="D137" s="136" t="n">
        <f aca="false">B91</f>
        <v>1190.39268347257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1190.39268347257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217" t="s">
        <v>245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1153.19823902812</v>
      </c>
      <c r="B177" s="160" t="n">
        <f aca="false">IF(A105="YES", B89, 0)</f>
        <v>37.1944444444444</v>
      </c>
      <c r="C177" s="162"/>
      <c r="D177" s="160" t="n">
        <f aca="false">B91</f>
        <v>1190.39268347257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10378.7841512531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10713.5341512531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1153.19823902812</v>
      </c>
      <c r="B186" s="164" t="n">
        <f aca="false">IF(A105="YES", B89, 0)</f>
        <v>37.1944444444444</v>
      </c>
      <c r="C186" s="31"/>
      <c r="D186" s="164" t="n">
        <f aca="false">B91</f>
        <v>1190.39268347257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(B77-(B77*(E219*100)))*0.1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287" customFormat="tru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3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3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3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314" t="n">
        <v>0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238.924242424242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238.924242424242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238.924242424242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A34)*A117))/(B68)*1.2</f>
        <v>0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1639.88541555755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0</v>
      </c>
      <c r="C176" s="392"/>
      <c r="D176" s="392"/>
      <c r="E176" s="133" t="n">
        <f aca="false">B105</f>
        <v>1639.88541555755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1639.88541555755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171" activeCellId="0" sqref="B171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21.15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1661.03541555755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21.15</v>
      </c>
      <c r="C167" s="439"/>
      <c r="D167" s="439"/>
      <c r="E167" s="286" t="n">
        <f aca="false">B96</f>
        <v>1661.03541555755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str">
        <f aca="false">H29</f>
        <v>33</v>
      </c>
      <c r="B170" s="396" t="str">
        <f aca="false">H30</f>
        <v>5000</v>
      </c>
      <c r="C170" s="440"/>
      <c r="D170" s="308"/>
      <c r="E170" s="63" t="n">
        <f aca="false">IF(A111="YES",A40,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-5048.67070215851</v>
      </c>
      <c r="B182" s="164" t="str">
        <f aca="false">B114</f>
        <v>199.99</v>
      </c>
      <c r="C182" s="164"/>
      <c r="D182" s="308"/>
      <c r="E182" s="164" t="n">
        <f aca="false">E179+A182+B182+A185</f>
        <v>52686.3232978415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119.843758333333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66.6583333333334</v>
      </c>
      <c r="B191" s="164" t="n">
        <f aca="false">B188+E188+A191</f>
        <v>186.502091666667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str">
        <f aca="false">H30</f>
        <v>5000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str">
        <f aca="false">H29</f>
        <v>33</v>
      </c>
      <c r="B197" s="71" t="n">
        <f aca="false">B96</f>
        <v>1661.03541555755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str">
        <f aca="false">A197</f>
        <v>33</v>
      </c>
      <c r="C209" s="439"/>
      <c r="D209" s="439"/>
      <c r="E209" s="439" t="str">
        <f aca="false">B196</f>
        <v>5000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1639.88541555755</v>
      </c>
      <c r="B212" s="286" t="n">
        <f aca="false">B167</f>
        <v>21.15</v>
      </c>
      <c r="C212" s="439"/>
      <c r="D212" s="439"/>
      <c r="E212" s="286" t="n">
        <f aca="false">E167</f>
        <v>1661.03541555755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-5048.67070215851</v>
      </c>
      <c r="B224" s="164" t="str">
        <f aca="false">B182</f>
        <v>199.99</v>
      </c>
      <c r="C224" s="164"/>
      <c r="D224" s="421"/>
      <c r="E224" s="164" t="n">
        <f aca="false">E182</f>
        <v>52686.3232978415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199.99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1639.88541555755</v>
      </c>
      <c r="B230" s="164" t="n">
        <f aca="false">B167</f>
        <v>21.15</v>
      </c>
      <c r="C230" s="441"/>
      <c r="D230" s="441"/>
      <c r="E230" s="164" t="n">
        <f aca="false">E167</f>
        <v>1661.03541555755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0</v>
      </c>
      <c r="B233" s="164" t="n">
        <f aca="false">E185</f>
        <v>10</v>
      </c>
      <c r="C233" s="402"/>
      <c r="D233" s="402"/>
      <c r="E233" s="164" t="n">
        <f aca="false">J18*0.000006*100*1.2</f>
        <v>41.202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0)*100*1.2</f>
        <v>0</v>
      </c>
      <c r="B236" s="164" t="n">
        <f aca="false">E233+A236</f>
        <v>41.202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66.6583333333334</v>
      </c>
      <c r="B243" s="164" t="n">
        <f aca="false">B240+E240+A243+A240</f>
        <v>-622.859156666667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184" colorId="64" zoomScale="75" zoomScaleNormal="75" zoomScalePageLayoutView="100" workbookViewId="0">
      <selection pane="topLeft" activeCell="B191" activeCellId="0" sqref="B191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17.625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1657.51041555755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17.625</v>
      </c>
      <c r="C167" s="439"/>
      <c r="D167" s="439"/>
      <c r="E167" s="286" t="n">
        <f aca="false">B96</f>
        <v>1657.51041555755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str">
        <f aca="false">H29</f>
        <v>33</v>
      </c>
      <c r="B170" s="396" t="str">
        <f aca="false">H30</f>
        <v>5000</v>
      </c>
      <c r="C170" s="440"/>
      <c r="D170" s="308"/>
      <c r="E170" s="63" t="str">
        <f aca="false">IF(A111="YES",A40,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119.843758333333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219.833758333333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str">
        <f aca="false">H30</f>
        <v>5000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str">
        <f aca="false">H29</f>
        <v>33</v>
      </c>
      <c r="B197" s="71" t="n">
        <f aca="false">B96</f>
        <v>1657.51041555755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str">
        <f aca="false">A197</f>
        <v>33</v>
      </c>
      <c r="C209" s="439"/>
      <c r="D209" s="439"/>
      <c r="E209" s="439" t="str">
        <f aca="false">B196</f>
        <v>5000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1639.88541555755</v>
      </c>
      <c r="B212" s="286" t="n">
        <f aca="false">B167</f>
        <v>17.625</v>
      </c>
      <c r="C212" s="439"/>
      <c r="D212" s="439"/>
      <c r="E212" s="286" t="n">
        <f aca="false">E167</f>
        <v>1657.51041555755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1639.88541555755</v>
      </c>
      <c r="B230" s="164" t="n">
        <f aca="false">B167</f>
        <v>17.625</v>
      </c>
      <c r="C230" s="441"/>
      <c r="D230" s="441"/>
      <c r="E230" s="164" t="n">
        <f aca="false">E167</f>
        <v>1657.51041555755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J18*0.000006*100</f>
        <v>34.335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</f>
        <v>0</v>
      </c>
      <c r="B236" s="164" t="n">
        <f aca="false">E233+A236</f>
        <v>34.335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-589.52749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B240" activeCellId="0" sqref="B240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20.5090909090909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1769.93333287614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343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1749.42424196705</v>
      </c>
      <c r="B167" s="286" t="n">
        <f aca="false">B94</f>
        <v>20.5090909090909</v>
      </c>
      <c r="C167" s="439"/>
      <c r="D167" s="439"/>
      <c r="E167" s="286" t="n">
        <f aca="false">B96</f>
        <v>1769.93333287614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J18*0.000002, 0)*100 *1.2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B182/1.2-100</f>
        <v>66.6583333333334</v>
      </c>
      <c r="B191" s="164" t="n">
        <f aca="false">B188+E188+A191</f>
        <v>210.470843333333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1769.93333287614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0</v>
      </c>
      <c r="C209" s="439"/>
      <c r="D209" s="439"/>
      <c r="E209" s="439" t="n">
        <f aca="false">B196</f>
        <v>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1749.42424196705</v>
      </c>
      <c r="B212" s="286" t="n">
        <f aca="false">B167</f>
        <v>20.5090909090909</v>
      </c>
      <c r="C212" s="439"/>
      <c r="D212" s="439"/>
      <c r="E212" s="286" t="n">
        <f aca="false">E167</f>
        <v>1769.93333287614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199.99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1749.42424196705</v>
      </c>
      <c r="B230" s="164" t="n">
        <f aca="false">B167</f>
        <v>20.5090909090909</v>
      </c>
      <c r="C230" s="441"/>
      <c r="D230" s="441"/>
      <c r="E230" s="164" t="n">
        <f aca="false">E167</f>
        <v>1769.93333287614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66.6583333333334</v>
      </c>
      <c r="B243" s="164" t="n">
        <f aca="false">B240+E240+A243+A240</f>
        <v>-622.859156666667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5.28</v>
      </c>
      <c r="E32" s="407"/>
      <c r="F32" s="171"/>
      <c r="G32" s="408" t="s">
        <v>319</v>
      </c>
      <c r="H32" s="406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345</v>
      </c>
      <c r="B41" s="58" t="n">
        <f aca="false">IF(B38="YES", D38+A41, D38)</f>
        <v>505.28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506.28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6.864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574.763522656985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32" activeCellId="0" sqref="B3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44959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750.995946282103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2023-02-01T14:57:13Z</dcterms:modified>
  <cp:revision>461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