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ersonalContractPurchase" sheetId="1" state="visible" r:id="rId2"/>
    <sheet name="ContractPurchase" sheetId="2" state="visible" r:id="rId3"/>
    <sheet name="HirePurchaseRegulated" sheetId="3" state="visible" r:id="rId4"/>
    <sheet name="Formula1-FL" sheetId="4" state="visible" r:id="rId5"/>
    <sheet name="Formula1-PCH" sheetId="5" state="visible" r:id="rId6"/>
    <sheet name="Formula1-BCH" sheetId="6" state="visible" r:id="rId7"/>
    <sheet name="FL (Formula 2) - BCH, PCH, FL" sheetId="7" state="visible" r:id="rId8"/>
    <sheet name="BCH (Formula 3) - BCH, PCH" sheetId="8" state="visible" r:id="rId9"/>
    <sheet name="HirePurchaseNonRegulated" sheetId="9" state="visible" r:id="rId10"/>
    <sheet name="Sheet6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<sst xmlns="http://schemas.openxmlformats.org/spreadsheetml/2006/main" count="4476" uniqueCount="280">
  <si>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</si>
  <si>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</si>
  <si>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</si>
  <si>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</si>
  <si>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</si>
  <si>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</si>
  <si>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</si>
  <si>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</si>
  <si>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</si>
  <si>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</si>
  <si>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</si>
  <si>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</si>
  <si>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</si>
  <si>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</si>
  <si>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</si>
  <si>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</si>
  <si>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</si>
  <si>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</si>
  <si>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</si>
  <si>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</si>
  <si>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</si>
  <si>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</si>
  <si>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</si>
  <si>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</si>
  <si>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</si>
  <si>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</si>
  <si>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</si>
  <si>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</si>
  <si>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</si>
  <si>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</si>
  <si>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</si>
  <si>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</si>
  <si>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</si>
  <si>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Own book customer quote</t>
  </si>
  <si>
    <t xml:space="preserve">Advance payment in Value</t>
  </si>
  <si>
    <t xml:space="preserve">Duration</t>
  </si>
  <si>
    <t xml:space="preserve">Target rental</t>
  </si>
  <si>
    <t xml:space="preserve">0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</si>
  <si>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</si>
  <si>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</si>
  <si>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</si>
  <si>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</si>
  <si>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</si>
  <si>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</si>
  <si>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</si>
  <si>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</si>
  <si>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</si>
  <si>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</si>
  <si>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</si>
  <si>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</si>
  <si>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</si>
  <si>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</si>
  <si>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</si>
  <si>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</si>
  <si>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</si>
  <si>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</si>
  <si>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</si>
  <si>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</si>
  <si>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</si>
  <si>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</si>
  <si>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</si>
  <si>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</si>
  <si>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</si>
  <si>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</si>
  <si>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</si>
  <si>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</si>
  <si>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</si>
  <si>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</si>
  <si>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</si>
  <si>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</si>
  <si>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</si>
  <si>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</si>
  <si>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</si>
  <si>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</si>
  <si>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</si>
  <si>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</si>
  <si>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</si>
  <si>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</si>
  <si>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</si>
  <si>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</si>
  <si>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</si>
  <si>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</si>
  <si>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</si>
  <si>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</si>
  <si>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</si>
  <si>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</si>
  <si>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</si>
  <si>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</si>
  <si>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</si>
  <si>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</si>
  <si>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</si>
  <si>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</si>
  <si>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</si>
  <si>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</si>
  <si>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</si>
  <si>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</si>
  <si>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</si>
  <si>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</si>
  <si>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</si>
  <si>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</si>
  <si>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</si>
  <si>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</si>
  <si>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</si>
  <si>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Personal contract purchase</t>
  </si>
  <si>
    <t xml:space="preserve">Hire purchase - Regulated</t>
  </si>
  <si>
    <t xml:space="preserve">Contract purchase</t>
  </si>
  <si>
    <t xml:space="preserve">Contract type</t>
  </si>
  <si>
    <t xml:space="preserve">Hire purchase - NON regulated</t>
  </si>
  <si>
    <t xml:space="preserve"> Monthly in advance </t>
  </si>
  <si>
    <t xml:space="preserve">Maintenance margin %</t>
  </si>
  <si>
    <t xml:space="preserve">Credit type</t>
  </si>
  <si>
    <t xml:space="preserve">APR</t>
  </si>
  <si>
    <t xml:space="preserve">A1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</si>
  <si>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</si>
  <si>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</si>
  <si>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</si>
  <si>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</si>
  <si>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Order deposit</t>
  </si>
  <si>
    <t xml:space="preserve">Finance deposit</t>
  </si>
  <si>
    <t xml:space="preserve">Total deposit</t>
  </si>
  <si>
    <t xml:space="preserve">Document fee (Ex. VAT)</t>
  </si>
  <si>
    <t xml:space="preserve">Initial payment</t>
  </si>
  <si>
    <t xml:space="preserve">239.99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</si>
  <si>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</si>
  <si>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</si>
  <si>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</si>
  <si>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</si>
  <si>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</si>
  <si>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</si>
  <si>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</si>
  <si>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</si>
  <si>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</si>
  <si>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</si>
  <si>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</si>
  <si>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</si>
  <si>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</si>
  <si>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</si>
  <si>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</si>
  <si>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</si>
  <si>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Deposit required</t>
  </si>
  <si>
    <t xml:space="preserve">Balance to finanace</t>
  </si>
  <si>
    <t xml:space="preserve">Document fee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</si>
  <si>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</si>
  <si>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</si>
  <si>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</si>
  <si>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</si>
  <si>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</si>
  <si>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</si>
  <si>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</si>
  <si>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</si>
  <si>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</si>
  <si>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</si>
  <si>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</si>
  <si>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</si>
  <si>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</si>
  <si>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</si>
  <si>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</si>
  <si>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</si>
  <si>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</si>
  <si>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</si>
  <si>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</si>
  <si>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</si>
  <si>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</si>
  <si>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Limited Credit</t>
  </si>
  <si>
    <t xml:space="preserve">-1000.00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</si>
  <si>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</si>
  <si>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</si>
  <si>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</si>
  <si>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</si>
  <si>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Minimum Margin (%)</t>
  </si>
  <si>
    <t xml:space="preserve">Margin Required (%)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</si>
  <si>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</si>
  <si>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</si>
  <si>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</si>
  <si>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</si>
  <si>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</si>
  <si>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Customer Quote - Finance Lease</t>
  </si>
  <si>
    <t xml:space="preserve">Customer Quote - Personal Contract Hire</t>
  </si>
  <si>
    <t xml:space="preserve">Order deposit (No VAT)</t>
  </si>
  <si>
    <t xml:space="preserve"> Spread rentals initial payment </t>
  </si>
  <si>
    <t xml:space="preserve">Business Contract Hire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</si>
  <si>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</si>
  <si>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</si>
  <si>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</si>
  <si>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</si>
  <si>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</si>
  <si>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</si>
  <si>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</si>
  <si>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</si>
  <si>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 Terminal Pause with 6 down 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</si>
  <si>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</si>
  <si>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</si>
  <si>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</si>
  <si>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</si>
  <si>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</si>
  <si>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</si>
  <si>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</si>
  <si>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</si>
  <si>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</si>
  <si>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</si>
  <si>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</si>
  <si>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</si>
  <si>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</si>
  <si>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</si>
  <si>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</si>
  <si>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</si>
  <si>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</si>
  <si>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</si>
  <si>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</si>
  <si>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</si>
  <si>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</si>
  <si>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</si>
  <si>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</si>
  <si>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</si>
  <si>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</si>
  <si>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</si>
  <si>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</si>
  <si>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</si>
  <si>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</si>
  <si>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</si>
  <si>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</si>
  <si>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</si>
  <si>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</si>
  <si>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</si>
  <si>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 Terminal pause with 9 down </t>
  </si>
  <si>
    <t xml:space="preserve">200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</si>
  <si>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</si>
  <si>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</si>
  <si>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</si>
  <si>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</si>
  <si>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</si>
  <si>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</si>
  <si>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</si>
  <si>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</si>
  <si>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</si>
  <si>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</si>
  <si>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</si>
  <si>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</si>
  <si>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</si>
  <si>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</si>
  <si>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</si>
  <si>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</si>
  <si>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</si>
  <si>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</si>
  <si>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</si>
  <si>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</si>
  <si>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</si>
  <si>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</si>
  <si>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</si>
  <si>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</si>
  <si>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</si>
  <si>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</si>
  <si>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</si>
  <si>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</si>
  <si>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</si>
  <si>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</si>
  <si>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 xml:space="preserve">Hire purchase - NON Regulated</t>
  </si>
  <si>
    <t xml:space="preserve">199.99</t>
  </si>
  <si>
    <t xml:space="preserve">Audi </t>
  </si>
  <si>
    <t xml:space="preserve">A1</t>
  </si>
  <si>
    <t xml:space="preserve">with maintenance</t>
  </si>
  <si>
    <t xml:space="preserve">without maintenance</t>
  </si>
  <si>
    <t xml:space="preserve">HPNR</t>
  </si>
  <si>
    <t xml:space="preserve">BCH</t>
  </si>
  <si>
    <t xml:space="preserve">monthly Finance Rental and maint Rental values are not matching</t>
  </si>
  <si>
    <t xml:space="preserve">Matching</t>
  </si>
  <si>
    <t xml:space="preserve">PCH</t>
  </si>
  <si>
    <t xml:space="preserve">FL</t>
  </si>
  <si>
    <t xml:space="preserve">Maint. Rental values are not matching</t>
  </si>
  <si>
    <t xml:space="preserve">HPR</t>
  </si>
  <si>
    <t xml:space="preserve">CP</t>
  </si>
  <si>
    <t xml:space="preserve">PCP</t>
  </si>
  <si>
    <t>NO</t>
  </si>
  <si>
    <t>200</t>
  </si>
  <si>
    <t xml:space="preserve"> Terminal pause with 6 down </t>
  </si>
  <si>
    <t>YES</t>
  </si>
  <si>
    <t>0</t>
  </si>
  <si>
    <t>100</t>
  </si>
  <si>
    <t>A1 Credit</t>
  </si>
  <si>
    <t>Limited Credit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</si>
</sst>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%"/>
    <numFmt numFmtId="167" formatCode="#,##0.00"/>
    <numFmt numFmtId="168" formatCode="General"/>
    <numFmt numFmtId="169" formatCode="0.00%"/>
    <numFmt numFmtId="170" formatCode="#,##0.000000000"/>
    <numFmt numFmtId="171" formatCode="0.00"/>
    <numFmt numFmtId="172" formatCode="#,##0.0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36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sz val="11"/>
      <color rgb="FF7E3794"/>
      <name val="Inconsolata"/>
      <family val="0"/>
      <charset val="1"/>
    </font>
    <font>
      <sz val="8"/>
      <color rgb="FF000000"/>
      <name val="Arial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5A5A5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9D18E"/>
        <bgColor rgb="FFA8D08D"/>
      </patternFill>
    </fill>
    <fill>
      <patternFill patternType="solid">
        <fgColor rgb="FFA5A5A5"/>
        <bgColor rgb="FFA6A6A6"/>
      </patternFill>
    </fill>
    <fill>
      <patternFill patternType="solid">
        <fgColor rgb="FFA8D08D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00A933"/>
        <bgColor rgb="FF008000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5" borderId="1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A8D08D"/>
      <rgbColor rgb="FF3366FF"/>
      <rgbColor rgb="FF33CCCC"/>
      <rgbColor rgb="FF70AD47"/>
      <rgbColor rgb="FFFFC000"/>
      <rgbColor rgb="FFFF9900"/>
      <rgbColor rgb="FFFF6600"/>
      <rgbColor rgb="FF666699"/>
      <rgbColor rgb="FFA5A5A5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555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275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276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38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39</v>
      </c>
      <c r="K31" s="47" t="n">
        <v>27500.0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1030.0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277</v>
      </c>
      <c r="B45" s="14"/>
      <c r="C45" s="67" t="s">
        <v>277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10.0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0.0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9773.25069764638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58825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21076.7652577131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30.7264493562845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37748.2347422869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1228.52576633838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42998.4018218433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42998.4018218433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n">
        <f aca="false">IF(B26="YES",((E40/B85)*(1+A108)*1.2),"0")</f>
        <v>42.3771428571428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1228.52576633838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1270.90290919552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1443.51455760232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103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275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278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275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400</v>
      </c>
      <c r="B114" s="58" t="s">
        <v>122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0.0</v>
      </c>
      <c r="D122" s="116" t="n">
        <f aca="false">D4</f>
        <v>0</v>
      </c>
      <c r="E122" s="10" t="n">
        <f aca="false">D122</f>
        <v>0.0</v>
      </c>
      <c r="F122" s="116" t="n">
        <f aca="false">F4</f>
        <v>0</v>
      </c>
      <c r="G122" s="117" t="n">
        <f aca="false">F122</f>
        <v>0.0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0.0</v>
      </c>
      <c r="D123" s="118" t="n">
        <f aca="false">D5</f>
        <v>0</v>
      </c>
      <c r="E123" s="114" t="n">
        <f aca="false">D123</f>
        <v>0.0</v>
      </c>
      <c r="F123" s="118" t="n">
        <f aca="false">F5</f>
        <v>0</v>
      </c>
      <c r="G123" s="114" t="n">
        <f aca="false">F123</f>
        <v>0.0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400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58825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1228.52576633838</v>
      </c>
      <c r="B167" s="150" t="n">
        <f aca="false">B94</f>
        <v>42.3771428571428</v>
      </c>
      <c r="C167" s="148"/>
      <c r="D167" s="148"/>
      <c r="E167" s="150" t="n">
        <f aca="false">B96</f>
        <v>1270.90290919552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1408.20027188803</v>
      </c>
      <c r="T167" s="150" t="n">
        <f aca="false">T94</f>
        <v>35.3142857142857</v>
      </c>
      <c r="U167" s="148"/>
      <c r="V167" s="148"/>
      <c r="W167" s="150" t="n">
        <f aca="false">T96</f>
        <v>1443.51455760232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200</v>
      </c>
      <c r="C176" s="23"/>
      <c r="D176" s="31"/>
      <c r="E176" s="23" t="n">
        <f aca="false">E111</f>
        <v>200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400</v>
      </c>
      <c r="B179" s="23" t="n">
        <f aca="false">G154</f>
        <v>500</v>
      </c>
      <c r="C179" s="23"/>
      <c r="D179" s="31"/>
      <c r="E179" s="23" t="n">
        <f aca="false">A176-A179-B179</f>
        <v>58825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11673.4018218433</v>
      </c>
      <c r="B182" s="23" t="str">
        <f aca="false">B114</f>
        <v>239.99</v>
      </c>
      <c r="C182" s="23"/>
      <c r="D182" s="31"/>
      <c r="E182" s="23" t="n">
        <f aca="false">E179+A182+B182+A185</f>
        <v>70748.3918218433</v>
      </c>
      <c r="F182" s="31"/>
      <c r="G182" s="31"/>
      <c r="H182" s="15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5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5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639.99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(G158*B67)/1.2</f>
        <v>367.65625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539.99</v>
      </c>
      <c r="B191" s="23" t="n">
        <f aca="false">B188+E188+A191</f>
        <v>928.24625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1615.46031241667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str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1270.90290919552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1443.51455760232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7" activeCellId="0" sqref="D7"/>
    </sheetView>
  </sheetViews>
  <sheetFormatPr defaultColWidth="10.25" defaultRowHeight="12.8" zeroHeight="false" outlineLevelRow="0" outlineLevelCol="0"/>
  <cols>
    <col min="3" max="3" customWidth="true" hidden="false" style="0" width="15.35" collapsed="false" outlineLevel="0"/>
  </cols>
  <sheetData>
    <row r="1" customFormat="false" ht="12.8" hidden="false" customHeight="false" outlineLevel="0" collapsed="false">
      <c r="A1" s="0" t="s">
        <v>258</v>
      </c>
      <c r="B1" s="0" t="s">
        <v>259</v>
      </c>
    </row>
    <row r="2" customFormat="false" ht="13.8" hidden="false" customHeight="false" outlineLevel="0" collapsed="false">
      <c r="C2" s="0" t="s">
        <v>260</v>
      </c>
      <c r="D2" s="0" t="s">
        <v>261</v>
      </c>
    </row>
    <row r="3" customFormat="false" ht="28.6" hidden="false" customHeight="false" outlineLevel="0" collapsed="false">
      <c r="A3" s="305" t="s">
        <v>262</v>
      </c>
      <c r="B3" s="0" t="s">
        <v>263</v>
      </c>
      <c r="C3" s="306" t="s">
        <v>264</v>
      </c>
      <c r="D3" s="307" t="s">
        <v>265</v>
      </c>
    </row>
    <row r="4" customFormat="false" ht="13.8" hidden="false" customHeight="false" outlineLevel="0" collapsed="false">
      <c r="A4" s="305"/>
      <c r="B4" s="0" t="s">
        <v>266</v>
      </c>
      <c r="C4" s="307" t="s">
        <v>265</v>
      </c>
      <c r="D4" s="307" t="s">
        <v>265</v>
      </c>
    </row>
    <row r="5" customFormat="false" ht="19.45" hidden="false" customHeight="false" outlineLevel="0" collapsed="false">
      <c r="A5" s="305"/>
      <c r="B5" s="0" t="s">
        <v>267</v>
      </c>
      <c r="C5" s="306" t="s">
        <v>268</v>
      </c>
      <c r="D5" s="307" t="s">
        <v>265</v>
      </c>
    </row>
    <row r="6" customFormat="false" ht="13.8" hidden="false" customHeight="false" outlineLevel="0" collapsed="false">
      <c r="A6" s="305"/>
      <c r="B6" s="0" t="s">
        <v>262</v>
      </c>
    </row>
    <row r="7" customFormat="false" ht="13.8" hidden="false" customHeight="false" outlineLevel="0" collapsed="false">
      <c r="A7" s="305"/>
      <c r="B7" s="0" t="s">
        <v>269</v>
      </c>
    </row>
    <row r="8" customFormat="false" ht="13.8" hidden="false" customHeight="false" outlineLevel="0" collapsed="false">
      <c r="A8" s="305"/>
      <c r="B8" s="0" t="s">
        <v>270</v>
      </c>
    </row>
    <row r="9" customFormat="false" ht="13.8" hidden="false" customHeight="false" outlineLevel="0" collapsed="false">
      <c r="A9" s="305"/>
      <c r="B9" s="0" t="s">
        <v>271</v>
      </c>
    </row>
  </sheetData>
  <mergeCells count="1">
    <mergeCell ref="A3:A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275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276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38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39</v>
      </c>
      <c r="K31" s="47" t="n">
        <v>27500.0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1030.0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922.920864561026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44866.9008605665</v>
      </c>
      <c r="N39" s="1" t="n">
        <f aca="false">K39-L39</f>
        <v>4010.59913943349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str">
        <f aca="false">IF(B26="YES", K42, "0.00")</f>
        <v>0.00</v>
      </c>
      <c r="C40" s="58"/>
      <c r="D40" s="58"/>
      <c r="E40" s="59" t="n">
        <f aca="false">K32</f>
        <v>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4010.59913943349</v>
      </c>
      <c r="N40" s="1" t="n">
        <f aca="false">N38-N39</f>
        <v>-1098.91913943349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0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277</v>
      </c>
      <c r="B45" s="14"/>
      <c r="C45" s="67" t="s">
        <v>277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800</v>
      </c>
      <c r="M47" s="1" t="n">
        <f aca="false">K47-L47</f>
        <v>122.920864561025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922.920864561026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922.920864561026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10.0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0.0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14243.0544834899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922.920864561026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922.920864561026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0.137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0.0114166666666667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18274.642159497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28.719487222345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38950.357840503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1356.23444593391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47468.2056076868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47468.2056076868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str">
        <f aca="false">IF(B26="YES",((E40/B85)*(1+A108)),"0")</f>
        <v>0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0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0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0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1356.23444593391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1356.23444593391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1477.31306457009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1408.20027188803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927.687248290581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105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275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278</v>
      </c>
      <c r="C108" s="58"/>
      <c r="D108" s="58"/>
      <c r="E108" s="103" t="n">
        <f aca="false">B83</f>
        <v>0.137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275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164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0.0</v>
      </c>
      <c r="D122" s="116" t="n">
        <f aca="false">D4</f>
        <v>0</v>
      </c>
      <c r="E122" s="10" t="n">
        <f aca="false">D122</f>
        <v>0.0</v>
      </c>
      <c r="F122" s="116" t="n">
        <f aca="false">F4</f>
        <v>0</v>
      </c>
      <c r="G122" s="117" t="n">
        <f aca="false">F122</f>
        <v>0.0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0.0</v>
      </c>
      <c r="D123" s="118" t="n">
        <f aca="false">D5</f>
        <v>0</v>
      </c>
      <c r="E123" s="114" t="n">
        <f aca="false">D123</f>
        <v>0.0</v>
      </c>
      <c r="F123" s="118" t="n">
        <f aca="false">F5</f>
        <v>0</v>
      </c>
      <c r="G123" s="114" t="n">
        <f aca="false">F123</f>
        <v>0.0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-1000.00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1356.23444593391</v>
      </c>
      <c r="B167" s="150" t="str">
        <f aca="false">B94</f>
        <v>0</v>
      </c>
      <c r="C167" s="148"/>
      <c r="D167" s="148"/>
      <c r="E167" s="150" t="n">
        <f aca="false">B96</f>
        <v>1356.23444593391</v>
      </c>
      <c r="F167" s="31"/>
      <c r="G167" s="31"/>
      <c r="H167" s="12"/>
      <c r="J167" s="149" t="n">
        <f aca="false">K95</f>
        <v>1477.31306457009</v>
      </c>
      <c r="K167" s="150" t="n">
        <f aca="false">K94</f>
        <v>0</v>
      </c>
      <c r="L167" s="148"/>
      <c r="M167" s="148"/>
      <c r="N167" s="150" t="n">
        <f aca="false">K96</f>
        <v>1477.31306457009</v>
      </c>
      <c r="O167" s="31"/>
      <c r="P167" s="31"/>
      <c r="Q167" s="12"/>
      <c r="S167" s="149" t="n">
        <f aca="false">T95</f>
        <v>1408.20027188803</v>
      </c>
      <c r="T167" s="150" t="n">
        <f aca="false">T94</f>
        <v>0</v>
      </c>
      <c r="U167" s="148"/>
      <c r="V167" s="148"/>
      <c r="W167" s="150" t="n">
        <f aca="false">T96</f>
        <v>1408.20027188803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0</v>
      </c>
      <c r="AD167" s="148"/>
      <c r="AE167" s="148"/>
      <c r="AF167" s="150" t="n">
        <f aca="false">AC96</f>
        <v>927.687248290581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17743.2056076868</v>
      </c>
      <c r="B182" s="23" t="str">
        <f aca="false">B114</f>
        <v>-1000.00</v>
      </c>
      <c r="C182" s="23"/>
      <c r="D182" s="31"/>
      <c r="E182" s="23" t="n">
        <f aca="false">E179+A182+B182+A185</f>
        <v>73978.2056076868</v>
      </c>
      <c r="F182" s="31"/>
      <c r="G182" s="31"/>
      <c r="H182" s="15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5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5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1000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357.65625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0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0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900</v>
      </c>
      <c r="B191" s="23" t="n">
        <f aca="false">B188+E188+A191</f>
        <v>1257.65625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3493.4275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1594.86031241667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1518.89624166667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str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1356.23444593391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1477.31306457009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1408.20027188803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927.687248290581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8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272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276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38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39</v>
      </c>
      <c r="K31" s="47" t="n">
        <v>27500.0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155" t="s">
        <v>277</v>
      </c>
      <c r="B45" s="14"/>
      <c r="C45" s="67" t="s">
        <v>277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10.0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0.0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0.072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30372.5629972642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57225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1817.07754632746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65414.7916677886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65414.7916677886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n">
        <f aca="false">IF(B26="YES",((E40/B85)*(1+A108)*1.2),"0")</f>
        <v>41.2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1817.07754632746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1858.27754632746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1443.51455760232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104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272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279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275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122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0.0</v>
      </c>
      <c r="D122" s="116" t="n">
        <f aca="false">D4</f>
        <v>0</v>
      </c>
      <c r="E122" s="10" t="n">
        <f aca="false">D122</f>
        <v>0.0</v>
      </c>
      <c r="F122" s="116" t="n">
        <f aca="false">F4</f>
        <v>0</v>
      </c>
      <c r="G122" s="117" t="n">
        <f aca="false">F122</f>
        <v>0.0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0.0</v>
      </c>
      <c r="D123" s="118" t="n">
        <f aca="false">D5</f>
        <v>0</v>
      </c>
      <c r="E123" s="114" t="n">
        <f aca="false">D123</f>
        <v>0.0</v>
      </c>
      <c r="F123" s="118" t="n">
        <f aca="false">F5</f>
        <v>0</v>
      </c>
      <c r="G123" s="114" t="n">
        <f aca="false">F123</f>
        <v>0.0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1817.07754632746</v>
      </c>
      <c r="B167" s="150" t="n">
        <f aca="false">B94</f>
        <v>41.2</v>
      </c>
      <c r="C167" s="148"/>
      <c r="D167" s="148"/>
      <c r="E167" s="150" t="n">
        <f aca="false">B96</f>
        <v>1858.27754632746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1408.20027188803</v>
      </c>
      <c r="T167" s="150" t="n">
        <f aca="false">T94</f>
        <v>35.3142857142857</v>
      </c>
      <c r="U167" s="148"/>
      <c r="V167" s="148"/>
      <c r="W167" s="150" t="n">
        <f aca="false">T96</f>
        <v>1443.51455760232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6372.71412146116</v>
      </c>
      <c r="B182" s="23" t="str">
        <f aca="false">B114</f>
        <v>239.99</v>
      </c>
      <c r="C182" s="23"/>
      <c r="D182" s="31"/>
      <c r="E182" s="23" t="n">
        <f aca="false">E179+A182+B182+A185</f>
        <v>63847.7041214612</v>
      </c>
      <c r="F182" s="31"/>
      <c r="G182" s="31"/>
      <c r="H182" s="153"/>
      <c r="J182" s="22" t="n">
        <f aca="false">(J167*K59)+N185-N179-J185</f>
        <v>14050.9572599531</v>
      </c>
      <c r="K182" s="23" t="n">
        <f aca="false">K114</f>
        <v>239.99</v>
      </c>
      <c r="L182" s="23"/>
      <c r="M182" s="31"/>
      <c r="N182" s="23" t="n">
        <f aca="false">N179+J182+K182+J185</f>
        <v>51965.9472599531</v>
      </c>
      <c r="O182" s="31"/>
      <c r="P182" s="31"/>
      <c r="Q182" s="153"/>
      <c r="S182" s="22" t="n">
        <f aca="false">(S167*T59)+W185-W179-S185</f>
        <v>-10097.427973919</v>
      </c>
      <c r="T182" s="23" t="n">
        <f aca="false">T114</f>
        <v>199.99</v>
      </c>
      <c r="U182" s="23"/>
      <c r="V182" s="31"/>
      <c r="W182" s="23" t="n">
        <f aca="false">W179+S182+T182+S185</f>
        <v>49496.999516081</v>
      </c>
      <c r="X182" s="31"/>
      <c r="Y182" s="31"/>
      <c r="Z182" s="153"/>
      <c r="AB182" s="22" t="n">
        <f aca="false">(AB167*AC59)+AF185-AF179-AB185</f>
        <v>-12999.6953098297</v>
      </c>
      <c r="AC182" s="23" t="n">
        <f aca="false">AC114</f>
        <v>239.99</v>
      </c>
      <c r="AD182" s="23"/>
      <c r="AE182" s="31"/>
      <c r="AF182" s="23" t="n">
        <f aca="false">AF179+AB182+AC182+AB185</f>
        <v>32719.0436901703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2239.99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(G158*B67)/1.2</f>
        <v>357.65625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2139.99</v>
      </c>
      <c r="B191" s="23" t="n">
        <f aca="false">B188+E188+A191</f>
        <v>2518.24625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1615.46031241667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1858.27754632746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1443.51455760232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53" colorId="64" zoomScale="75" zoomScaleNormal="75" zoomScalePageLayoutView="100" workbookViewId="0">
      <selection pane="topLeft" activeCell="B75" activeCellId="0" sqref="B75"/>
    </sheetView>
  </sheetViews>
  <sheetFormatPr defaultColWidth="11.68359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0.0</v>
      </c>
      <c r="C4" s="54" t="n">
        <v>0.0</v>
      </c>
      <c r="D4" s="54" t="n">
        <v>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0.0</v>
      </c>
      <c r="C5" s="163" t="n">
        <v>0.0</v>
      </c>
      <c r="D5" s="163" t="n">
        <v>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272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276</v>
      </c>
      <c r="C30" s="146"/>
      <c r="D30" s="168"/>
      <c r="E30" s="169"/>
      <c r="F30" s="157"/>
      <c r="G30" s="187" t="s">
        <v>38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922.920864561026</v>
      </c>
      <c r="E33" s="169"/>
      <c r="F33" s="157"/>
      <c r="G33" s="188" t="s">
        <v>44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str">
        <f aca="false">IF(B26="YES", H42, "")</f>
        <v/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48877.5</v>
      </c>
      <c r="I39" s="202" t="n">
        <f aca="false">(I48*H46)+H44</f>
        <v>64443.3941780653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27500.0</v>
      </c>
      <c r="B40" s="58" t="str">
        <f aca="false">IF(B26="YES",H42,"0")</f>
        <v>0</v>
      </c>
      <c r="C40" s="58"/>
      <c r="D40" s="200" t="n">
        <f aca="false">I32</f>
        <v>0</v>
      </c>
      <c r="E40" s="169"/>
      <c r="F40" s="157"/>
      <c r="G40" s="157" t="s">
        <v>55</v>
      </c>
      <c r="H40" s="202" t="n">
        <f aca="false">(A40)/1.2</f>
        <v>22916.6666666667</v>
      </c>
      <c r="I40" s="202" t="n">
        <f aca="false">H39-I39</f>
        <v>-15565.8941780653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0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277</v>
      </c>
      <c r="B45" s="168"/>
      <c r="C45" s="210" t="s">
        <v>277</v>
      </c>
      <c r="D45" s="210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922.920864561026</v>
      </c>
      <c r="I48" s="202" t="n">
        <f aca="false">I49-H42</f>
        <v>1400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922.920864561026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1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35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6077.925</v>
      </c>
      <c r="C64" s="168"/>
      <c r="D64" s="65" t="n">
        <f aca="false">B64-A145</f>
        <v>6077.925</v>
      </c>
      <c r="E64" s="169"/>
      <c r="F64" s="157"/>
      <c r="G64" s="211" t="s">
        <v>74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74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168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(B61*B66)/1.2</f>
        <v>964.75</v>
      </c>
      <c r="C67" s="168"/>
      <c r="D67" s="65"/>
      <c r="E67" s="169"/>
      <c r="F67" s="157"/>
      <c r="G67" s="211" t="s">
        <v>77</v>
      </c>
      <c r="H67" s="121" t="n">
        <f aca="false">(H61*H66)/1.2</f>
        <v>964.75</v>
      </c>
      <c r="I67" s="168"/>
      <c r="J67" s="65"/>
      <c r="K67" s="169"/>
      <c r="L67" s="157"/>
      <c r="M67" s="211" t="s">
        <v>77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7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200.0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5.0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31" t="s">
        <v>171</v>
      </c>
      <c r="B74" s="232" t="n">
        <v>0.0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233" t="s">
        <v>172</v>
      </c>
      <c r="B75" s="234" t="n">
        <v>0.0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35" t="s">
        <v>173</v>
      </c>
      <c r="B76" s="236" t="n">
        <f aca="false">((B74+B75)/12)*(H29-11)</f>
        <v>62.5</v>
      </c>
      <c r="C76" s="168"/>
      <c r="D76" s="65" t="n">
        <f aca="false">B76</f>
        <v>62.5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0.0</v>
      </c>
      <c r="C77" s="168"/>
      <c r="D77" s="65" t="n">
        <f aca="false">B77</f>
        <v>0</v>
      </c>
      <c r="E77" s="169"/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200.0</v>
      </c>
      <c r="C79" s="168"/>
      <c r="D79" s="65" t="n">
        <f aca="false">B79</f>
        <v>200</v>
      </c>
      <c r="E79" s="169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200.0</v>
      </c>
      <c r="C80" s="168"/>
      <c r="D80" s="65" t="n">
        <f aca="false">B80</f>
        <v>200</v>
      </c>
      <c r="E80" s="169"/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6920.425</v>
      </c>
      <c r="C81" s="168"/>
      <c r="D81" s="168"/>
      <c r="E81" s="169"/>
      <c r="F81" s="157"/>
      <c r="G81" s="239" t="s">
        <v>86</v>
      </c>
      <c r="H81" s="240" t="n">
        <f aca="false">SUM(J64:J80)</f>
        <v>7143.675</v>
      </c>
      <c r="I81" s="168"/>
      <c r="J81" s="168"/>
      <c r="K81" s="169"/>
      <c r="L81" s="157"/>
      <c r="M81" s="239" t="s">
        <v>86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192.234027777778</v>
      </c>
      <c r="C82" s="168"/>
      <c r="D82" s="168"/>
      <c r="E82" s="169"/>
      <c r="F82" s="157"/>
      <c r="G82" s="161" t="s">
        <v>87</v>
      </c>
      <c r="H82" s="166" t="n">
        <f aca="false">H81/H29</f>
        <v>198.435416666667</v>
      </c>
      <c r="I82" s="168"/>
      <c r="J82" s="168"/>
      <c r="K82" s="169"/>
      <c r="L82" s="157"/>
      <c r="M82" s="161" t="s">
        <v>87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922.920864561026</v>
      </c>
      <c r="C83" s="168"/>
      <c r="D83" s="168"/>
      <c r="E83" s="169"/>
      <c r="F83" s="157"/>
      <c r="G83" s="241" t="s">
        <v>88</v>
      </c>
      <c r="H83" s="242" t="n">
        <f aca="false">H47</f>
        <v>922.920864561026</v>
      </c>
      <c r="I83" s="168"/>
      <c r="J83" s="168"/>
      <c r="K83" s="169"/>
      <c r="L83" s="157"/>
      <c r="M83" s="241" t="s">
        <v>88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</f>
        <v>40145.5761241969</v>
      </c>
      <c r="C85" s="168"/>
      <c r="D85" s="168"/>
      <c r="E85" s="169"/>
      <c r="F85" s="157"/>
      <c r="G85" s="204" t="s">
        <v>97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97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(B85/(1-B70))*B70</f>
        <v>340.079507304613</v>
      </c>
      <c r="C86" s="168"/>
      <c r="D86" s="168"/>
      <c r="E86" s="169"/>
      <c r="F86" s="157"/>
      <c r="G86" s="161" t="s">
        <v>98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98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IF(B110="YES",((B85+B86)-E114),(B85+B86))</f>
        <v>40485.6556315015</v>
      </c>
      <c r="C87" s="168"/>
      <c r="D87" s="168"/>
      <c r="E87" s="169"/>
      <c r="F87" s="157"/>
      <c r="G87" s="211" t="s">
        <v>99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(D40+(D40*B105))/(B58), (D40+(D40*B105))/(B57+B58))</f>
        <v>0</v>
      </c>
      <c r="C89" s="168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0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0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1124.60154531949</v>
      </c>
      <c r="C90" s="168"/>
      <c r="D90" s="168"/>
      <c r="E90" s="169"/>
      <c r="F90" s="157"/>
      <c r="G90" s="243" t="s">
        <v>101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1124.60154531949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1189.86736688544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984.491094073066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224</v>
      </c>
      <c r="C99" s="248"/>
      <c r="D99" s="58" t="n">
        <v>1000.0</v>
      </c>
      <c r="E99" s="58"/>
      <c r="F99" s="157"/>
      <c r="G99" s="185" t="s">
        <v>180</v>
      </c>
      <c r="H99" s="248" t="s">
        <v>181</v>
      </c>
      <c r="I99" s="248"/>
      <c r="J99" s="58" t="n">
        <v>0</v>
      </c>
      <c r="K99" s="58"/>
      <c r="L99" s="157"/>
      <c r="M99" s="185" t="s">
        <v>180</v>
      </c>
      <c r="N99" s="248" t="s">
        <v>181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182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181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272</v>
      </c>
      <c r="B105" s="249" t="n">
        <v>0.0</v>
      </c>
      <c r="C105" s="249"/>
      <c r="D105" s="58" t="s">
        <v>273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190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 t="s">
        <v>191</v>
      </c>
      <c r="C107" s="186" t="s">
        <v>26</v>
      </c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191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89" t="s">
        <v>192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193</v>
      </c>
      <c r="B110" s="186" t="s">
        <v>272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61" t="s">
        <v>193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500</v>
      </c>
      <c r="E112" s="58" t="n">
        <v>300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100</v>
      </c>
      <c r="E113" s="58" t="n">
        <v>100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400</v>
      </c>
      <c r="E114" s="141" t="n">
        <f aca="false">E112-E113</f>
        <v>200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200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(E118+E117)-D115</f>
        <v>999.99</v>
      </c>
      <c r="F119" s="157"/>
      <c r="G119" s="250" t="s">
        <v>194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194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89" t="s">
        <v>195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0.0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196</v>
      </c>
      <c r="B126" s="252" t="s">
        <v>197</v>
      </c>
      <c r="C126" s="252"/>
      <c r="D126" s="252" t="s">
        <v>102</v>
      </c>
      <c r="E126" s="169"/>
      <c r="F126" s="157"/>
      <c r="G126" s="251" t="s">
        <v>198</v>
      </c>
      <c r="H126" s="252" t="s">
        <v>199</v>
      </c>
      <c r="I126" s="252"/>
      <c r="J126" s="252" t="s">
        <v>200</v>
      </c>
      <c r="K126" s="169"/>
      <c r="L126" s="157"/>
      <c r="M126" s="251" t="s">
        <v>196</v>
      </c>
      <c r="N126" s="252" t="s">
        <v>197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1124.60154531949</v>
      </c>
      <c r="B127" s="150" t="n">
        <f aca="false">IF(A105="YES", B89*B57, 0)</f>
        <v>0</v>
      </c>
      <c r="C127" s="150"/>
      <c r="D127" s="150" t="n">
        <f aca="false">B91</f>
        <v>1124.60154531949</v>
      </c>
      <c r="E127" s="169"/>
      <c r="F127" s="157"/>
      <c r="G127" s="253" t="n">
        <f aca="false">H90</f>
        <v>1189.86736688544</v>
      </c>
      <c r="H127" s="150" t="n">
        <f aca="false">IF(G105="YES", H89*H57, 0)</f>
        <v>0</v>
      </c>
      <c r="I127" s="150"/>
      <c r="J127" s="254" t="n">
        <f aca="false">H91</f>
        <v>1189.86736688544</v>
      </c>
      <c r="K127" s="169"/>
      <c r="L127" s="157"/>
      <c r="M127" s="253" t="n">
        <f aca="false">N90</f>
        <v>984.491094073066</v>
      </c>
      <c r="N127" s="150" t="n">
        <f aca="false">IF(M105="YES", N89*N57, 0)</f>
        <v>0</v>
      </c>
      <c r="O127" s="150"/>
      <c r="P127" s="150" t="n">
        <f aca="false">N91</f>
        <v>984.491094073066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A155</f>
        <v>36</v>
      </c>
      <c r="B130" s="193" t="n">
        <f aca="false">B151</f>
        <v>0</v>
      </c>
      <c r="C130" s="194"/>
      <c r="D130" s="193" t="n">
        <f aca="false">B58</f>
        <v>35</v>
      </c>
      <c r="E130" s="169"/>
      <c r="F130" s="157"/>
      <c r="G130" s="192" t="n">
        <f aca="false">G152</f>
        <v>36</v>
      </c>
      <c r="H130" s="193" t="n">
        <f aca="false">B151</f>
        <v>0</v>
      </c>
      <c r="I130" s="194"/>
      <c r="J130" s="193" t="n">
        <f aca="false">B58</f>
        <v>35</v>
      </c>
      <c r="K130" s="169"/>
      <c r="L130" s="157"/>
      <c r="M130" s="192" t="n">
        <f aca="false">M155</f>
        <v>36</v>
      </c>
      <c r="N130" s="193" t="n">
        <f aca="false">B151</f>
        <v>0</v>
      </c>
      <c r="O130" s="194"/>
      <c r="P130" s="193" t="n">
        <f aca="false">B58</f>
        <v>35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201</v>
      </c>
      <c r="B132" s="168" t="s">
        <v>202</v>
      </c>
      <c r="C132" s="168"/>
      <c r="D132" s="168" t="s">
        <v>203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61" t="s">
        <v>201</v>
      </c>
      <c r="N132" s="168" t="s">
        <v>202</v>
      </c>
      <c r="O132" s="168"/>
      <c r="P132" s="168" t="s">
        <v>203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1124.60154531949</v>
      </c>
      <c r="B133" s="23" t="n">
        <f aca="false">IF(A105="YES", B89*B57, 0)</f>
        <v>0</v>
      </c>
      <c r="C133" s="199"/>
      <c r="D133" s="200" t="n">
        <f aca="false">B91*B57</f>
        <v>1124.60154531949</v>
      </c>
      <c r="E133" s="169"/>
      <c r="F133" s="157"/>
      <c r="G133" s="55" t="n">
        <f aca="false">H90*H57</f>
        <v>7139.20420131264</v>
      </c>
      <c r="H133" s="23" t="n">
        <f aca="false">IF(G105="YES", H89*H57, 0)</f>
        <v>0</v>
      </c>
      <c r="I133" s="199"/>
      <c r="J133" s="200" t="n">
        <f aca="false">H91*H57</f>
        <v>7139.20420131264</v>
      </c>
      <c r="K133" s="169"/>
      <c r="L133" s="157"/>
      <c r="M133" s="55" t="n">
        <f aca="false">N90*N57</f>
        <v>5906.94656443839</v>
      </c>
      <c r="N133" s="23" t="n">
        <f aca="false">IF(M105="YES", N89*N57, 0)</f>
        <v>0</v>
      </c>
      <c r="O133" s="199"/>
      <c r="P133" s="200" t="n">
        <f aca="false">N91*N57</f>
        <v>5906.94656443839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207</v>
      </c>
      <c r="B135" s="168" t="s">
        <v>208</v>
      </c>
      <c r="C135" s="168"/>
      <c r="D135" s="168" t="s">
        <v>209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61" t="s">
        <v>207</v>
      </c>
      <c r="N135" s="168" t="s">
        <v>208</v>
      </c>
      <c r="O135" s="168"/>
      <c r="P135" s="168" t="s">
        <v>209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</v>
      </c>
      <c r="C136" s="23"/>
      <c r="D136" s="23" t="n">
        <f aca="false">A136+B136</f>
        <v>0.35115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61" t="s">
        <v>120</v>
      </c>
      <c r="N138" s="168" t="s">
        <v>213</v>
      </c>
      <c r="O138" s="168"/>
      <c r="P138" s="168" t="s">
        <v>214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61" t="s">
        <v>216</v>
      </c>
      <c r="N141" s="168" t="s">
        <v>217</v>
      </c>
      <c r="O141" s="168"/>
      <c r="P141" s="168" t="s">
        <v>218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0</v>
      </c>
      <c r="B142" s="23" t="n">
        <f aca="false">A102-100</f>
        <v>99.99</v>
      </c>
      <c r="C142" s="23"/>
      <c r="D142" s="23" t="n">
        <f aca="false">(B139+D139+A142+B142)-B145</f>
        <v>1064.74</v>
      </c>
      <c r="E142" s="153"/>
      <c r="F142" s="157"/>
      <c r="G142" s="22" t="e">
        <f aca="false">IF(G105="YES", ((B36*H105)*0.1)*(G130), 0)</f>
        <v>#VALUE!</v>
      </c>
      <c r="H142" s="23" t="n">
        <f aca="false">G102-100</f>
        <v>99.99</v>
      </c>
      <c r="I142" s="23"/>
      <c r="J142" s="23" t="e">
        <f aca="false">(H139+J139+G142+H142)-H145</f>
        <v>#VALUE!</v>
      </c>
      <c r="K142" s="153"/>
      <c r="L142" s="157"/>
      <c r="M142" s="22" t="e">
        <f aca="false">IF(M105="YES", ((B36*N105)*0.1)*(M130), 0)</f>
        <v>#VALUE!</v>
      </c>
      <c r="N142" s="23" t="n">
        <f aca="false">M102-100</f>
        <v>99.99</v>
      </c>
      <c r="O142" s="23"/>
      <c r="P142" s="23" t="e">
        <f aca="false">(N139+P139+M142+N142)-N145</f>
        <v>#VALUE!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61" t="s">
        <v>219</v>
      </c>
      <c r="N144" s="168" t="s">
        <v>220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e">
        <f aca="false">(H139+J139+G142+H142)*(G145/H64)</f>
        <v>#VALUE!</v>
      </c>
      <c r="I145" s="168"/>
      <c r="J145" s="168"/>
      <c r="K145" s="169"/>
      <c r="L145" s="157"/>
      <c r="M145" s="22" t="n">
        <v>0</v>
      </c>
      <c r="N145" s="23" t="e">
        <f aca="false">(N139+P139+M142+N142)*(M145/N64)</f>
        <v>#VALUE!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22"/>
      <c r="B146" s="23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64" t="s">
        <v>221</v>
      </c>
      <c r="B147" s="26" t="s">
        <v>222</v>
      </c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221</v>
      </c>
      <c r="N147" s="26" t="s">
        <v>222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55" t="n">
        <v>18000</v>
      </c>
      <c r="B148" s="256" t="n">
        <v>0.99</v>
      </c>
      <c r="C148" s="256"/>
      <c r="D148" s="168"/>
      <c r="E148" s="169"/>
      <c r="F148" s="157"/>
      <c r="G148" s="214" t="s">
        <v>223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/>
      <c r="B150" s="168"/>
      <c r="C150" s="168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14" t="s">
        <v>223</v>
      </c>
      <c r="B151" s="168"/>
      <c r="C151" s="168"/>
      <c r="D151" s="215"/>
      <c r="E151" s="216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223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218"/>
      <c r="C152" s="218"/>
      <c r="D152" s="168"/>
      <c r="E152" s="169"/>
      <c r="F152" s="157"/>
      <c r="G152" s="223" t="n">
        <f aca="false">A52</f>
        <v>36</v>
      </c>
      <c r="H152" s="78" t="n">
        <f aca="false">H91</f>
        <v>1189.86736688544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220" t="s">
        <v>40</v>
      </c>
      <c r="B153" s="221" t="s">
        <v>41</v>
      </c>
      <c r="C153" s="221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20"/>
      <c r="B154" s="222" t="n">
        <f aca="false">A51</f>
        <v>0</v>
      </c>
      <c r="C154" s="222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223" t="n">
        <f aca="false">A52</f>
        <v>36</v>
      </c>
      <c r="B155" s="78" t="n">
        <f aca="false">B91</f>
        <v>1124.60154531949</v>
      </c>
      <c r="C155" s="7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984.491094073066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D121" activeCellId="0" sqref="D121"/>
    </sheetView>
  </sheetViews>
  <sheetFormatPr defaultColWidth="11.68359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0.0</v>
      </c>
      <c r="C4" s="54" t="n">
        <v>0.0</v>
      </c>
      <c r="D4" s="54" t="n">
        <v>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0.0</v>
      </c>
      <c r="C5" s="163" t="n">
        <v>0.0</v>
      </c>
      <c r="D5" s="163" t="n">
        <v>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275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276</v>
      </c>
      <c r="C30" s="146"/>
      <c r="D30" s="168"/>
      <c r="E30" s="169"/>
      <c r="F30" s="157"/>
      <c r="G30" s="187" t="s">
        <v>38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1030.0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922.920864561026</v>
      </c>
      <c r="E33" s="169"/>
      <c r="F33" s="157"/>
      <c r="G33" s="188" t="s">
        <v>44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str">
        <f aca="false">IF(B26="YES", H42, "")</f>
        <v/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48877.5</v>
      </c>
      <c r="I39" s="202" t="n">
        <f aca="false">(I48*H46)+H44</f>
        <v>64443.3941780653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27500.0</v>
      </c>
      <c r="B40" s="58" t="str">
        <f aca="false">IF(B26="YES",H42,"0")</f>
        <v>0</v>
      </c>
      <c r="C40" s="58"/>
      <c r="D40" s="200" t="n">
        <f aca="false">I32</f>
        <v>0</v>
      </c>
      <c r="E40" s="169"/>
      <c r="F40" s="157"/>
      <c r="G40" s="157" t="s">
        <v>55</v>
      </c>
      <c r="H40" s="202" t="n">
        <f aca="false">(A40)/1.2</f>
        <v>22916.6666666667</v>
      </c>
      <c r="I40" s="202" t="n">
        <f aca="false">H39-I39</f>
        <v>-15565.8941780653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0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277</v>
      </c>
      <c r="B45" s="168"/>
      <c r="C45" s="257" t="s">
        <v>277</v>
      </c>
      <c r="D45" s="257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922.920864561026</v>
      </c>
      <c r="I48" s="202" t="n">
        <f aca="false">I49-H42</f>
        <v>1400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922.920864561026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9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27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6077.925</v>
      </c>
      <c r="C64" s="168"/>
      <c r="D64" s="65" t="n">
        <f aca="false">B64-A145</f>
        <v>6077.925</v>
      </c>
      <c r="E64" s="258" t="n">
        <f aca="false">D64/(B58+B57)</f>
        <v>168.83125</v>
      </c>
      <c r="F64" s="157"/>
      <c r="G64" s="211" t="s">
        <v>74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74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168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(B61*B66)/1.2</f>
        <v>964.75</v>
      </c>
      <c r="C67" s="168"/>
      <c r="D67" s="65"/>
      <c r="E67" s="169"/>
      <c r="F67" s="157"/>
      <c r="G67" s="211" t="s">
        <v>77</v>
      </c>
      <c r="H67" s="121" t="n">
        <f aca="false">(H61*H66)/1.2</f>
        <v>964.75</v>
      </c>
      <c r="I67" s="168"/>
      <c r="J67" s="65"/>
      <c r="K67" s="169"/>
      <c r="L67" s="157"/>
      <c r="M67" s="211" t="s">
        <v>77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200.0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5.0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355.0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1083.33333333333</v>
      </c>
      <c r="C76" s="168"/>
      <c r="D76" s="65" t="n">
        <f aca="false">B76</f>
        <v>1083.33333333333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0.0</v>
      </c>
      <c r="C77" s="168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200.0</v>
      </c>
      <c r="C79" s="168"/>
      <c r="D79" s="65" t="n">
        <f aca="false">B79</f>
        <v>200</v>
      </c>
      <c r="E79" s="258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200.0</v>
      </c>
      <c r="C80" s="168"/>
      <c r="D80" s="65" t="n">
        <f aca="false">B80</f>
        <v>200</v>
      </c>
      <c r="E80" s="258" t="n">
        <f aca="false">(D73+D76+D79+D80)/(B58+B57)</f>
        <v>51.7592592592593</v>
      </c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7941.25833333333</v>
      </c>
      <c r="C81" s="168"/>
      <c r="D81" s="168"/>
      <c r="E81" s="258"/>
      <c r="F81" s="157"/>
      <c r="G81" s="239" t="s">
        <v>86</v>
      </c>
      <c r="H81" s="240" t="n">
        <f aca="false">SUM(J64:J80)</f>
        <v>7143.675</v>
      </c>
      <c r="I81" s="168"/>
      <c r="J81" s="168"/>
      <c r="K81" s="169"/>
      <c r="L81" s="157"/>
      <c r="M81" s="239" t="s">
        <v>86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220.590509259259</v>
      </c>
      <c r="C82" s="168"/>
      <c r="D82" s="168"/>
      <c r="E82" s="258"/>
      <c r="F82" s="157"/>
      <c r="G82" s="161" t="s">
        <v>87</v>
      </c>
      <c r="H82" s="166" t="n">
        <f aca="false">H81/H29</f>
        <v>198.435416666667</v>
      </c>
      <c r="I82" s="168"/>
      <c r="J82" s="168"/>
      <c r="K82" s="169"/>
      <c r="L82" s="157"/>
      <c r="M82" s="161" t="s">
        <v>87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922.920864561026</v>
      </c>
      <c r="C83" s="168"/>
      <c r="D83" s="168"/>
      <c r="E83" s="258" t="n">
        <f aca="false">B83+E80+E77+E64</f>
        <v>1143.51137382028</v>
      </c>
      <c r="F83" s="157"/>
      <c r="G83" s="241" t="s">
        <v>88</v>
      </c>
      <c r="H83" s="242" t="n">
        <f aca="false">H47</f>
        <v>922.920864561026</v>
      </c>
      <c r="I83" s="168"/>
      <c r="J83" s="168"/>
      <c r="K83" s="169"/>
      <c r="L83" s="157"/>
      <c r="M83" s="241" t="s">
        <v>88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((B83*H29)+B81)*1.2</f>
        <v>49399.6913490363</v>
      </c>
      <c r="C85" s="168"/>
      <c r="D85" s="168"/>
      <c r="E85" s="258" t="n">
        <f aca="false">B85/(B58+B57)</f>
        <v>1372.21364858434</v>
      </c>
      <c r="F85" s="157"/>
      <c r="G85" s="204" t="s">
        <v>97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97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((((B83*H29)+B81))/(1-B70))*B70</f>
        <v>348.727147482104</v>
      </c>
      <c r="C86" s="168"/>
      <c r="D86" s="168"/>
      <c r="E86" s="258" t="n">
        <f aca="false">B86/(B58+B57)</f>
        <v>9.68686520783622</v>
      </c>
      <c r="F86" s="157"/>
      <c r="G86" s="161" t="s">
        <v>98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98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IF(B110="YES",((B85+B86)-E114),(B85+B86))</f>
        <v>49748.4184965184</v>
      </c>
      <c r="C87" s="168"/>
      <c r="D87" s="168"/>
      <c r="E87" s="258" t="n">
        <f aca="false">E86+E85</f>
        <v>1381.90051379218</v>
      </c>
      <c r="F87" s="157"/>
      <c r="G87" s="211" t="s">
        <v>99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(D40+(D40*B105))/(B58), (D40+(D40*B105))/(B57+B58))*1.2</f>
        <v>0</v>
      </c>
      <c r="C89" s="168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0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0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1381.90051379218</v>
      </c>
      <c r="C90" s="168"/>
      <c r="D90" s="168"/>
      <c r="E90" s="169"/>
      <c r="F90" s="157"/>
      <c r="G90" s="243" t="s">
        <v>101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1381.90051379218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1189.86736688544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984.491094073066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177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224</v>
      </c>
      <c r="C99" s="248"/>
      <c r="D99" s="58" t="n">
        <v>1000.0</v>
      </c>
      <c r="E99" s="58"/>
      <c r="F99" s="157"/>
      <c r="G99" s="185" t="s">
        <v>180</v>
      </c>
      <c r="H99" s="248" t="s">
        <v>181</v>
      </c>
      <c r="I99" s="248"/>
      <c r="J99" s="58" t="n">
        <v>0</v>
      </c>
      <c r="K99" s="58"/>
      <c r="L99" s="157"/>
      <c r="M99" s="185" t="s">
        <v>180</v>
      </c>
      <c r="N99" s="248" t="s">
        <v>181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182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181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275</v>
      </c>
      <c r="B105" s="249" t="n">
        <v>0.2</v>
      </c>
      <c r="C105" s="249"/>
      <c r="D105" s="58" t="s">
        <v>273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190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191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89" t="s">
        <v>192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193</v>
      </c>
      <c r="B110" s="186" t="s">
        <v>272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61" t="s">
        <v>193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0</v>
      </c>
      <c r="E112" s="58" t="n">
        <v>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((E118/1.2)+E117)-(D115-E113)</f>
        <v>1166.65833333333</v>
      </c>
      <c r="F119" s="157"/>
      <c r="G119" s="250" t="s">
        <v>194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194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89" t="s">
        <v>195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0.0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198</v>
      </c>
      <c r="B126" s="252" t="s">
        <v>199</v>
      </c>
      <c r="C126" s="252"/>
      <c r="D126" s="252" t="s">
        <v>200</v>
      </c>
      <c r="E126" s="169"/>
      <c r="F126" s="157"/>
      <c r="G126" s="251" t="s">
        <v>198</v>
      </c>
      <c r="H126" s="252" t="s">
        <v>199</v>
      </c>
      <c r="I126" s="252"/>
      <c r="J126" s="252" t="s">
        <v>200</v>
      </c>
      <c r="K126" s="169"/>
      <c r="L126" s="157"/>
      <c r="M126" s="251" t="s">
        <v>196</v>
      </c>
      <c r="N126" s="252" t="s">
        <v>197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1381.90051379218</v>
      </c>
      <c r="B127" s="150" t="n">
        <f aca="false">IF(A105="YES", B89*B57, 0)</f>
        <v>0</v>
      </c>
      <c r="C127" s="150"/>
      <c r="D127" s="254" t="n">
        <f aca="false">B91</f>
        <v>1381.90051379218</v>
      </c>
      <c r="E127" s="169"/>
      <c r="F127" s="157"/>
      <c r="G127" s="253" t="n">
        <f aca="false">H90</f>
        <v>1189.86736688544</v>
      </c>
      <c r="H127" s="150" t="n">
        <f aca="false">IF(G105="YES", H89*H57, 0)</f>
        <v>0</v>
      </c>
      <c r="I127" s="150"/>
      <c r="J127" s="254" t="n">
        <f aca="false">H91</f>
        <v>1189.86736688544</v>
      </c>
      <c r="K127" s="169"/>
      <c r="L127" s="157"/>
      <c r="M127" s="253" t="n">
        <f aca="false">N90</f>
        <v>984.491094073066</v>
      </c>
      <c r="N127" s="150" t="n">
        <f aca="false">IF(M105="YES", N89*N57, 0)</f>
        <v>0</v>
      </c>
      <c r="O127" s="150"/>
      <c r="P127" s="150" t="n">
        <f aca="false">N91</f>
        <v>984.491094073066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27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27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27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204</v>
      </c>
      <c r="B132" s="168" t="s">
        <v>205</v>
      </c>
      <c r="C132" s="168"/>
      <c r="D132" s="168" t="s">
        <v>206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61" t="s">
        <v>201</v>
      </c>
      <c r="N132" s="168" t="s">
        <v>202</v>
      </c>
      <c r="O132" s="168"/>
      <c r="P132" s="168" t="s">
        <v>203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12437.1046241296</v>
      </c>
      <c r="B133" s="23" t="n">
        <f aca="false">IF(A105="YES", B89*B57, 0)</f>
        <v>0</v>
      </c>
      <c r="C133" s="199"/>
      <c r="D133" s="200" t="n">
        <f aca="false">B91*B57</f>
        <v>12437.1046241296</v>
      </c>
      <c r="E133" s="169"/>
      <c r="F133" s="157"/>
      <c r="G133" s="55" t="n">
        <f aca="false">H90*H57</f>
        <v>7139.20420131264</v>
      </c>
      <c r="H133" s="23" t="n">
        <f aca="false">IF(G105="YES", H89*H57, 0)</f>
        <v>0</v>
      </c>
      <c r="I133" s="199"/>
      <c r="J133" s="200" t="n">
        <f aca="false">H91*H57</f>
        <v>7139.20420131264</v>
      </c>
      <c r="K133" s="169"/>
      <c r="L133" s="157"/>
      <c r="M133" s="55" t="n">
        <f aca="false">N90*N57</f>
        <v>5906.94656443839</v>
      </c>
      <c r="N133" s="23" t="n">
        <f aca="false">IF(M105="YES", N89*N57, 0)</f>
        <v>0</v>
      </c>
      <c r="O133" s="199"/>
      <c r="P133" s="200" t="n">
        <f aca="false">N91*N57</f>
        <v>5906.94656443839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210</v>
      </c>
      <c r="B135" s="168" t="s">
        <v>211</v>
      </c>
      <c r="C135" s="168"/>
      <c r="D135" s="168" t="s">
        <v>212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61" t="s">
        <v>207</v>
      </c>
      <c r="N135" s="168" t="s">
        <v>208</v>
      </c>
      <c r="O135" s="168"/>
      <c r="P135" s="168" t="s">
        <v>209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</v>
      </c>
      <c r="C136" s="23"/>
      <c r="D136" s="23" t="n">
        <f aca="false">A136+B136</f>
        <v>0.35115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215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61" t="s">
        <v>120</v>
      </c>
      <c r="N138" s="168" t="s">
        <v>213</v>
      </c>
      <c r="O138" s="168"/>
      <c r="P138" s="168" t="s">
        <v>214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61" t="s">
        <v>216</v>
      </c>
      <c r="N141" s="168" t="s">
        <v>217</v>
      </c>
      <c r="O141" s="168"/>
      <c r="P141" s="168" t="s">
        <v>218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0</v>
      </c>
      <c r="B142" s="23" t="n">
        <f aca="false">A102-100</f>
        <v>99.99</v>
      </c>
      <c r="C142" s="23"/>
      <c r="D142" s="23" t="n">
        <f aca="false">(B139+D139+A142+B142)-B145</f>
        <v>1064.74</v>
      </c>
      <c r="E142" s="153"/>
      <c r="F142" s="157"/>
      <c r="G142" s="22" t="e">
        <f aca="false">IF(G105="YES", ((B36*H105)*0.1)*(G130), 0)</f>
        <v>#VALUE!</v>
      </c>
      <c r="H142" s="23" t="n">
        <f aca="false">G102-100</f>
        <v>99.99</v>
      </c>
      <c r="I142" s="23"/>
      <c r="J142" s="23" t="e">
        <f aca="false">(H139+J139+G142+H142)-H145</f>
        <v>#VALUE!</v>
      </c>
      <c r="K142" s="153"/>
      <c r="L142" s="157"/>
      <c r="M142" s="22" t="e">
        <f aca="false">IF(M105="YES", ((B36*N105)*0.1)*(M130), 0)</f>
        <v>#VALUE!</v>
      </c>
      <c r="N142" s="23" t="n">
        <f aca="false">M102-100</f>
        <v>99.99</v>
      </c>
      <c r="O142" s="23"/>
      <c r="P142" s="23" t="e">
        <f aca="false">(N139+P139+M142+N142)-N145</f>
        <v>#VALUE!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61" t="s">
        <v>219</v>
      </c>
      <c r="N144" s="168" t="s">
        <v>220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e">
        <f aca="false">(H139+J139+G142+H142)*(G145/H64)</f>
        <v>#VALUE!</v>
      </c>
      <c r="I145" s="168"/>
      <c r="J145" s="168"/>
      <c r="K145" s="169"/>
      <c r="L145" s="157"/>
      <c r="M145" s="22" t="n">
        <v>0</v>
      </c>
      <c r="N145" s="23" t="e">
        <f aca="false">(N139+P139+M142+N142)*(M145/N64)</f>
        <v>#VALUE!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221</v>
      </c>
      <c r="N147" s="26" t="s">
        <v>222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223</v>
      </c>
      <c r="B148" s="168"/>
      <c r="C148" s="168"/>
      <c r="D148" s="215"/>
      <c r="E148" s="216"/>
      <c r="F148" s="157"/>
      <c r="G148" s="214" t="s">
        <v>223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223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1381.90051379218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1189.86736688544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984.491094073066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21" colorId="64" zoomScale="75" zoomScaleNormal="75" zoomScalePageLayoutView="100" workbookViewId="0">
      <selection pane="topLeft" activeCell="E47" activeCellId="0" sqref="E47"/>
    </sheetView>
  </sheetViews>
  <sheetFormatPr defaultColWidth="11.68359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0.0</v>
      </c>
      <c r="C4" s="54" t="n">
        <v>0.0</v>
      </c>
      <c r="D4" s="54" t="n">
        <v>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0.0</v>
      </c>
      <c r="C5" s="163" t="n">
        <v>0.0</v>
      </c>
      <c r="D5" s="163" t="n">
        <v>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275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276</v>
      </c>
      <c r="C30" s="146"/>
      <c r="D30" s="168"/>
      <c r="E30" s="169"/>
      <c r="F30" s="157"/>
      <c r="G30" s="187" t="s">
        <v>38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1030.0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951.531975672137</v>
      </c>
      <c r="E33" s="169"/>
      <c r="F33" s="157"/>
      <c r="G33" s="188" t="s">
        <v>44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n">
        <f aca="false">IF(B26="YES", H42, "")</f>
        <v>28.6111111111111</v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48877.5</v>
      </c>
      <c r="I39" s="202" t="n">
        <f aca="false">(I48*H46)+H44</f>
        <v>63509.8854689439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27500.0</v>
      </c>
      <c r="B40" s="58" t="n">
        <f aca="false">IF(B26="YES",H42,"0")</f>
        <v>28.6111111111111</v>
      </c>
      <c r="C40" s="58"/>
      <c r="D40" s="200" t="n">
        <f aca="false">I32</f>
        <v>1030</v>
      </c>
      <c r="E40" s="169"/>
      <c r="F40" s="157"/>
      <c r="G40" s="157" t="s">
        <v>55</v>
      </c>
      <c r="H40" s="202" t="n">
        <f aca="false">(A40)/1.2</f>
        <v>22916.6666666667</v>
      </c>
      <c r="I40" s="202" t="n">
        <f aca="false">H39-I39</f>
        <v>-14632.3854689439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28.6111111111111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277</v>
      </c>
      <c r="B45" s="168"/>
      <c r="C45" s="210" t="s">
        <v>277</v>
      </c>
      <c r="D45" s="210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951.531975672137</v>
      </c>
      <c r="I48" s="202" t="n">
        <f aca="false">I49-H42</f>
        <v>1371.38888888889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951.531975672137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1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35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B62+(B62*0.25*((H29/12)-1))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6077.925</v>
      </c>
      <c r="C64" s="259"/>
      <c r="D64" s="65" t="n">
        <f aca="false">B64</f>
        <v>6077.925</v>
      </c>
      <c r="E64" s="258" t="n">
        <f aca="false">D64/(B58+B57)</f>
        <v>168.83125</v>
      </c>
      <c r="F64" s="157"/>
      <c r="G64" s="211" t="s">
        <v>74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74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65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260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</f>
        <v>1157.7</v>
      </c>
      <c r="C67" s="261"/>
      <c r="D67" s="262"/>
      <c r="E67" s="169"/>
      <c r="F67" s="157"/>
      <c r="G67" s="211" t="s">
        <v>77</v>
      </c>
      <c r="H67" s="121" t="n">
        <f aca="false">(H61*H66)/1.2</f>
        <v>964.75</v>
      </c>
      <c r="I67" s="168"/>
      <c r="J67" s="65"/>
      <c r="K67" s="169"/>
      <c r="L67" s="157"/>
      <c r="M67" s="211" t="s">
        <v>77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263"/>
      <c r="D68" s="65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200.0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5.0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355.0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1083.33333333333</v>
      </c>
      <c r="C76" s="168"/>
      <c r="D76" s="65" t="n">
        <f aca="false">B76</f>
        <v>1083.33333333333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04" t="s">
        <v>174</v>
      </c>
      <c r="B77" s="119" t="n">
        <f aca="false">B102*1.1</f>
        <v>0.0</v>
      </c>
      <c r="C77" s="264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D102/(1-0.1)</f>
        <v>0</v>
      </c>
      <c r="C78" s="264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200.0</v>
      </c>
      <c r="C79" s="264"/>
      <c r="D79" s="65" t="n">
        <f aca="false">B79</f>
        <v>200</v>
      </c>
      <c r="E79" s="258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200.0</v>
      </c>
      <c r="C80" s="264"/>
      <c r="D80" s="65" t="n">
        <f aca="false">B80</f>
        <v>200</v>
      </c>
      <c r="E80" s="258" t="n">
        <f aca="false">(D73+D76+D79+D80)/(B58+B57)</f>
        <v>51.7592592592593</v>
      </c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7941.25833333333</v>
      </c>
      <c r="C81" s="264"/>
      <c r="D81" s="265"/>
      <c r="E81" s="258"/>
      <c r="F81" s="157"/>
      <c r="G81" s="239" t="s">
        <v>86</v>
      </c>
      <c r="H81" s="240" t="n">
        <f aca="false">SUM(J64:J80)</f>
        <v>7143.675</v>
      </c>
      <c r="I81" s="168"/>
      <c r="J81" s="168"/>
      <c r="K81" s="169"/>
      <c r="L81" s="157"/>
      <c r="M81" s="239" t="s">
        <v>86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220.590509259259</v>
      </c>
      <c r="C82" s="264"/>
      <c r="D82" s="168"/>
      <c r="E82" s="258"/>
      <c r="F82" s="157"/>
      <c r="G82" s="161" t="s">
        <v>87</v>
      </c>
      <c r="H82" s="166" t="n">
        <f aca="false">H81/H29</f>
        <v>198.435416666667</v>
      </c>
      <c r="I82" s="168"/>
      <c r="J82" s="168"/>
      <c r="K82" s="169"/>
      <c r="L82" s="157"/>
      <c r="M82" s="161" t="s">
        <v>87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922.920864561026</v>
      </c>
      <c r="C83" s="264"/>
      <c r="D83" s="168"/>
      <c r="E83" s="258" t="n">
        <f aca="false">B83+E80+E77+E64</f>
        <v>1143.51137382028</v>
      </c>
      <c r="F83" s="157"/>
      <c r="G83" s="241" t="s">
        <v>88</v>
      </c>
      <c r="H83" s="242" t="n">
        <f aca="false">H47</f>
        <v>922.920864561026</v>
      </c>
      <c r="I83" s="168"/>
      <c r="J83" s="168"/>
      <c r="K83" s="169"/>
      <c r="L83" s="157"/>
      <c r="M83" s="241" t="s">
        <v>88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264"/>
      <c r="D84" s="264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</f>
        <v>41166.4094575303</v>
      </c>
      <c r="C85" s="264"/>
      <c r="D85" s="264"/>
      <c r="E85" s="258" t="n">
        <f aca="false">B85/(B58+B57)</f>
        <v>1143.51137382028</v>
      </c>
      <c r="F85" s="157"/>
      <c r="G85" s="204" t="s">
        <v>97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97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(((B83*H29)+B81)/(1-B70))*B70</f>
        <v>348.727147482104</v>
      </c>
      <c r="C86" s="264"/>
      <c r="D86" s="168"/>
      <c r="E86" s="258" t="n">
        <f aca="false">B86/(B58+B57)</f>
        <v>9.68686520783622</v>
      </c>
      <c r="F86" s="157"/>
      <c r="G86" s="161" t="s">
        <v>98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98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IF(B110="YES",((B85+B86)-E114),((B85+B86)))</f>
        <v>41515.1366050124</v>
      </c>
      <c r="C87" s="264"/>
      <c r="D87" s="266"/>
      <c r="E87" s="258" t="n">
        <f aca="false">E86+E85</f>
        <v>1153.19823902812</v>
      </c>
      <c r="F87" s="157"/>
      <c r="G87" s="211" t="s">
        <v>99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264"/>
      <c r="D88" s="168"/>
      <c r="E88" s="258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(I32+(I32*B105))/(B58), (I32+(I32*B105))/(B57+B58))</f>
        <v>34.3333333333333</v>
      </c>
      <c r="C89" s="264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36.1756097560976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30.1463414634146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1153.19823902812</v>
      </c>
      <c r="C90" s="264"/>
      <c r="D90" s="168"/>
      <c r="E90" s="267"/>
      <c r="F90" s="157"/>
      <c r="G90" s="243" t="s">
        <v>101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1187.53157236145</v>
      </c>
      <c r="C91" s="264"/>
      <c r="D91" s="268"/>
      <c r="E91" s="269"/>
      <c r="F91" s="157"/>
      <c r="G91" s="245" t="s">
        <v>102</v>
      </c>
      <c r="H91" s="246" t="n">
        <f aca="false">IF(G105="YES", H90+H89, H90)</f>
        <v>1226.04297664154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1014.63743553648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70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226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 t="s">
        <v>227</v>
      </c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271"/>
      <c r="C97" s="271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224</v>
      </c>
      <c r="C99" s="248"/>
      <c r="D99" s="58" t="n">
        <v>1000.0</v>
      </c>
      <c r="E99" s="58"/>
      <c r="F99" s="157"/>
      <c r="G99" s="185" t="s">
        <v>180</v>
      </c>
      <c r="H99" s="248" t="s">
        <v>181</v>
      </c>
      <c r="I99" s="248"/>
      <c r="J99" s="58" t="n">
        <v>0</v>
      </c>
      <c r="K99" s="58"/>
      <c r="L99" s="157"/>
      <c r="M99" s="185" t="s">
        <v>180</v>
      </c>
      <c r="N99" s="248" t="s">
        <v>181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182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181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228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275</v>
      </c>
      <c r="B105" s="249" t="n">
        <v>0.2</v>
      </c>
      <c r="C105" s="249"/>
      <c r="D105" s="58" t="s">
        <v>273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190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191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89" t="s">
        <v>192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193</v>
      </c>
      <c r="B110" s="186" t="s">
        <v>272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61" t="s">
        <v>193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0</v>
      </c>
      <c r="E112" s="58" t="n">
        <v>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IF(B110="YES",((E118*1.2)+E117)-E114,((E118*1.2)+E117))</f>
        <v>1239.988</v>
      </c>
      <c r="F119" s="157"/>
      <c r="G119" s="250" t="s">
        <v>194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194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89" t="s">
        <v>195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272" t="n">
        <v>0.0</v>
      </c>
      <c r="C124" s="272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196</v>
      </c>
      <c r="B126" s="252" t="s">
        <v>197</v>
      </c>
      <c r="C126" s="252"/>
      <c r="D126" s="252" t="s">
        <v>102</v>
      </c>
      <c r="E126" s="169"/>
      <c r="F126" s="157"/>
      <c r="G126" s="251" t="s">
        <v>198</v>
      </c>
      <c r="H126" s="252" t="s">
        <v>199</v>
      </c>
      <c r="I126" s="252"/>
      <c r="J126" s="252" t="s">
        <v>200</v>
      </c>
      <c r="K126" s="169"/>
      <c r="L126" s="157"/>
      <c r="M126" s="251" t="s">
        <v>196</v>
      </c>
      <c r="N126" s="252" t="s">
        <v>197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1153.19823902812</v>
      </c>
      <c r="B127" s="150" t="n">
        <f aca="false">IF(A105="YES", B89*B57, 0)</f>
        <v>34.3333333333333</v>
      </c>
      <c r="C127" s="150"/>
      <c r="D127" s="150" t="n">
        <f aca="false">B91</f>
        <v>1187.53157236145</v>
      </c>
      <c r="E127" s="169"/>
      <c r="F127" s="157"/>
      <c r="G127" s="253" t="n">
        <f aca="false">H90</f>
        <v>1189.86736688544</v>
      </c>
      <c r="H127" s="150" t="n">
        <f aca="false">IF(G105="YES", H89*H57, 0)</f>
        <v>217.053658536585</v>
      </c>
      <c r="I127" s="150"/>
      <c r="J127" s="254" t="n">
        <f aca="false">H91</f>
        <v>1226.04297664154</v>
      </c>
      <c r="K127" s="169"/>
      <c r="L127" s="157"/>
      <c r="M127" s="253" t="n">
        <f aca="false">N90</f>
        <v>984.491094073066</v>
      </c>
      <c r="N127" s="150" t="n">
        <f aca="false">IF(M105="YES", N89*N57, 0)</f>
        <v>180.878048780488</v>
      </c>
      <c r="O127" s="150"/>
      <c r="P127" s="150" t="n">
        <f aca="false">N91</f>
        <v>1014.63743553648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35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35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35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201</v>
      </c>
      <c r="B132" s="168" t="s">
        <v>202</v>
      </c>
      <c r="C132" s="168"/>
      <c r="D132" s="168" t="s">
        <v>203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61" t="s">
        <v>201</v>
      </c>
      <c r="N132" s="168" t="s">
        <v>202</v>
      </c>
      <c r="O132" s="168"/>
      <c r="P132" s="168" t="s">
        <v>203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1153.19823902812</v>
      </c>
      <c r="B133" s="23" t="n">
        <f aca="false">IF(A105="YES", B89*B57, 0)</f>
        <v>34.3333333333333</v>
      </c>
      <c r="C133" s="199"/>
      <c r="D133" s="200" t="n">
        <f aca="false">B91*B57</f>
        <v>1187.53157236145</v>
      </c>
      <c r="E133" s="169"/>
      <c r="F133" s="157"/>
      <c r="G133" s="55" t="n">
        <f aca="false">H90*H57</f>
        <v>7139.20420131264</v>
      </c>
      <c r="H133" s="23" t="n">
        <f aca="false">IF(G105="YES", H89*H57, 0)</f>
        <v>217.053658536585</v>
      </c>
      <c r="I133" s="199"/>
      <c r="J133" s="200" t="n">
        <f aca="false">H91*H57</f>
        <v>7356.25785984922</v>
      </c>
      <c r="K133" s="169"/>
      <c r="L133" s="157"/>
      <c r="M133" s="55" t="n">
        <f aca="false">N90*N57</f>
        <v>5906.94656443839</v>
      </c>
      <c r="N133" s="23" t="n">
        <f aca="false">IF(M105="YES", N89*N57, 0)</f>
        <v>180.878048780488</v>
      </c>
      <c r="O133" s="199"/>
      <c r="P133" s="200" t="n">
        <f aca="false">N91*N57</f>
        <v>6087.82461321888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207</v>
      </c>
      <c r="B135" s="168" t="s">
        <v>208</v>
      </c>
      <c r="C135" s="168"/>
      <c r="D135" s="168" t="s">
        <v>209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61" t="s">
        <v>207</v>
      </c>
      <c r="N135" s="168" t="s">
        <v>208</v>
      </c>
      <c r="O135" s="168"/>
      <c r="P135" s="168" t="s">
        <v>209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73" t="n">
        <f aca="false">E15*0.000006</f>
        <v>0.35115</v>
      </c>
      <c r="B136" s="274" t="n">
        <f aca="false">IF(A105="YES", E15*0.000002, 0)</f>
        <v>0.11705</v>
      </c>
      <c r="C136" s="23"/>
      <c r="D136" s="274" t="n">
        <f aca="false">A136+B136</f>
        <v>0.4682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61" t="s">
        <v>120</v>
      </c>
      <c r="N138" s="168" t="s">
        <v>213</v>
      </c>
      <c r="O138" s="168"/>
      <c r="P138" s="168" t="s">
        <v>214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1157.7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61" t="s">
        <v>216</v>
      </c>
      <c r="N141" s="168" t="s">
        <v>217</v>
      </c>
      <c r="O141" s="168"/>
      <c r="P141" s="168" t="s">
        <v>218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1278.29</v>
      </c>
      <c r="E142" s="153"/>
      <c r="F142" s="157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1085.34</v>
      </c>
      <c r="K142" s="153"/>
      <c r="L142" s="157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1085.34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61" t="s">
        <v>219</v>
      </c>
      <c r="N144" s="168" t="s">
        <v>220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221</v>
      </c>
      <c r="N147" s="26" t="s">
        <v>222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223</v>
      </c>
      <c r="B148" s="168"/>
      <c r="C148" s="168"/>
      <c r="D148" s="215"/>
      <c r="E148" s="216"/>
      <c r="F148" s="157"/>
      <c r="G148" s="214" t="s">
        <v>223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223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1187.53157236145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1226.04297664154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1014.63743553648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75" zoomScaleNormal="75" zoomScalePageLayoutView="100" workbookViewId="0">
      <selection pane="topLeft" activeCell="G20" activeCellId="0" sqref="G20"/>
    </sheetView>
  </sheetViews>
  <sheetFormatPr defaultColWidth="11.6835937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138500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138500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138500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27700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2245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168500</v>
      </c>
      <c r="F15" s="157"/>
      <c r="G15" s="175" t="n">
        <f aca="false">E15</f>
        <v>168500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166200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168500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18.75" hidden="false" customHeight="true" outlineLevel="0" collapsed="false">
      <c r="A24" s="184" t="s">
        <v>229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230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54</v>
      </c>
      <c r="H27" s="188" t="n">
        <f aca="false">IF(A32=Y103,1,IF(A32=Y104,1,IF(A32=Y105,3,IF(A32=Y106,6,IF(A32=Y107,9,IF(A32=Y108,12,IF(A32=Y109,3,IF(A32=Y110,6,IF(A32=Y111,9,0)))))))))</f>
        <v>1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231</v>
      </c>
      <c r="B28" s="199" t="s">
        <v>232</v>
      </c>
      <c r="C28" s="168"/>
      <c r="D28" s="199" t="s">
        <v>233</v>
      </c>
      <c r="E28" s="169"/>
      <c r="F28" s="157"/>
      <c r="G28" s="188" t="s">
        <v>69</v>
      </c>
      <c r="H28" s="188" t="n">
        <f aca="false">IF(A32=Y103,H29-H37,IF(A32=Y104,H29-H37,IF(A32=Y105,H29-1,IF(A32=Y106,H29-1,IF(A32=Y107,H29-1,IF(A32=Y108,H29-1,IF(A32=Y109,H29-H37,IF(A32=Y110,H29-H37,IF(A32=Y111,H29-H37,0)))))))))</f>
        <v>33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234</v>
      </c>
      <c r="B29" s="278" t="n">
        <v>12345</v>
      </c>
      <c r="C29" s="278"/>
      <c r="D29" s="279" t="n">
        <f aca="true">TODAY()+1</f>
        <v>44898</v>
      </c>
      <c r="E29" s="279"/>
      <c r="F29" s="157"/>
      <c r="G29" s="187" t="s">
        <v>35</v>
      </c>
      <c r="H29" s="187" t="n">
        <f aca="false">B35</f>
        <v>33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38</v>
      </c>
      <c r="H30" s="187" t="n">
        <f aca="false">D35</f>
        <v>11000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235</v>
      </c>
      <c r="C31" s="168"/>
      <c r="D31" s="199" t="s">
        <v>202</v>
      </c>
      <c r="E31" s="169"/>
      <c r="F31" s="157"/>
      <c r="G31" s="187" t="s">
        <v>236</v>
      </c>
      <c r="H31" s="280" t="n">
        <f aca="false">D38</f>
        <v>50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108</v>
      </c>
      <c r="B32" s="281" t="n">
        <v>0</v>
      </c>
      <c r="C32" s="281"/>
      <c r="D32" s="281" t="n">
        <v>0</v>
      </c>
      <c r="E32" s="281"/>
      <c r="F32" s="157"/>
      <c r="G32" s="282" t="s">
        <v>237</v>
      </c>
      <c r="H32" s="280" t="n">
        <f aca="false">A41</f>
        <v>22.73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 t="s">
        <v>238</v>
      </c>
      <c r="H33" s="280" t="n">
        <f aca="false">D41</f>
        <v>0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203</v>
      </c>
      <c r="B34" s="283" t="s">
        <v>239</v>
      </c>
      <c r="C34" s="194"/>
      <c r="D34" s="49" t="s">
        <v>240</v>
      </c>
      <c r="E34" s="169"/>
      <c r="F34" s="157"/>
      <c r="G34" s="282" t="s">
        <v>241</v>
      </c>
      <c r="H34" s="280" t="n">
        <f aca="false">A44</f>
        <v>50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0</v>
      </c>
      <c r="B35" s="278" t="n">
        <v>33</v>
      </c>
      <c r="C35" s="278"/>
      <c r="D35" s="278" t="n">
        <v>11000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242</v>
      </c>
      <c r="B37" s="199" t="s">
        <v>243</v>
      </c>
      <c r="C37" s="168"/>
      <c r="D37" s="199" t="s">
        <v>244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30250</v>
      </c>
      <c r="B38" s="278" t="s">
        <v>25</v>
      </c>
      <c r="C38" s="278"/>
      <c r="D38" s="45" t="n">
        <v>50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197</v>
      </c>
      <c r="B40" s="287" t="s">
        <v>102</v>
      </c>
      <c r="C40" s="194"/>
      <c r="D40" s="200" t="s">
        <v>245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22.73</v>
      </c>
      <c r="B41" s="288" t="n">
        <f aca="false">IF(B38="YES", D38+A41, D38)</f>
        <v>72.73</v>
      </c>
      <c r="C41" s="288"/>
      <c r="D41" s="45" t="n">
        <v>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50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120</v>
      </c>
      <c r="B43" s="287" t="s">
        <v>207</v>
      </c>
      <c r="C43" s="194"/>
      <c r="D43" s="287" t="s">
        <v>208</v>
      </c>
      <c r="E43" s="289"/>
      <c r="F43" s="157"/>
      <c r="G43" s="157" t="s">
        <v>246</v>
      </c>
      <c r="H43" s="202" t="n">
        <f aca="false">((((D38*(B35-1))+B32)/B35) + (A44/B35))+A44/H29</f>
        <v>51.5151515151515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</v>
      </c>
      <c r="B44" s="45" t="n">
        <v>50</v>
      </c>
      <c r="C44" s="45"/>
      <c r="D44" s="45" t="n">
        <v>0</v>
      </c>
      <c r="E44" s="45"/>
      <c r="F44" s="157"/>
      <c r="G44" s="157" t="s">
        <v>247</v>
      </c>
      <c r="H44" s="202" t="n">
        <f aca="false">H32</f>
        <v>22.73</v>
      </c>
      <c r="I44" s="290" t="n">
        <f aca="false">((A41*(B35-1))+D32)/B35</f>
        <v>22.0412121212121</v>
      </c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248</v>
      </c>
      <c r="H45" s="291" t="n">
        <f aca="false">H43+H44</f>
        <v>74.2451515151515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86" t="s">
        <v>209</v>
      </c>
      <c r="B46" s="287" t="s">
        <v>249</v>
      </c>
      <c r="C46" s="194"/>
      <c r="D46" s="287" t="s">
        <v>250</v>
      </c>
      <c r="E46" s="289"/>
      <c r="F46" s="157"/>
      <c r="G46" s="157" t="s">
        <v>251</v>
      </c>
      <c r="H46" s="202" t="n">
        <f aca="false">H43</f>
        <v>51.5151515151515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92" t="n">
        <v>0</v>
      </c>
      <c r="B47" s="293" t="n">
        <v>0.99</v>
      </c>
      <c r="C47" s="293"/>
      <c r="D47" s="45" t="n">
        <v>0</v>
      </c>
      <c r="E47" s="45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85"/>
      <c r="B48" s="194"/>
      <c r="C48" s="194"/>
      <c r="D48" s="194"/>
      <c r="E48" s="289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285" t="s">
        <v>252</v>
      </c>
      <c r="B49" s="194"/>
      <c r="C49" s="194"/>
      <c r="D49" s="194"/>
      <c r="E49" s="289"/>
      <c r="F49" s="157"/>
      <c r="G49" s="157"/>
      <c r="H49" s="202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186" t="s">
        <v>26</v>
      </c>
      <c r="B50" s="194"/>
      <c r="C50" s="194"/>
      <c r="D50" s="194"/>
      <c r="E50" s="289"/>
      <c r="F50" s="157"/>
      <c r="G50" s="157"/>
      <c r="H50" s="202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85"/>
      <c r="B51" s="194"/>
      <c r="C51" s="194"/>
      <c r="D51" s="194"/>
      <c r="E51" s="289"/>
      <c r="F51" s="157"/>
      <c r="G51" s="157"/>
      <c r="H51" s="202"/>
      <c r="I51" s="202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94" t="s">
        <v>253</v>
      </c>
      <c r="B52" s="194"/>
      <c r="C52" s="194"/>
      <c r="D52" s="194"/>
      <c r="E52" s="289"/>
      <c r="F52" s="157"/>
      <c r="G52" s="157"/>
      <c r="H52" s="202"/>
      <c r="I52" s="202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285"/>
      <c r="B53" s="194"/>
      <c r="C53" s="194"/>
      <c r="D53" s="194"/>
      <c r="E53" s="289"/>
      <c r="F53" s="157"/>
      <c r="G53" s="157"/>
      <c r="H53" s="202"/>
      <c r="I53" s="202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4" t="s">
        <v>66</v>
      </c>
      <c r="B54" s="168"/>
      <c r="C54" s="168"/>
      <c r="D54" s="215"/>
      <c r="E54" s="216"/>
      <c r="F54" s="157"/>
      <c r="G54" s="157"/>
      <c r="H54" s="202"/>
      <c r="I54" s="202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1"/>
      <c r="B55" s="218"/>
      <c r="C55" s="218"/>
      <c r="D55" s="168"/>
      <c r="E55" s="169"/>
      <c r="F55" s="157"/>
      <c r="G55" s="157"/>
      <c r="H55" s="219"/>
      <c r="I55" s="202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20" t="s">
        <v>40</v>
      </c>
      <c r="B56" s="221" t="s">
        <v>41</v>
      </c>
      <c r="C56" s="221"/>
      <c r="D56" s="168"/>
      <c r="E56" s="169"/>
      <c r="F56" s="157"/>
      <c r="G56" s="157"/>
      <c r="H56" s="157"/>
      <c r="I56" s="202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220"/>
      <c r="B57" s="222" t="n">
        <f aca="false">H30</f>
        <v>11000</v>
      </c>
      <c r="C57" s="222"/>
      <c r="D57" s="168"/>
      <c r="E57" s="169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223" t="n">
        <f aca="false">H29</f>
        <v>33</v>
      </c>
      <c r="B58" s="78" t="n">
        <f aca="false">H45</f>
        <v>74.2451515151515</v>
      </c>
      <c r="C58" s="78"/>
      <c r="D58" s="168"/>
      <c r="E58" s="169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211"/>
      <c r="B60" s="212"/>
      <c r="C60" s="212"/>
      <c r="D60" s="212"/>
      <c r="E60" s="213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8"/>
      <c r="B61" s="168"/>
      <c r="C61" s="168"/>
      <c r="D61" s="168"/>
      <c r="E61" s="168"/>
      <c r="F61" s="157"/>
      <c r="G61" s="168"/>
      <c r="H61" s="168"/>
      <c r="I61" s="168"/>
      <c r="J61" s="168"/>
      <c r="K61" s="168"/>
      <c r="L61" s="157"/>
      <c r="M61" s="168"/>
      <c r="N61" s="168"/>
      <c r="O61" s="168"/>
      <c r="P61" s="168"/>
      <c r="Q61" s="168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04"/>
      <c r="B62" s="205"/>
      <c r="C62" s="205"/>
      <c r="D62" s="205"/>
      <c r="E62" s="206"/>
      <c r="F62" s="157"/>
      <c r="G62" s="204"/>
      <c r="H62" s="205"/>
      <c r="I62" s="205"/>
      <c r="J62" s="205"/>
      <c r="K62" s="206"/>
      <c r="L62" s="157"/>
      <c r="M62" s="204"/>
      <c r="N62" s="205"/>
      <c r="O62" s="205"/>
      <c r="P62" s="205"/>
      <c r="Q62" s="206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54</v>
      </c>
      <c r="B63" s="168" t="n">
        <f aca="false">IF(B105=Y103,1,IF(B105=Y104,1,IF(B105=Y105,3,IF(B105=Y106,6,IF(B105=Y107,9,IF(B105=Y108,12,IF(B105=Y109,3,IF(B105=Y110,6,IF(B105=Y111,9,0)))))))))</f>
        <v>1</v>
      </c>
      <c r="C63" s="168"/>
      <c r="D63" s="168"/>
      <c r="E63" s="169"/>
      <c r="F63" s="157"/>
      <c r="G63" s="161" t="s">
        <v>54</v>
      </c>
      <c r="H63" s="168" t="n">
        <f aca="false">IF(H105=Y103,1,IF(H105=Y104,1,IF(H105=Y105,3,IF(H105=Y106,6,IF(H105=Y107,9,IF(H105=Y108,12,IF(H105=Y109,3,IF(H105=Y110,6,IF(H105=Y111,9,0)))))))))</f>
        <v>3</v>
      </c>
      <c r="I63" s="168"/>
      <c r="J63" s="168"/>
      <c r="K63" s="169"/>
      <c r="L63" s="157"/>
      <c r="M63" s="161" t="s">
        <v>54</v>
      </c>
      <c r="N63" s="168" t="n">
        <f aca="false">IF(N105=Y103,1,IF(N105=Y104,1,IF(N105=Y105,3,IF(N105=Y106,6,IF(N105=Y107,9,IF(N105=Y108,12,IF(N105=Y109,3,IF(N105=Y110,6,IF(N105=Y111,9,0)))))))))</f>
        <v>12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161" t="s">
        <v>69</v>
      </c>
      <c r="B64" s="168" t="n">
        <f aca="false">IF(B105=Y103,H29-B63,IF(B105=Y104,H29-B63,IF(B105=Y105,H29-1,IF(B105=Y106,H29-1,IF(B105=Y107,H29-1,IF(B105=Y108,H29-1,IF(B105=Y109,H29-B63,IF(B105=Y110,H29-B63,IF(B105=Y111,H29-B63,0)))))))))</f>
        <v>32</v>
      </c>
      <c r="C64" s="168"/>
      <c r="D64" s="168"/>
      <c r="E64" s="169"/>
      <c r="F64" s="157"/>
      <c r="G64" s="161" t="s">
        <v>69</v>
      </c>
      <c r="H64" s="168" t="n">
        <f aca="false">IF(H105=Y103,H29-H63,IF(H105=Y104,H29-H63,IF(H105=Y105,H29-1,IF(H105=Y106,H29-1,IF(H105=Y107,H29-1,IF(H105=Y108,H29-1,IF(H105=Y109,H29-H63,IF(H105=Y110,H29-H63,IF(H105=Y111,H29-H63,0)))))))))</f>
        <v>30</v>
      </c>
      <c r="I64" s="168"/>
      <c r="J64" s="168"/>
      <c r="K64" s="169"/>
      <c r="L64" s="157"/>
      <c r="M64" s="161" t="s">
        <v>69</v>
      </c>
      <c r="N64" s="168" t="n">
        <f aca="false">IF(N105=Y103,H29-N63,IF(N105=Y104,H29-N63,IF(N105=Y105,H29-1,IF(N105=Y106,H29-1,IF(N105=Y107,H29-1,IF(N105=Y108,H29-1,IF(N105=Y109,H29-N63,IF(N105=Y110,H29-N63,IF(N105=Y111,H29-N63,0)))))))))</f>
        <v>32</v>
      </c>
      <c r="O64" s="168"/>
      <c r="P64" s="168"/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161"/>
      <c r="B65" s="168"/>
      <c r="C65" s="168"/>
      <c r="D65" s="168"/>
      <c r="E65" s="169"/>
      <c r="F65" s="157"/>
      <c r="G65" s="161"/>
      <c r="H65" s="168"/>
      <c r="I65" s="168"/>
      <c r="J65" s="168"/>
      <c r="K65" s="169"/>
      <c r="L65" s="157"/>
      <c r="M65" s="161"/>
      <c r="N65" s="168"/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/>
      <c r="B66" s="168"/>
      <c r="C66" s="168"/>
      <c r="D66" s="168"/>
      <c r="E66" s="169"/>
      <c r="F66" s="157"/>
      <c r="G66" s="161"/>
      <c r="H66" s="168"/>
      <c r="I66" s="168"/>
      <c r="J66" s="168"/>
      <c r="K66" s="169"/>
      <c r="L66" s="157"/>
      <c r="M66" s="161"/>
      <c r="N66" s="168"/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161" t="s">
        <v>21</v>
      </c>
      <c r="B67" s="65" t="n">
        <f aca="false">G18</f>
        <v>166200</v>
      </c>
      <c r="C67" s="168"/>
      <c r="D67" s="168"/>
      <c r="E67" s="169"/>
      <c r="F67" s="157"/>
      <c r="G67" s="161" t="s">
        <v>21</v>
      </c>
      <c r="H67" s="65" t="n">
        <f aca="false">G18</f>
        <v>166200</v>
      </c>
      <c r="I67" s="168"/>
      <c r="J67" s="168"/>
      <c r="K67" s="169"/>
      <c r="L67" s="157"/>
      <c r="M67" s="161" t="s">
        <v>21</v>
      </c>
      <c r="N67" s="65" t="n">
        <f aca="false">G18</f>
        <v>166200</v>
      </c>
      <c r="O67" s="168"/>
      <c r="P67" s="168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169</v>
      </c>
      <c r="B68" s="225" t="n">
        <v>0.07</v>
      </c>
      <c r="C68" s="168"/>
      <c r="D68" s="168"/>
      <c r="E68" s="169"/>
      <c r="F68" s="157"/>
      <c r="G68" s="224" t="s">
        <v>169</v>
      </c>
      <c r="H68" s="225" t="n">
        <v>0.07</v>
      </c>
      <c r="I68" s="168"/>
      <c r="J68" s="168"/>
      <c r="K68" s="169"/>
      <c r="L68" s="157"/>
      <c r="M68" s="224" t="s">
        <v>169</v>
      </c>
      <c r="N68" s="225" t="n">
        <v>0.07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61" t="s">
        <v>170</v>
      </c>
      <c r="B69" s="165" t="n">
        <f aca="false">B68+(B68*0.25*(H29/12-1))</f>
        <v>0.100625</v>
      </c>
      <c r="C69" s="168"/>
      <c r="D69" s="168"/>
      <c r="E69" s="169"/>
      <c r="F69" s="157"/>
      <c r="G69" s="161" t="s">
        <v>170</v>
      </c>
      <c r="H69" s="165" t="n">
        <f aca="false">H68+(H68*0.25*(H29/12-1))</f>
        <v>0.100625</v>
      </c>
      <c r="I69" s="168"/>
      <c r="J69" s="168"/>
      <c r="K69" s="169"/>
      <c r="L69" s="157"/>
      <c r="M69" s="161" t="s">
        <v>170</v>
      </c>
      <c r="N69" s="165" t="n">
        <f aca="false">N68+(N68*0.25*(H29/12-1))</f>
        <v>0.100625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74</v>
      </c>
      <c r="B70" s="121" t="n">
        <f aca="false">B67*B69</f>
        <v>16723.875</v>
      </c>
      <c r="C70" s="168"/>
      <c r="D70" s="65" t="n">
        <f aca="false">B70-A151</f>
        <v>16723.875</v>
      </c>
      <c r="E70" s="169" t="n">
        <f aca="false">D70/12</f>
        <v>1393.65625</v>
      </c>
      <c r="F70" s="157"/>
      <c r="G70" s="211" t="s">
        <v>74</v>
      </c>
      <c r="H70" s="121" t="n">
        <f aca="false">H67*H69</f>
        <v>16723.875</v>
      </c>
      <c r="I70" s="168"/>
      <c r="J70" s="65" t="n">
        <f aca="false">H70-G151</f>
        <v>16723.875</v>
      </c>
      <c r="K70" s="169"/>
      <c r="L70" s="157"/>
      <c r="M70" s="211" t="s">
        <v>74</v>
      </c>
      <c r="N70" s="121" t="n">
        <f aca="false">N67*N69</f>
        <v>16723.875</v>
      </c>
      <c r="O70" s="168"/>
      <c r="P70" s="65" t="n">
        <f aca="false">N70-M151</f>
        <v>16723.875</v>
      </c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75</v>
      </c>
      <c r="B71" s="225" t="n">
        <v>0.01</v>
      </c>
      <c r="C71" s="168"/>
      <c r="D71" s="168"/>
      <c r="E71" s="169"/>
      <c r="F71" s="157"/>
      <c r="G71" s="224" t="s">
        <v>75</v>
      </c>
      <c r="H71" s="225" t="n">
        <v>0.005</v>
      </c>
      <c r="I71" s="168"/>
      <c r="J71" s="168"/>
      <c r="K71" s="169"/>
      <c r="L71" s="157"/>
      <c r="M71" s="224" t="s">
        <v>75</v>
      </c>
      <c r="N71" s="225" t="n">
        <v>0.005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61" t="s">
        <v>76</v>
      </c>
      <c r="B72" s="165" t="n">
        <f aca="false">B71+(B71*0.5*(H29/12-1))</f>
        <v>0.01875</v>
      </c>
      <c r="C72" s="168"/>
      <c r="D72" s="168"/>
      <c r="E72" s="169"/>
      <c r="F72" s="157"/>
      <c r="G72" s="161" t="s">
        <v>76</v>
      </c>
      <c r="H72" s="165" t="n">
        <f aca="false">H71+(H71*0.5*(H29/12-1))</f>
        <v>0.009375</v>
      </c>
      <c r="I72" s="168"/>
      <c r="J72" s="168"/>
      <c r="K72" s="169"/>
      <c r="L72" s="157"/>
      <c r="M72" s="161" t="s">
        <v>76</v>
      </c>
      <c r="N72" s="165" t="n">
        <f aca="false">N71+(N71*0.5*(H29/12-1))</f>
        <v>0.009375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77</v>
      </c>
      <c r="B73" s="121" t="n">
        <f aca="false">B67*B72</f>
        <v>3116.25</v>
      </c>
      <c r="C73" s="168"/>
      <c r="D73" s="65"/>
      <c r="E73" s="169"/>
      <c r="F73" s="157"/>
      <c r="G73" s="211" t="s">
        <v>77</v>
      </c>
      <c r="H73" s="121" t="n">
        <f aca="false">H67*H72</f>
        <v>1558.125</v>
      </c>
      <c r="I73" s="168"/>
      <c r="J73" s="65"/>
      <c r="K73" s="169"/>
      <c r="L73" s="157"/>
      <c r="M73" s="211" t="s">
        <v>77</v>
      </c>
      <c r="N73" s="121" t="n">
        <f aca="false">N67*N72</f>
        <v>1558.125</v>
      </c>
      <c r="O73" s="168"/>
      <c r="P73" s="65"/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78</v>
      </c>
      <c r="B74" s="225" t="n">
        <v>0.0075</v>
      </c>
      <c r="C74" s="168"/>
      <c r="D74" s="168"/>
      <c r="E74" s="169"/>
      <c r="F74" s="157"/>
      <c r="G74" s="224" t="s">
        <v>78</v>
      </c>
      <c r="H74" s="225" t="n">
        <v>0.0075</v>
      </c>
      <c r="I74" s="168"/>
      <c r="J74" s="168"/>
      <c r="K74" s="169"/>
      <c r="L74" s="157"/>
      <c r="M74" s="224" t="s">
        <v>78</v>
      </c>
      <c r="N74" s="225" t="n">
        <v>0.0075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79</v>
      </c>
      <c r="B75" s="226" t="n">
        <v>0.12</v>
      </c>
      <c r="C75" s="168"/>
      <c r="D75" s="168"/>
      <c r="E75" s="169"/>
      <c r="F75" s="157"/>
      <c r="G75" s="158" t="s">
        <v>79</v>
      </c>
      <c r="H75" s="226" t="n">
        <v>0.12</v>
      </c>
      <c r="I75" s="168"/>
      <c r="J75" s="168"/>
      <c r="K75" s="169"/>
      <c r="L75" s="157"/>
      <c r="M75" s="158" t="s">
        <v>79</v>
      </c>
      <c r="N75" s="226" t="n">
        <v>0.12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80</v>
      </c>
      <c r="B76" s="228" t="n">
        <f aca="false">B74*(1+B75)</f>
        <v>0.0084</v>
      </c>
      <c r="C76" s="168"/>
      <c r="D76" s="168"/>
      <c r="E76" s="169"/>
      <c r="F76" s="157"/>
      <c r="G76" s="211" t="s">
        <v>80</v>
      </c>
      <c r="H76" s="228" t="n">
        <f aca="false">H74*(1+H75)</f>
        <v>0.0084</v>
      </c>
      <c r="I76" s="168"/>
      <c r="J76" s="168"/>
      <c r="K76" s="169"/>
      <c r="L76" s="157"/>
      <c r="M76" s="211" t="s">
        <v>80</v>
      </c>
      <c r="N76" s="228" t="n">
        <f aca="false">N74*(1+N75)</f>
        <v>0.0084</v>
      </c>
      <c r="O76" s="168"/>
      <c r="P76" s="168"/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81</v>
      </c>
      <c r="B77" s="229" t="n">
        <v>160</v>
      </c>
      <c r="C77" s="168"/>
      <c r="D77" s="168"/>
      <c r="E77" s="169"/>
      <c r="F77" s="157"/>
      <c r="G77" s="224" t="s">
        <v>81</v>
      </c>
      <c r="H77" s="229" t="n">
        <v>160</v>
      </c>
      <c r="I77" s="168"/>
      <c r="J77" s="168"/>
      <c r="K77" s="169"/>
      <c r="L77" s="157"/>
      <c r="M77" s="224" t="s">
        <v>81</v>
      </c>
      <c r="N77" s="229" t="n">
        <v>160</v>
      </c>
      <c r="O77" s="168"/>
      <c r="P77" s="168"/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58" t="s">
        <v>82</v>
      </c>
      <c r="B78" s="230" t="n">
        <v>4.5</v>
      </c>
      <c r="C78" s="168"/>
      <c r="D78" s="168"/>
      <c r="E78" s="169"/>
      <c r="F78" s="157"/>
      <c r="G78" s="158" t="s">
        <v>82</v>
      </c>
      <c r="H78" s="230" t="n">
        <v>4.5</v>
      </c>
      <c r="I78" s="168"/>
      <c r="J78" s="168"/>
      <c r="K78" s="169"/>
      <c r="L78" s="157"/>
      <c r="M78" s="158" t="s">
        <v>82</v>
      </c>
      <c r="N78" s="230" t="n">
        <v>4.5</v>
      </c>
      <c r="O78" s="168"/>
      <c r="P78" s="168"/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211" t="s">
        <v>83</v>
      </c>
      <c r="B79" s="121" t="n">
        <f aca="false">B78*H29</f>
        <v>148.5</v>
      </c>
      <c r="C79" s="168"/>
      <c r="D79" s="65" t="n">
        <f aca="false">B79+B77</f>
        <v>308.5</v>
      </c>
      <c r="E79" s="269" t="n">
        <f aca="false">D79+D85+D86</f>
        <v>508.5</v>
      </c>
      <c r="F79" s="157"/>
      <c r="G79" s="211" t="s">
        <v>83</v>
      </c>
      <c r="H79" s="121" t="n">
        <f aca="false">H78*H29</f>
        <v>148.5</v>
      </c>
      <c r="I79" s="168"/>
      <c r="J79" s="65" t="n">
        <f aca="false">H79+H77</f>
        <v>308.5</v>
      </c>
      <c r="K79" s="169"/>
      <c r="L79" s="157"/>
      <c r="M79" s="211" t="s">
        <v>83</v>
      </c>
      <c r="N79" s="121" t="n">
        <f aca="false">N78*H29</f>
        <v>148.5</v>
      </c>
      <c r="O79" s="168"/>
      <c r="P79" s="65" t="n">
        <f aca="false">N79+N77</f>
        <v>308.5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24" t="s">
        <v>171</v>
      </c>
      <c r="B80" s="229" t="n">
        <v>155</v>
      </c>
      <c r="C80" s="168"/>
      <c r="D80" s="168"/>
      <c r="E80" s="269" t="n">
        <f aca="false">E79+D82</f>
        <v>1406.83333333333</v>
      </c>
      <c r="F80" s="157"/>
      <c r="G80" s="224" t="s">
        <v>171</v>
      </c>
      <c r="H80" s="229" t="n">
        <v>150</v>
      </c>
      <c r="I80" s="168"/>
      <c r="J80" s="168"/>
      <c r="K80" s="169"/>
      <c r="L80" s="157"/>
      <c r="M80" s="231" t="s">
        <v>171</v>
      </c>
      <c r="N80" s="232" t="n">
        <v>0</v>
      </c>
      <c r="O80" s="168"/>
      <c r="P80" s="168"/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158" t="s">
        <v>172</v>
      </c>
      <c r="B81" s="230" t="n">
        <v>335</v>
      </c>
      <c r="C81" s="168"/>
      <c r="D81" s="168"/>
      <c r="E81" s="169" t="n">
        <f aca="false">E80/12</f>
        <v>117.236111111111</v>
      </c>
      <c r="F81" s="157"/>
      <c r="G81" s="158" t="s">
        <v>172</v>
      </c>
      <c r="H81" s="230" t="n">
        <f aca="false">IF(G18&gt;40000, 325, 0)</f>
        <v>325</v>
      </c>
      <c r="I81" s="168"/>
      <c r="J81" s="168"/>
      <c r="K81" s="169"/>
      <c r="L81" s="157"/>
      <c r="M81" s="233" t="s">
        <v>172</v>
      </c>
      <c r="N81" s="234" t="n">
        <v>0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211" t="s">
        <v>173</v>
      </c>
      <c r="B82" s="121" t="n">
        <f aca="false">((B80+B81)/12)*(H29-11)</f>
        <v>898.333333333333</v>
      </c>
      <c r="C82" s="168"/>
      <c r="D82" s="65" t="n">
        <f aca="false">IF(A50="YES", 0, B82)</f>
        <v>898.333333333333</v>
      </c>
      <c r="E82" s="169"/>
      <c r="F82" s="157"/>
      <c r="G82" s="211" t="s">
        <v>173</v>
      </c>
      <c r="H82" s="121" t="n">
        <f aca="false">((H80+H81)/12)*(H29-11)</f>
        <v>870.833333333333</v>
      </c>
      <c r="I82" s="168"/>
      <c r="J82" s="65" t="n">
        <f aca="false">IF(A50="YES", 0, H82)</f>
        <v>870.833333333333</v>
      </c>
      <c r="K82" s="169"/>
      <c r="L82" s="157"/>
      <c r="M82" s="235" t="s">
        <v>173</v>
      </c>
      <c r="N82" s="236" t="n">
        <f aca="false">((N80+N81)/12)*(H29-11)</f>
        <v>0</v>
      </c>
      <c r="O82" s="168"/>
      <c r="P82" s="65" t="n">
        <f aca="false">IF(A50="YES", 0, N82)</f>
        <v>0</v>
      </c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24" t="s">
        <v>174</v>
      </c>
      <c r="B83" s="229" t="n">
        <v>0</v>
      </c>
      <c r="C83" s="168"/>
      <c r="D83" s="65" t="n">
        <f aca="false">B83</f>
        <v>0</v>
      </c>
      <c r="E83" s="169" t="n">
        <f aca="false">D83/12</f>
        <v>0</v>
      </c>
      <c r="F83" s="157"/>
      <c r="G83" s="224" t="s">
        <v>174</v>
      </c>
      <c r="H83" s="229" t="n">
        <f aca="false">H108</f>
        <v>1200</v>
      </c>
      <c r="I83" s="168"/>
      <c r="J83" s="65" t="n">
        <f aca="false">H83</f>
        <v>1200</v>
      </c>
      <c r="K83" s="169"/>
      <c r="L83" s="157"/>
      <c r="M83" s="224" t="s">
        <v>174</v>
      </c>
      <c r="N83" s="229" t="n">
        <f aca="false">N108</f>
        <v>1200</v>
      </c>
      <c r="O83" s="168"/>
      <c r="P83" s="65" t="n">
        <f aca="false">N83</f>
        <v>1200</v>
      </c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 t="s">
        <v>254</v>
      </c>
      <c r="B84" s="166" t="n">
        <v>0</v>
      </c>
      <c r="C84" s="168"/>
      <c r="D84" s="65" t="n">
        <f aca="false">B84</f>
        <v>0</v>
      </c>
      <c r="E84" s="169"/>
      <c r="F84" s="157"/>
      <c r="G84" s="161" t="s">
        <v>175</v>
      </c>
      <c r="H84" s="166" t="n">
        <f aca="false">J108</f>
        <v>1500</v>
      </c>
      <c r="I84" s="168"/>
      <c r="J84" s="65" t="n">
        <f aca="false">H84</f>
        <v>1500</v>
      </c>
      <c r="K84" s="169"/>
      <c r="L84" s="157"/>
      <c r="M84" s="161" t="s">
        <v>175</v>
      </c>
      <c r="N84" s="166" t="n">
        <f aca="false">P108</f>
        <v>1500</v>
      </c>
      <c r="O84" s="168"/>
      <c r="P84" s="65" t="n">
        <f aca="false">N84</f>
        <v>1500</v>
      </c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158" t="s">
        <v>84</v>
      </c>
      <c r="B85" s="230" t="n">
        <v>100</v>
      </c>
      <c r="C85" s="168"/>
      <c r="D85" s="65" t="n">
        <f aca="false">B85</f>
        <v>100</v>
      </c>
      <c r="E85" s="169"/>
      <c r="F85" s="157"/>
      <c r="G85" s="158" t="s">
        <v>84</v>
      </c>
      <c r="H85" s="230" t="n">
        <v>100</v>
      </c>
      <c r="I85" s="168"/>
      <c r="J85" s="65" t="n">
        <f aca="false">H85</f>
        <v>100</v>
      </c>
      <c r="K85" s="169"/>
      <c r="L85" s="157"/>
      <c r="M85" s="158" t="s">
        <v>84</v>
      </c>
      <c r="N85" s="230" t="n">
        <v>100</v>
      </c>
      <c r="O85" s="168"/>
      <c r="P85" s="65" t="n">
        <f aca="false">N85</f>
        <v>100</v>
      </c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237" t="s">
        <v>85</v>
      </c>
      <c r="B86" s="238" t="n">
        <v>100</v>
      </c>
      <c r="C86" s="168"/>
      <c r="D86" s="65" t="n">
        <f aca="false">B86</f>
        <v>100</v>
      </c>
      <c r="E86" s="169"/>
      <c r="F86" s="157"/>
      <c r="G86" s="237" t="s">
        <v>85</v>
      </c>
      <c r="H86" s="238" t="n">
        <v>100</v>
      </c>
      <c r="I86" s="168"/>
      <c r="J86" s="65" t="n">
        <f aca="false">H86</f>
        <v>100</v>
      </c>
      <c r="K86" s="169"/>
      <c r="L86" s="157"/>
      <c r="M86" s="237" t="s">
        <v>85</v>
      </c>
      <c r="N86" s="238" t="n">
        <v>100</v>
      </c>
      <c r="O86" s="168"/>
      <c r="P86" s="65" t="n">
        <f aca="false">N86</f>
        <v>100</v>
      </c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39" t="s">
        <v>86</v>
      </c>
      <c r="B87" s="240" t="n">
        <f aca="false">SUM(D70:D86)</f>
        <v>18130.7083333333</v>
      </c>
      <c r="C87" s="168"/>
      <c r="D87" s="168"/>
      <c r="E87" s="169"/>
      <c r="F87" s="157"/>
      <c r="G87" s="239" t="s">
        <v>86</v>
      </c>
      <c r="H87" s="240" t="n">
        <f aca="false">SUM(J70:J86)</f>
        <v>20803.2083333333</v>
      </c>
      <c r="I87" s="168"/>
      <c r="J87" s="168"/>
      <c r="K87" s="169"/>
      <c r="L87" s="157"/>
      <c r="M87" s="239" t="s">
        <v>86</v>
      </c>
      <c r="N87" s="240" t="n">
        <f aca="false">SUM(P70:P86)</f>
        <v>19932.375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 t="s">
        <v>87</v>
      </c>
      <c r="B88" s="166" t="n">
        <f aca="false">B87/H29</f>
        <v>549.415404040404</v>
      </c>
      <c r="C88" s="168"/>
      <c r="D88" s="168"/>
      <c r="E88" s="169"/>
      <c r="F88" s="157"/>
      <c r="G88" s="161" t="s">
        <v>87</v>
      </c>
      <c r="H88" s="166" t="n">
        <f aca="false">H87/H29</f>
        <v>630.400252525253</v>
      </c>
      <c r="I88" s="168"/>
      <c r="J88" s="168"/>
      <c r="K88" s="169"/>
      <c r="L88" s="157"/>
      <c r="M88" s="161" t="s">
        <v>87</v>
      </c>
      <c r="N88" s="166" t="n">
        <f aca="false">N87/H29</f>
        <v>604.011363636364</v>
      </c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41" t="s">
        <v>88</v>
      </c>
      <c r="B89" s="242" t="n">
        <f aca="false">H46</f>
        <v>51.5151515151515</v>
      </c>
      <c r="C89" s="168"/>
      <c r="D89" s="168"/>
      <c r="E89" s="169"/>
      <c r="F89" s="157"/>
      <c r="G89" s="241" t="s">
        <v>88</v>
      </c>
      <c r="H89" s="242" t="n">
        <f aca="false">H46</f>
        <v>51.5151515151515</v>
      </c>
      <c r="I89" s="168"/>
      <c r="J89" s="168"/>
      <c r="K89" s="169"/>
      <c r="L89" s="157"/>
      <c r="M89" s="241" t="s">
        <v>88</v>
      </c>
      <c r="N89" s="242" t="n">
        <f aca="false">H46</f>
        <v>51.5151515151515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161"/>
      <c r="B90" s="65"/>
      <c r="C90" s="168"/>
      <c r="D90" s="168"/>
      <c r="E90" s="169"/>
      <c r="F90" s="157"/>
      <c r="G90" s="161"/>
      <c r="H90" s="65"/>
      <c r="I90" s="168"/>
      <c r="J90" s="168"/>
      <c r="K90" s="169"/>
      <c r="L90" s="157"/>
      <c r="M90" s="161"/>
      <c r="N90" s="65"/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04" t="s">
        <v>97</v>
      </c>
      <c r="B91" s="119" t="n">
        <f aca="false">((B89*H29)+B87)</f>
        <v>19830.7083333333</v>
      </c>
      <c r="C91" s="168"/>
      <c r="D91" s="168"/>
      <c r="E91" s="169"/>
      <c r="F91" s="157"/>
      <c r="G91" s="204" t="s">
        <v>97</v>
      </c>
      <c r="H91" s="119" t="n">
        <f aca="false">((H89*H29)+H87)*1.2</f>
        <v>27003.85</v>
      </c>
      <c r="I91" s="168"/>
      <c r="J91" s="168"/>
      <c r="K91" s="169"/>
      <c r="L91" s="157"/>
      <c r="M91" s="204" t="s">
        <v>97</v>
      </c>
      <c r="N91" s="119" t="n">
        <f aca="false">((N89*H29)+N87)</f>
        <v>21632.375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161" t="s">
        <v>98</v>
      </c>
      <c r="B92" s="166" t="n">
        <f aca="false">(((B89*H29)+B87)/(1-B76))*B76</f>
        <v>167.989058087939</v>
      </c>
      <c r="C92" s="168"/>
      <c r="D92" s="168"/>
      <c r="E92" s="295"/>
      <c r="F92" s="157"/>
      <c r="G92" s="161" t="s">
        <v>98</v>
      </c>
      <c r="H92" s="166" t="n">
        <f aca="false">(((H89*H29)+H87)/(1-H76))*H76</f>
        <v>190.628227107705</v>
      </c>
      <c r="I92" s="168"/>
      <c r="J92" s="168"/>
      <c r="K92" s="169"/>
      <c r="L92" s="157"/>
      <c r="M92" s="161" t="s">
        <v>98</v>
      </c>
      <c r="N92" s="166" t="n">
        <f aca="false">(N91/(1-N76))*N76</f>
        <v>183.251260588947</v>
      </c>
      <c r="O92" s="168"/>
      <c r="P92" s="168"/>
      <c r="Q92" s="169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211" t="s">
        <v>99</v>
      </c>
      <c r="B93" s="121" t="n">
        <f aca="false">IF(B116="YES",((B91+B92)-E120),(B91+B92))</f>
        <v>19998.6973914213</v>
      </c>
      <c r="C93" s="168"/>
      <c r="D93" s="168"/>
      <c r="E93" s="169"/>
      <c r="F93" s="157"/>
      <c r="G93" s="211" t="s">
        <v>99</v>
      </c>
      <c r="H93" s="121" t="n">
        <f aca="false">IF(H116="YES",((H91+H92)-K120),(H91+H92))</f>
        <v>29194.4782271077</v>
      </c>
      <c r="I93" s="168"/>
      <c r="J93" s="168"/>
      <c r="K93" s="169"/>
      <c r="L93" s="157"/>
      <c r="M93" s="211" t="s">
        <v>99</v>
      </c>
      <c r="N93" s="121" t="n">
        <f aca="false">IF(N116="YES",((N91+N92)-K120),(N91+N92))</f>
        <v>23815.6262605889</v>
      </c>
      <c r="O93" s="168"/>
      <c r="P93" s="168"/>
      <c r="Q93" s="169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18.75" hidden="false" customHeight="true" outlineLevel="0" collapsed="false">
      <c r="A94" s="161"/>
      <c r="B94" s="65"/>
      <c r="C94" s="168"/>
      <c r="D94" s="168"/>
      <c r="E94" s="169"/>
      <c r="F94" s="157"/>
      <c r="G94" s="161"/>
      <c r="H94" s="65"/>
      <c r="I94" s="168"/>
      <c r="J94" s="168"/>
      <c r="K94" s="169"/>
      <c r="L94" s="157"/>
      <c r="M94" s="161"/>
      <c r="N94" s="65"/>
      <c r="O94" s="168"/>
      <c r="P94" s="168"/>
      <c r="Q94" s="169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239" t="s">
        <v>100</v>
      </c>
      <c r="B95" s="240" t="n">
        <f aca="false">((H44*B35)+((H44*B35)*B111))/(B63+B64)</f>
        <v>27.276</v>
      </c>
      <c r="C95" s="168"/>
      <c r="D95" s="168"/>
      <c r="E95" s="169"/>
      <c r="F95" s="157"/>
      <c r="G95" s="239" t="s">
        <v>100</v>
      </c>
      <c r="H95" s="240" t="n">
        <f aca="false">(((H44*B35)+((H44*B35)*H111))/(H63+H64))*1.2</f>
        <v>32.7312</v>
      </c>
      <c r="I95" s="168"/>
      <c r="J95" s="168"/>
      <c r="K95" s="169"/>
      <c r="L95" s="157"/>
      <c r="M95" s="239" t="s">
        <v>100</v>
      </c>
      <c r="N95" s="240" t="n">
        <f aca="false">((H44*B35)+((H44*B35)*N111))/(N63+N64)</f>
        <v>20.457</v>
      </c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243" t="s">
        <v>101</v>
      </c>
      <c r="B96" s="244" t="n">
        <f aca="false">IF(B105=Y104, (B93-D111)/(B64), B93/(B63+B64))</f>
        <v>606.021133073372</v>
      </c>
      <c r="C96" s="168"/>
      <c r="D96" s="168"/>
      <c r="E96" s="169"/>
      <c r="F96" s="157"/>
      <c r="G96" s="243" t="s">
        <v>101</v>
      </c>
      <c r="H96" s="244" t="n">
        <f aca="false">IF(H105=Y104, (H93-J111)/(H64), H93/(H63+H64))</f>
        <v>884.681158397203</v>
      </c>
      <c r="I96" s="168"/>
      <c r="J96" s="168"/>
      <c r="K96" s="169"/>
      <c r="L96" s="157"/>
      <c r="M96" s="243" t="s">
        <v>101</v>
      </c>
      <c r="N96" s="244" t="n">
        <f aca="false">IF(N105=Y104, (N93-P111)/(N64), N93/(N63+N64))</f>
        <v>541.264233195203</v>
      </c>
      <c r="O96" s="168"/>
      <c r="P96" s="168"/>
      <c r="Q96" s="16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245" t="s">
        <v>102</v>
      </c>
      <c r="B97" s="246" t="n">
        <f aca="false">IF(A111="YES", B96+B95, B96)</f>
        <v>633.297133073372</v>
      </c>
      <c r="C97" s="168"/>
      <c r="D97" s="296"/>
      <c r="E97" s="169"/>
      <c r="F97" s="157"/>
      <c r="G97" s="245" t="s">
        <v>102</v>
      </c>
      <c r="H97" s="246" t="n">
        <f aca="false">IF(G111="YES", H96+H95, H96)</f>
        <v>917.412358397203</v>
      </c>
      <c r="I97" s="168"/>
      <c r="J97" s="168"/>
      <c r="K97" s="169"/>
      <c r="L97" s="157"/>
      <c r="M97" s="245" t="s">
        <v>102</v>
      </c>
      <c r="N97" s="246" t="n">
        <f aca="false">IF(M111="YES", N96+N95, N96)</f>
        <v>561.721233195203</v>
      </c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211"/>
      <c r="B98" s="212"/>
      <c r="C98" s="212"/>
      <c r="D98" s="212"/>
      <c r="E98" s="213"/>
      <c r="F98" s="157"/>
      <c r="G98" s="211"/>
      <c r="H98" s="212"/>
      <c r="I98" s="212"/>
      <c r="J98" s="212"/>
      <c r="K98" s="213"/>
      <c r="L98" s="157"/>
      <c r="M98" s="211"/>
      <c r="N98" s="212"/>
      <c r="O98" s="212"/>
      <c r="P98" s="212"/>
      <c r="Q98" s="213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68"/>
      <c r="B99" s="168"/>
      <c r="C99" s="168"/>
      <c r="D99" s="168"/>
      <c r="E99" s="168"/>
      <c r="F99" s="157"/>
      <c r="G99" s="168"/>
      <c r="H99" s="168"/>
      <c r="I99" s="168"/>
      <c r="J99" s="168"/>
      <c r="K99" s="168"/>
      <c r="L99" s="157"/>
      <c r="M99" s="168"/>
      <c r="N99" s="168"/>
      <c r="O99" s="168"/>
      <c r="P99" s="168"/>
      <c r="Q99" s="168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48.75" hidden="false" customHeight="true" outlineLevel="0" collapsed="false">
      <c r="A100" s="184" t="s">
        <v>226</v>
      </c>
      <c r="B100" s="184"/>
      <c r="C100" s="184"/>
      <c r="D100" s="184"/>
      <c r="E100" s="184"/>
      <c r="F100" s="157"/>
      <c r="G100" s="184" t="s">
        <v>177</v>
      </c>
      <c r="H100" s="184"/>
      <c r="I100" s="184"/>
      <c r="J100" s="184"/>
      <c r="K100" s="184"/>
      <c r="L100" s="157"/>
      <c r="M100" s="184" t="s">
        <v>176</v>
      </c>
      <c r="N100" s="184"/>
      <c r="O100" s="184"/>
      <c r="P100" s="184"/>
      <c r="Q100" s="184"/>
      <c r="R100" s="157"/>
      <c r="S100" s="157"/>
      <c r="T100" s="157"/>
      <c r="U100" s="157"/>
      <c r="V100" s="157"/>
      <c r="W100" s="157"/>
      <c r="X100" s="157"/>
      <c r="Y100" s="157"/>
      <c r="Z100" s="157"/>
    </row>
    <row r="101" customFormat="false" ht="18.75" hidden="false" customHeight="true" outlineLevel="0" collapsed="false">
      <c r="A101" s="161"/>
      <c r="B101" s="168"/>
      <c r="C101" s="168"/>
      <c r="D101" s="168"/>
      <c r="E101" s="169"/>
      <c r="F101" s="157"/>
      <c r="G101" s="161"/>
      <c r="H101" s="168"/>
      <c r="I101" s="168"/>
      <c r="J101" s="168"/>
      <c r="K101" s="169"/>
      <c r="L101" s="157"/>
      <c r="M101" s="161"/>
      <c r="N101" s="168"/>
      <c r="O101" s="168"/>
      <c r="P101" s="168"/>
      <c r="Q101" s="169"/>
      <c r="R101" s="157"/>
      <c r="S101" s="157"/>
      <c r="T101" s="157"/>
      <c r="U101" s="157"/>
      <c r="V101" s="157"/>
      <c r="W101" s="157"/>
      <c r="X101" s="157"/>
      <c r="Y101" s="157"/>
      <c r="Z101" s="157"/>
    </row>
    <row r="102" customFormat="false" ht="18.75" hidden="false" customHeight="true" outlineLevel="0" collapsed="false">
      <c r="A102" s="189" t="s">
        <v>33</v>
      </c>
      <c r="B102" s="189"/>
      <c r="C102" s="189"/>
      <c r="D102" s="189"/>
      <c r="E102" s="189"/>
      <c r="F102" s="157"/>
      <c r="G102" s="189" t="s">
        <v>33</v>
      </c>
      <c r="H102" s="189"/>
      <c r="I102" s="189"/>
      <c r="J102" s="189"/>
      <c r="K102" s="189"/>
      <c r="L102" s="157"/>
      <c r="M102" s="189" t="s">
        <v>33</v>
      </c>
      <c r="N102" s="189"/>
      <c r="O102" s="189"/>
      <c r="P102" s="189"/>
      <c r="Q102" s="189"/>
      <c r="R102" s="157"/>
      <c r="S102" s="157"/>
      <c r="T102" s="157"/>
      <c r="U102" s="157"/>
      <c r="V102" s="157"/>
      <c r="W102" s="157"/>
      <c r="X102" s="157"/>
      <c r="Y102" s="157"/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108</v>
      </c>
      <c r="Z103" s="157"/>
    </row>
    <row r="104" customFormat="false" ht="18.75" hidden="false" customHeight="true" outlineLevel="0" collapsed="false">
      <c r="A104" s="161" t="s">
        <v>106</v>
      </c>
      <c r="B104" s="168" t="s">
        <v>30</v>
      </c>
      <c r="C104" s="168"/>
      <c r="D104" s="168" t="s">
        <v>178</v>
      </c>
      <c r="E104" s="169"/>
      <c r="F104" s="157"/>
      <c r="G104" s="161" t="s">
        <v>106</v>
      </c>
      <c r="H104" s="168" t="s">
        <v>30</v>
      </c>
      <c r="I104" s="168"/>
      <c r="J104" s="168" t="s">
        <v>178</v>
      </c>
      <c r="K104" s="169"/>
      <c r="L104" s="157"/>
      <c r="M104" s="161" t="s">
        <v>106</v>
      </c>
      <c r="N104" s="168" t="s">
        <v>30</v>
      </c>
      <c r="O104" s="168"/>
      <c r="P104" s="168" t="s">
        <v>178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</row>
    <row r="105" customFormat="false" ht="18.75" hidden="false" customHeight="true" outlineLevel="0" collapsed="false">
      <c r="A105" s="185" t="s">
        <v>180</v>
      </c>
      <c r="B105" s="248" t="s">
        <v>108</v>
      </c>
      <c r="C105" s="248"/>
      <c r="D105" s="297" t="n">
        <v>0</v>
      </c>
      <c r="E105" s="297"/>
      <c r="F105" s="157"/>
      <c r="G105" s="185" t="s">
        <v>180</v>
      </c>
      <c r="H105" s="248" t="s">
        <v>188</v>
      </c>
      <c r="I105" s="248"/>
      <c r="J105" s="297" t="n">
        <v>5000</v>
      </c>
      <c r="K105" s="297"/>
      <c r="L105" s="157"/>
      <c r="M105" s="185" t="s">
        <v>180</v>
      </c>
      <c r="N105" s="248" t="s">
        <v>187</v>
      </c>
      <c r="O105" s="248"/>
      <c r="P105" s="297" t="n">
        <v>0</v>
      </c>
      <c r="Q105" s="297"/>
      <c r="R105" s="157"/>
      <c r="S105" s="157"/>
      <c r="T105" s="157"/>
      <c r="U105" s="157"/>
      <c r="V105" s="157"/>
      <c r="W105" s="157"/>
      <c r="X105" s="157"/>
      <c r="Y105" s="157" t="s">
        <v>182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 t="s">
        <v>181</v>
      </c>
      <c r="Z106" s="157"/>
    </row>
    <row r="107" customFormat="false" ht="18.75" hidden="false" customHeight="true" outlineLevel="0" collapsed="false">
      <c r="A107" s="161" t="s">
        <v>183</v>
      </c>
      <c r="B107" s="168" t="s">
        <v>184</v>
      </c>
      <c r="C107" s="168"/>
      <c r="D107" s="168" t="s">
        <v>185</v>
      </c>
      <c r="E107" s="169"/>
      <c r="F107" s="157"/>
      <c r="G107" s="161" t="s">
        <v>183</v>
      </c>
      <c r="H107" s="168" t="s">
        <v>184</v>
      </c>
      <c r="I107" s="168"/>
      <c r="J107" s="168" t="s">
        <v>185</v>
      </c>
      <c r="K107" s="169"/>
      <c r="L107" s="157"/>
      <c r="M107" s="161" t="s">
        <v>183</v>
      </c>
      <c r="N107" s="168" t="s">
        <v>184</v>
      </c>
      <c r="O107" s="168"/>
      <c r="P107" s="168" t="s">
        <v>185</v>
      </c>
      <c r="Q107" s="169"/>
      <c r="R107" s="157"/>
      <c r="S107" s="157"/>
      <c r="T107" s="157"/>
      <c r="U107" s="157"/>
      <c r="V107" s="157"/>
      <c r="W107" s="157"/>
      <c r="X107" s="157"/>
      <c r="Y107" s="157" t="s">
        <v>186</v>
      </c>
      <c r="Z107" s="157"/>
    </row>
    <row r="108" customFormat="false" ht="18.75" hidden="false" customHeight="true" outlineLevel="0" collapsed="false">
      <c r="A108" s="57" t="n">
        <v>199.99</v>
      </c>
      <c r="B108" s="58" t="n">
        <v>0</v>
      </c>
      <c r="C108" s="58"/>
      <c r="D108" s="58" t="n">
        <v>0</v>
      </c>
      <c r="E108" s="58"/>
      <c r="F108" s="157"/>
      <c r="G108" s="57" t="n">
        <f aca="false">199.99*1.2</f>
        <v>239.988</v>
      </c>
      <c r="H108" s="58" t="n">
        <v>1200</v>
      </c>
      <c r="I108" s="58"/>
      <c r="J108" s="58" t="n">
        <v>1500</v>
      </c>
      <c r="K108" s="58"/>
      <c r="L108" s="157"/>
      <c r="M108" s="57" t="n">
        <v>199.99</v>
      </c>
      <c r="N108" s="58" t="n">
        <v>1200</v>
      </c>
      <c r="O108" s="58"/>
      <c r="P108" s="58" t="n">
        <v>1500</v>
      </c>
      <c r="Q108" s="58"/>
      <c r="R108" s="157"/>
      <c r="S108" s="157"/>
      <c r="T108" s="157"/>
      <c r="U108" s="157"/>
      <c r="V108" s="157"/>
      <c r="W108" s="157"/>
      <c r="X108" s="157"/>
      <c r="Y108" s="157" t="s">
        <v>187</v>
      </c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 t="s">
        <v>188</v>
      </c>
      <c r="Z109" s="157"/>
    </row>
    <row r="110" customFormat="false" ht="18.75" hidden="false" customHeight="true" outlineLevel="0" collapsed="false">
      <c r="A110" s="185" t="s">
        <v>29</v>
      </c>
      <c r="B110" s="157" t="s">
        <v>109</v>
      </c>
      <c r="C110" s="168"/>
      <c r="D110" s="168" t="s">
        <v>121</v>
      </c>
      <c r="E110" s="169"/>
      <c r="F110" s="157"/>
      <c r="G110" s="185" t="s">
        <v>29</v>
      </c>
      <c r="H110" s="157" t="s">
        <v>109</v>
      </c>
      <c r="I110" s="168"/>
      <c r="J110" s="168" t="s">
        <v>121</v>
      </c>
      <c r="K110" s="169"/>
      <c r="L110" s="157"/>
      <c r="M110" s="185" t="s">
        <v>29</v>
      </c>
      <c r="N110" s="157" t="s">
        <v>109</v>
      </c>
      <c r="O110" s="168"/>
      <c r="P110" s="168" t="s">
        <v>121</v>
      </c>
      <c r="Q110" s="169"/>
      <c r="R110" s="157"/>
      <c r="S110" s="157"/>
      <c r="T110" s="157"/>
      <c r="U110" s="157"/>
      <c r="V110" s="157"/>
      <c r="W110" s="157"/>
      <c r="X110" s="157"/>
      <c r="Y110" s="157" t="s">
        <v>189</v>
      </c>
      <c r="Z110" s="157"/>
    </row>
    <row r="111" customFormat="false" ht="18.75" hidden="false" customHeight="true" outlineLevel="0" collapsed="false">
      <c r="A111" s="186" t="s">
        <v>25</v>
      </c>
      <c r="B111" s="249" t="n">
        <v>0.2</v>
      </c>
      <c r="C111" s="249"/>
      <c r="D111" s="58" t="n">
        <v>5000</v>
      </c>
      <c r="E111" s="58"/>
      <c r="F111" s="157"/>
      <c r="G111" s="186" t="s">
        <v>25</v>
      </c>
      <c r="H111" s="249" t="n">
        <v>0.2</v>
      </c>
      <c r="I111" s="249"/>
      <c r="J111" s="58" t="n">
        <v>5000</v>
      </c>
      <c r="K111" s="58"/>
      <c r="L111" s="157"/>
      <c r="M111" s="186" t="s">
        <v>25</v>
      </c>
      <c r="N111" s="249" t="n">
        <v>0.2</v>
      </c>
      <c r="O111" s="249"/>
      <c r="P111" s="58" t="n">
        <v>5000</v>
      </c>
      <c r="Q111" s="58"/>
      <c r="R111" s="157"/>
      <c r="S111" s="157"/>
      <c r="T111" s="157"/>
      <c r="U111" s="157"/>
      <c r="V111" s="157"/>
      <c r="W111" s="157"/>
      <c r="X111" s="157"/>
      <c r="Y111" s="157" t="s">
        <v>190</v>
      </c>
      <c r="Z111" s="157"/>
    </row>
    <row r="112" customFormat="false" ht="18.75" hidden="false" customHeight="true" outlineLevel="0" collapsed="false">
      <c r="A112" s="161"/>
      <c r="B112" s="168"/>
      <c r="C112" s="168"/>
      <c r="D112" s="168"/>
      <c r="E112" s="169"/>
      <c r="F112" s="157"/>
      <c r="G112" s="161"/>
      <c r="H112" s="168"/>
      <c r="I112" s="168"/>
      <c r="J112" s="168"/>
      <c r="K112" s="169"/>
      <c r="L112" s="157"/>
      <c r="M112" s="161"/>
      <c r="N112" s="168"/>
      <c r="O112" s="168"/>
      <c r="P112" s="168"/>
      <c r="Q112" s="169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/>
      <c r="B113" s="168"/>
      <c r="C113" s="168"/>
      <c r="D113" s="168"/>
      <c r="E113" s="169"/>
      <c r="F113" s="157"/>
      <c r="G113" s="161"/>
      <c r="H113" s="168"/>
      <c r="I113" s="168"/>
      <c r="J113" s="168"/>
      <c r="K113" s="169"/>
      <c r="L113" s="157"/>
      <c r="M113" s="161"/>
      <c r="N113" s="168" t="s">
        <v>191</v>
      </c>
      <c r="O113" s="186" t="s">
        <v>25</v>
      </c>
      <c r="P113" s="168"/>
      <c r="Q113" s="169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89" t="s">
        <v>192</v>
      </c>
      <c r="B114" s="189"/>
      <c r="C114" s="189"/>
      <c r="D114" s="189"/>
      <c r="E114" s="189"/>
      <c r="F114" s="157"/>
      <c r="G114" s="189" t="s">
        <v>192</v>
      </c>
      <c r="H114" s="189"/>
      <c r="I114" s="189"/>
      <c r="J114" s="189"/>
      <c r="K114" s="189"/>
      <c r="L114" s="157"/>
      <c r="M114" s="189" t="s">
        <v>192</v>
      </c>
      <c r="N114" s="189"/>
      <c r="O114" s="189"/>
      <c r="P114" s="189"/>
      <c r="Q114" s="189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/>
      <c r="B115" s="168"/>
      <c r="C115" s="168"/>
      <c r="D115" s="168"/>
      <c r="E115" s="169"/>
      <c r="F115" s="157"/>
      <c r="G115" s="161"/>
      <c r="H115" s="168"/>
      <c r="I115" s="168"/>
      <c r="J115" s="168"/>
      <c r="K115" s="169"/>
      <c r="L115" s="157"/>
      <c r="M115" s="161"/>
      <c r="N115" s="168"/>
      <c r="O115" s="168"/>
      <c r="P115" s="168"/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 t="s">
        <v>193</v>
      </c>
      <c r="B116" s="186" t="s">
        <v>26</v>
      </c>
      <c r="C116" s="168"/>
      <c r="D116" s="168"/>
      <c r="E116" s="169"/>
      <c r="F116" s="157"/>
      <c r="G116" s="161" t="s">
        <v>193</v>
      </c>
      <c r="H116" s="186" t="s">
        <v>25</v>
      </c>
      <c r="I116" s="168"/>
      <c r="J116" s="168"/>
      <c r="K116" s="169"/>
      <c r="L116" s="157"/>
      <c r="M116" s="161" t="s">
        <v>193</v>
      </c>
      <c r="N116" s="186" t="s">
        <v>25</v>
      </c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161"/>
      <c r="B117" s="168"/>
      <c r="C117" s="168"/>
      <c r="D117" s="168"/>
      <c r="E117" s="169"/>
      <c r="F117" s="157"/>
      <c r="G117" s="161"/>
      <c r="H117" s="168"/>
      <c r="I117" s="168"/>
      <c r="J117" s="168"/>
      <c r="K117" s="169"/>
      <c r="L117" s="157"/>
      <c r="M117" s="161"/>
      <c r="N117" s="168"/>
      <c r="O117" s="168"/>
      <c r="P117" s="168"/>
      <c r="Q117" s="169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135</v>
      </c>
      <c r="B118" s="168"/>
      <c r="C118" s="168"/>
      <c r="D118" s="57" t="n">
        <v>0</v>
      </c>
      <c r="E118" s="58" t="n">
        <v>0</v>
      </c>
      <c r="F118" s="157"/>
      <c r="G118" s="161" t="s">
        <v>135</v>
      </c>
      <c r="H118" s="168"/>
      <c r="I118" s="168"/>
      <c r="J118" s="57" t="n">
        <v>10000</v>
      </c>
      <c r="K118" s="58" t="n">
        <v>5000</v>
      </c>
      <c r="L118" s="157"/>
      <c r="M118" s="161" t="s">
        <v>135</v>
      </c>
      <c r="N118" s="168"/>
      <c r="O118" s="168"/>
      <c r="P118" s="57" t="n">
        <v>10000</v>
      </c>
      <c r="Q118" s="58" t="n">
        <v>5000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161" t="s">
        <v>136</v>
      </c>
      <c r="B119" s="168"/>
      <c r="C119" s="168"/>
      <c r="D119" s="26" t="n">
        <f aca="false">E119</f>
        <v>0</v>
      </c>
      <c r="E119" s="58" t="n">
        <v>0</v>
      </c>
      <c r="F119" s="157"/>
      <c r="G119" s="161" t="s">
        <v>136</v>
      </c>
      <c r="H119" s="168"/>
      <c r="I119" s="168"/>
      <c r="J119" s="26" t="n">
        <f aca="false">K119</f>
        <v>7000</v>
      </c>
      <c r="K119" s="58" t="n">
        <v>7000</v>
      </c>
      <c r="L119" s="157"/>
      <c r="M119" s="161" t="s">
        <v>136</v>
      </c>
      <c r="N119" s="168"/>
      <c r="O119" s="168"/>
      <c r="P119" s="26" t="n">
        <f aca="false">Q119</f>
        <v>7000</v>
      </c>
      <c r="Q119" s="58" t="n">
        <v>7000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 t="s">
        <v>137</v>
      </c>
      <c r="B120" s="168"/>
      <c r="C120" s="168"/>
      <c r="D120" s="26" t="n">
        <f aca="false">D118-D119</f>
        <v>0</v>
      </c>
      <c r="E120" s="141" t="n">
        <f aca="false">E118-E119</f>
        <v>0</v>
      </c>
      <c r="F120" s="157"/>
      <c r="G120" s="161" t="s">
        <v>137</v>
      </c>
      <c r="H120" s="168"/>
      <c r="I120" s="168"/>
      <c r="J120" s="26" t="n">
        <f aca="false">J118-J119</f>
        <v>3000</v>
      </c>
      <c r="K120" s="141" t="n">
        <f aca="false">K118-K119</f>
        <v>-2000</v>
      </c>
      <c r="L120" s="157"/>
      <c r="M120" s="161" t="s">
        <v>137</v>
      </c>
      <c r="N120" s="168"/>
      <c r="O120" s="168"/>
      <c r="P120" s="26" t="n">
        <f aca="false">P118-P119</f>
        <v>3000</v>
      </c>
      <c r="Q120" s="141" t="n">
        <f aca="false">Q118-Q119</f>
        <v>-2000</v>
      </c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 t="s">
        <v>138</v>
      </c>
      <c r="B121" s="168"/>
      <c r="C121" s="168"/>
      <c r="D121" s="26" t="n">
        <f aca="false">D120-E120</f>
        <v>0</v>
      </c>
      <c r="E121" s="169"/>
      <c r="F121" s="157"/>
      <c r="G121" s="161" t="s">
        <v>138</v>
      </c>
      <c r="H121" s="168"/>
      <c r="I121" s="168"/>
      <c r="J121" s="26" t="n">
        <f aca="false">J120-K120</f>
        <v>5000</v>
      </c>
      <c r="K121" s="169"/>
      <c r="L121" s="157"/>
      <c r="M121" s="161" t="s">
        <v>138</v>
      </c>
      <c r="N121" s="168"/>
      <c r="O121" s="168"/>
      <c r="P121" s="26" t="n">
        <f aca="false">P120-Q120</f>
        <v>5000</v>
      </c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61"/>
      <c r="B122" s="168"/>
      <c r="C122" s="168"/>
      <c r="D122" s="168"/>
      <c r="E122" s="169"/>
      <c r="F122" s="157"/>
      <c r="G122" s="161"/>
      <c r="H122" s="168"/>
      <c r="I122" s="168"/>
      <c r="J122" s="168"/>
      <c r="K122" s="169"/>
      <c r="L122" s="157"/>
      <c r="M122" s="161"/>
      <c r="N122" s="168"/>
      <c r="O122" s="168"/>
      <c r="P122" s="168"/>
      <c r="Q122" s="16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204" t="s">
        <v>117</v>
      </c>
      <c r="B123" s="205"/>
      <c r="C123" s="205"/>
      <c r="D123" s="205"/>
      <c r="E123" s="119" t="n">
        <f aca="false">D105</f>
        <v>0</v>
      </c>
      <c r="F123" s="157"/>
      <c r="G123" s="204" t="s">
        <v>117</v>
      </c>
      <c r="H123" s="205"/>
      <c r="I123" s="205"/>
      <c r="J123" s="205"/>
      <c r="K123" s="119" t="n">
        <f aca="false">J105</f>
        <v>5000</v>
      </c>
      <c r="L123" s="157"/>
      <c r="M123" s="204" t="s">
        <v>117</v>
      </c>
      <c r="N123" s="205"/>
      <c r="O123" s="205"/>
      <c r="P123" s="205"/>
      <c r="Q123" s="119" t="n">
        <f aca="false">P105</f>
        <v>0</v>
      </c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141</v>
      </c>
      <c r="B124" s="168"/>
      <c r="C124" s="168"/>
      <c r="D124" s="168"/>
      <c r="E124" s="166" t="n">
        <f aca="false">A108</f>
        <v>199.99</v>
      </c>
      <c r="F124" s="157"/>
      <c r="G124" s="161" t="s">
        <v>141</v>
      </c>
      <c r="H124" s="168"/>
      <c r="I124" s="168"/>
      <c r="J124" s="168"/>
      <c r="K124" s="166" t="n">
        <f aca="false">G108</f>
        <v>239.988</v>
      </c>
      <c r="L124" s="157"/>
      <c r="M124" s="161" t="s">
        <v>141</v>
      </c>
      <c r="N124" s="168"/>
      <c r="O124" s="168"/>
      <c r="P124" s="168"/>
      <c r="Q124" s="166" t="n">
        <f aca="false">M108</f>
        <v>199.99</v>
      </c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250" t="s">
        <v>194</v>
      </c>
      <c r="B125" s="212"/>
      <c r="C125" s="212"/>
      <c r="D125" s="212"/>
      <c r="E125" s="121" t="n">
        <f aca="false">(E124+E123)-E120</f>
        <v>199.99</v>
      </c>
      <c r="F125" s="157"/>
      <c r="G125" s="250" t="s">
        <v>194</v>
      </c>
      <c r="H125" s="212"/>
      <c r="I125" s="212"/>
      <c r="J125" s="212"/>
      <c r="K125" s="121" t="n">
        <f aca="false">(K124+K123)-K120</f>
        <v>7239.988</v>
      </c>
      <c r="L125" s="157"/>
      <c r="M125" s="250" t="s">
        <v>194</v>
      </c>
      <c r="N125" s="212"/>
      <c r="O125" s="212"/>
      <c r="P125" s="212"/>
      <c r="Q125" s="121" t="n">
        <f aca="false">(Q124+Q123)-Q120</f>
        <v>2199.99</v>
      </c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/>
      <c r="B126" s="168"/>
      <c r="C126" s="168"/>
      <c r="D126" s="168"/>
      <c r="E126" s="169"/>
      <c r="F126" s="157"/>
      <c r="G126" s="161"/>
      <c r="H126" s="168"/>
      <c r="I126" s="168"/>
      <c r="J126" s="168"/>
      <c r="K126" s="169"/>
      <c r="L126" s="157"/>
      <c r="M126" s="161"/>
      <c r="N126" s="168"/>
      <c r="O126" s="168"/>
      <c r="P126" s="168"/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61"/>
      <c r="B127" s="168"/>
      <c r="C127" s="168"/>
      <c r="D127" s="168"/>
      <c r="E127" s="169"/>
      <c r="F127" s="157"/>
      <c r="G127" s="161"/>
      <c r="H127" s="168"/>
      <c r="I127" s="168"/>
      <c r="J127" s="168"/>
      <c r="K127" s="169"/>
      <c r="L127" s="157"/>
      <c r="M127" s="161"/>
      <c r="N127" s="168"/>
      <c r="O127" s="168"/>
      <c r="P127" s="168"/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89" t="s">
        <v>195</v>
      </c>
      <c r="B128" s="189"/>
      <c r="C128" s="189"/>
      <c r="D128" s="189"/>
      <c r="E128" s="189"/>
      <c r="F128" s="157"/>
      <c r="G128" s="189" t="s">
        <v>195</v>
      </c>
      <c r="H128" s="189"/>
      <c r="I128" s="189"/>
      <c r="J128" s="189"/>
      <c r="K128" s="189"/>
      <c r="L128" s="157"/>
      <c r="M128" s="189" t="s">
        <v>195</v>
      </c>
      <c r="N128" s="189"/>
      <c r="O128" s="189"/>
      <c r="P128" s="189"/>
      <c r="Q128" s="18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/>
      <c r="B129" s="168"/>
      <c r="C129" s="168"/>
      <c r="D129" s="168"/>
      <c r="E129" s="169"/>
      <c r="F129" s="157"/>
      <c r="G129" s="161"/>
      <c r="H129" s="168"/>
      <c r="I129" s="168"/>
      <c r="J129" s="168"/>
      <c r="K129" s="169"/>
      <c r="L129" s="157"/>
      <c r="M129" s="161"/>
      <c r="N129" s="168"/>
      <c r="O129" s="168"/>
      <c r="P129" s="168"/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61" t="s">
        <v>36</v>
      </c>
      <c r="B130" s="146" t="n">
        <v>1200</v>
      </c>
      <c r="C130" s="146"/>
      <c r="D130" s="168"/>
      <c r="E130" s="169"/>
      <c r="F130" s="157"/>
      <c r="G130" s="161" t="s">
        <v>36</v>
      </c>
      <c r="H130" s="146" t="n">
        <v>0</v>
      </c>
      <c r="I130" s="146"/>
      <c r="J130" s="168"/>
      <c r="K130" s="169"/>
      <c r="L130" s="157"/>
      <c r="M130" s="161" t="s">
        <v>36</v>
      </c>
      <c r="N130" s="146" t="n">
        <v>0</v>
      </c>
      <c r="O130" s="146"/>
      <c r="P130" s="168"/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40</v>
      </c>
      <c r="B132" s="168" t="s">
        <v>41</v>
      </c>
      <c r="C132" s="168"/>
      <c r="D132" s="168" t="s">
        <v>69</v>
      </c>
      <c r="E132" s="169"/>
      <c r="F132" s="157"/>
      <c r="G132" s="161" t="s">
        <v>40</v>
      </c>
      <c r="H132" s="168" t="s">
        <v>41</v>
      </c>
      <c r="I132" s="168"/>
      <c r="J132" s="168" t="s">
        <v>69</v>
      </c>
      <c r="K132" s="169"/>
      <c r="L132" s="157"/>
      <c r="M132" s="161" t="s">
        <v>40</v>
      </c>
      <c r="N132" s="168" t="s">
        <v>41</v>
      </c>
      <c r="O132" s="168"/>
      <c r="P132" s="168" t="s">
        <v>69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192" t="n">
        <f aca="false">A158</f>
        <v>33</v>
      </c>
      <c r="B133" s="193" t="n">
        <f aca="false">B157</f>
        <v>11000</v>
      </c>
      <c r="C133" s="194"/>
      <c r="D133" s="193" t="n">
        <f aca="false">B64</f>
        <v>32</v>
      </c>
      <c r="E133" s="169"/>
      <c r="F133" s="157"/>
      <c r="G133" s="192" t="n">
        <f aca="false">G158</f>
        <v>33</v>
      </c>
      <c r="H133" s="193" t="n">
        <f aca="false">B157</f>
        <v>11000</v>
      </c>
      <c r="I133" s="194"/>
      <c r="J133" s="193" t="n">
        <f aca="false">B64</f>
        <v>32</v>
      </c>
      <c r="K133" s="169"/>
      <c r="L133" s="157"/>
      <c r="M133" s="192" t="n">
        <f aca="false">M161</f>
        <v>33</v>
      </c>
      <c r="N133" s="193" t="n">
        <f aca="false">B157</f>
        <v>11000</v>
      </c>
      <c r="O133" s="194"/>
      <c r="P133" s="193" t="n">
        <f aca="false">B64</f>
        <v>32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251" t="s">
        <v>196</v>
      </c>
      <c r="B135" s="252" t="s">
        <v>197</v>
      </c>
      <c r="C135" s="252"/>
      <c r="D135" s="252" t="s">
        <v>102</v>
      </c>
      <c r="E135" s="169"/>
      <c r="F135" s="157"/>
      <c r="G135" s="251" t="s">
        <v>198</v>
      </c>
      <c r="H135" s="252" t="s">
        <v>199</v>
      </c>
      <c r="I135" s="252"/>
      <c r="J135" s="252" t="s">
        <v>200</v>
      </c>
      <c r="K135" s="169"/>
      <c r="L135" s="157"/>
      <c r="M135" s="251" t="s">
        <v>196</v>
      </c>
      <c r="N135" s="252" t="s">
        <v>197</v>
      </c>
      <c r="O135" s="252"/>
      <c r="P135" s="252" t="s">
        <v>102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53" t="n">
        <f aca="false">B96</f>
        <v>606.021133073372</v>
      </c>
      <c r="B136" s="150" t="n">
        <f aca="false">IF(A111="YES", B95*B63, 0)</f>
        <v>27.276</v>
      </c>
      <c r="C136" s="150"/>
      <c r="D136" s="150" t="n">
        <f aca="false">B97</f>
        <v>633.297133073372</v>
      </c>
      <c r="E136" s="169"/>
      <c r="F136" s="157"/>
      <c r="G136" s="253" t="n">
        <f aca="false">H96</f>
        <v>884.681158397203</v>
      </c>
      <c r="H136" s="150" t="n">
        <f aca="false">IF(G111="YES", H95*H63, 0)</f>
        <v>98.1936</v>
      </c>
      <c r="I136" s="150"/>
      <c r="J136" s="254" t="n">
        <f aca="false">H97</f>
        <v>917.412358397203</v>
      </c>
      <c r="K136" s="169"/>
      <c r="L136" s="157"/>
      <c r="M136" s="253" t="n">
        <f aca="false">N96</f>
        <v>541.264233195203</v>
      </c>
      <c r="N136" s="150" t="n">
        <f aca="false">IF(M111="YES", N95*N63, 0)</f>
        <v>245.484</v>
      </c>
      <c r="O136" s="150"/>
      <c r="P136" s="150" t="n">
        <f aca="false">N97</f>
        <v>561.721233195203</v>
      </c>
      <c r="Q136" s="169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201</v>
      </c>
      <c r="B138" s="168" t="s">
        <v>202</v>
      </c>
      <c r="C138" s="168"/>
      <c r="D138" s="168" t="s">
        <v>203</v>
      </c>
      <c r="E138" s="169"/>
      <c r="F138" s="157"/>
      <c r="G138" s="161" t="s">
        <v>204</v>
      </c>
      <c r="H138" s="168" t="s">
        <v>205</v>
      </c>
      <c r="I138" s="168"/>
      <c r="J138" s="168" t="s">
        <v>206</v>
      </c>
      <c r="K138" s="169"/>
      <c r="L138" s="157"/>
      <c r="M138" s="161" t="s">
        <v>201</v>
      </c>
      <c r="N138" s="168" t="s">
        <v>202</v>
      </c>
      <c r="O138" s="168"/>
      <c r="P138" s="168" t="s">
        <v>203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55" t="n">
        <f aca="false">B96*B63</f>
        <v>606.021133073372</v>
      </c>
      <c r="B139" s="23" t="n">
        <f aca="false">IF(A111="YES", B95*B63, 0)</f>
        <v>27.276</v>
      </c>
      <c r="C139" s="199"/>
      <c r="D139" s="200" t="n">
        <f aca="false">B97*B63</f>
        <v>633.297133073372</v>
      </c>
      <c r="E139" s="169"/>
      <c r="F139" s="157"/>
      <c r="G139" s="55" t="n">
        <f aca="false">H96*H63</f>
        <v>2654.04347519161</v>
      </c>
      <c r="H139" s="23" t="n">
        <f aca="false">IF(G111="YES", H95*H63, 0)</f>
        <v>98.1936</v>
      </c>
      <c r="I139" s="199"/>
      <c r="J139" s="23" t="n">
        <f aca="false">H97*H63</f>
        <v>2752.23707519161</v>
      </c>
      <c r="K139" s="169"/>
      <c r="L139" s="157"/>
      <c r="M139" s="55" t="n">
        <f aca="false">N96*N63</f>
        <v>6495.17079834244</v>
      </c>
      <c r="N139" s="23" t="n">
        <f aca="false">IF(M111="YES", N95*N63, 0)</f>
        <v>245.484</v>
      </c>
      <c r="O139" s="199"/>
      <c r="P139" s="200" t="n">
        <f aca="false">N97*N63</f>
        <v>6740.65479834244</v>
      </c>
      <c r="Q139" s="169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207</v>
      </c>
      <c r="B141" s="168" t="s">
        <v>208</v>
      </c>
      <c r="C141" s="168"/>
      <c r="D141" s="168" t="s">
        <v>209</v>
      </c>
      <c r="E141" s="169"/>
      <c r="F141" s="157"/>
      <c r="G141" s="161" t="s">
        <v>210</v>
      </c>
      <c r="H141" s="168" t="s">
        <v>211</v>
      </c>
      <c r="I141" s="168"/>
      <c r="J141" s="168" t="s">
        <v>212</v>
      </c>
      <c r="K141" s="169"/>
      <c r="L141" s="157"/>
      <c r="M141" s="161" t="s">
        <v>207</v>
      </c>
      <c r="N141" s="168" t="s">
        <v>208</v>
      </c>
      <c r="O141" s="168"/>
      <c r="P141" s="168" t="s">
        <v>209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E15*0.000006</f>
        <v>1.011</v>
      </c>
      <c r="B142" s="23" t="n">
        <f aca="false">IF(A111="YES", E15*0.000002, 0)</f>
        <v>0.337</v>
      </c>
      <c r="C142" s="23"/>
      <c r="D142" s="23" t="n">
        <f aca="false">A142+B142</f>
        <v>1.348</v>
      </c>
      <c r="E142" s="153"/>
      <c r="F142" s="157"/>
      <c r="G142" s="22" t="n">
        <f aca="false">E15*0.000006</f>
        <v>1.011</v>
      </c>
      <c r="H142" s="23" t="n">
        <f aca="false">IF(G111="YES", E15*0.000002, 0)</f>
        <v>0.337</v>
      </c>
      <c r="I142" s="23"/>
      <c r="J142" s="23" t="n">
        <f aca="false">G142+H142</f>
        <v>1.348</v>
      </c>
      <c r="K142" s="153"/>
      <c r="L142" s="157"/>
      <c r="M142" s="22" t="n">
        <f aca="false">E15*0.000006</f>
        <v>1.011</v>
      </c>
      <c r="N142" s="23" t="n">
        <f aca="false">IF(M111="YES", E15*0.000002, 0)</f>
        <v>0.337</v>
      </c>
      <c r="O142" s="23"/>
      <c r="P142" s="23" t="n">
        <f aca="false">M142+N142</f>
        <v>1.348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120</v>
      </c>
      <c r="B144" s="168" t="s">
        <v>213</v>
      </c>
      <c r="C144" s="168"/>
      <c r="D144" s="168" t="s">
        <v>214</v>
      </c>
      <c r="E144" s="169"/>
      <c r="F144" s="157"/>
      <c r="G144" s="161" t="s">
        <v>215</v>
      </c>
      <c r="H144" s="168" t="s">
        <v>213</v>
      </c>
      <c r="I144" s="168"/>
      <c r="J144" s="168" t="s">
        <v>214</v>
      </c>
      <c r="K144" s="169"/>
      <c r="L144" s="157"/>
      <c r="M144" s="161" t="s">
        <v>120</v>
      </c>
      <c r="N144" s="168" t="s">
        <v>213</v>
      </c>
      <c r="O144" s="168"/>
      <c r="P144" s="168" t="s">
        <v>214</v>
      </c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2596.875</v>
      </c>
      <c r="C145" s="23"/>
      <c r="D145" s="23" t="n">
        <f aca="false">B108*0.9</f>
        <v>0</v>
      </c>
      <c r="E145" s="153"/>
      <c r="F145" s="157"/>
      <c r="G145" s="22" t="n">
        <f aca="false">G108</f>
        <v>239.988</v>
      </c>
      <c r="H145" s="23" t="n">
        <f aca="false">H73/1.2</f>
        <v>1298.4375</v>
      </c>
      <c r="I145" s="23"/>
      <c r="J145" s="23" t="n">
        <f aca="false">H108*0.9</f>
        <v>1080</v>
      </c>
      <c r="K145" s="153"/>
      <c r="L145" s="157"/>
      <c r="M145" s="22" t="n">
        <f aca="false">M108</f>
        <v>199.99</v>
      </c>
      <c r="N145" s="23" t="n">
        <f aca="false">N73/1.2</f>
        <v>1298.4375</v>
      </c>
      <c r="O145" s="23"/>
      <c r="P145" s="23" t="n">
        <f aca="false">N108*0.9</f>
        <v>1080</v>
      </c>
      <c r="Q145" s="153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61"/>
      <c r="N146" s="168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 t="s">
        <v>216</v>
      </c>
      <c r="B147" s="168" t="s">
        <v>217</v>
      </c>
      <c r="C147" s="168"/>
      <c r="D147" s="168" t="s">
        <v>218</v>
      </c>
      <c r="E147" s="169"/>
      <c r="F147" s="157"/>
      <c r="G147" s="161" t="s">
        <v>216</v>
      </c>
      <c r="H147" s="168" t="s">
        <v>217</v>
      </c>
      <c r="I147" s="168"/>
      <c r="J147" s="168" t="s">
        <v>218</v>
      </c>
      <c r="K147" s="169"/>
      <c r="L147" s="157"/>
      <c r="M147" s="161" t="s">
        <v>216</v>
      </c>
      <c r="N147" s="168" t="s">
        <v>217</v>
      </c>
      <c r="O147" s="168"/>
      <c r="P147" s="168" t="s">
        <v>218</v>
      </c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2" t="n">
        <f aca="false">IF(A111="YES", ((A41*B111)*0.1)*(A133), 0)</f>
        <v>15.0018</v>
      </c>
      <c r="B148" s="23" t="n">
        <f aca="false">A108-100</f>
        <v>99.99</v>
      </c>
      <c r="C148" s="23"/>
      <c r="D148" s="23" t="n">
        <f aca="false">(B145+D145+A148+B148)-B151</f>
        <v>2711.8668</v>
      </c>
      <c r="E148" s="153"/>
      <c r="F148" s="157"/>
      <c r="G148" s="22" t="n">
        <f aca="false">IF(G111="YES", ((A41*H111)*0.1)*(G133), 0)</f>
        <v>15.0018</v>
      </c>
      <c r="H148" s="23" t="n">
        <f aca="false">G108-100</f>
        <v>139.988</v>
      </c>
      <c r="I148" s="23"/>
      <c r="J148" s="23" t="n">
        <f aca="false">(H145+J145+G148+H148)-H151</f>
        <v>2533.4273</v>
      </c>
      <c r="K148" s="153"/>
      <c r="L148" s="157"/>
      <c r="M148" s="22" t="n">
        <f aca="false">IF(M111="YES", ((A41*N111)*0.1)*(M133), 0)</f>
        <v>15.0018</v>
      </c>
      <c r="N148" s="23" t="n">
        <f aca="false">M108-100</f>
        <v>99.99</v>
      </c>
      <c r="O148" s="23"/>
      <c r="P148" s="23" t="n">
        <f aca="false">(N145+P145+M148+N148)-N151</f>
        <v>2493.4293</v>
      </c>
      <c r="Q148" s="153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168"/>
      <c r="I149" s="16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 t="s">
        <v>219</v>
      </c>
      <c r="B150" s="168" t="s">
        <v>220</v>
      </c>
      <c r="C150" s="168"/>
      <c r="D150" s="168"/>
      <c r="E150" s="169"/>
      <c r="F150" s="157"/>
      <c r="G150" s="161" t="s">
        <v>219</v>
      </c>
      <c r="H150" s="168" t="s">
        <v>220</v>
      </c>
      <c r="I150" s="168"/>
      <c r="J150" s="168"/>
      <c r="K150" s="169"/>
      <c r="L150" s="157"/>
      <c r="M150" s="161" t="s">
        <v>219</v>
      </c>
      <c r="N150" s="168" t="s">
        <v>220</v>
      </c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168"/>
      <c r="D151" s="168"/>
      <c r="E151" s="169"/>
      <c r="F151" s="157"/>
      <c r="G151" s="22" t="n">
        <f aca="false">IF((1200-H108) &lt;= 0, 0, (1200-H108))</f>
        <v>0</v>
      </c>
      <c r="H151" s="23" t="n">
        <f aca="false">(H145+J145+G148+H148)*(G151/H70)</f>
        <v>0</v>
      </c>
      <c r="I151" s="168"/>
      <c r="J151" s="168"/>
      <c r="K151" s="169"/>
      <c r="L151" s="157"/>
      <c r="M151" s="22" t="n">
        <f aca="false">IF((1200-N108) &lt;= 0, 0, (1200-N108))</f>
        <v>0</v>
      </c>
      <c r="N151" s="23" t="n">
        <f aca="false">(N145+P145+M148+N148)*(M151/N70)</f>
        <v>0</v>
      </c>
      <c r="O151" s="168"/>
      <c r="P151" s="168"/>
      <c r="Q151" s="169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168"/>
      <c r="C152" s="168"/>
      <c r="D152" s="168"/>
      <c r="E152" s="169"/>
      <c r="F152" s="157"/>
      <c r="G152" s="161"/>
      <c r="H152" s="168"/>
      <c r="I152" s="168"/>
      <c r="J152" s="168"/>
      <c r="K152" s="169"/>
      <c r="L152" s="157"/>
      <c r="M152" s="22"/>
      <c r="N152" s="23"/>
      <c r="O152" s="16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64" t="s">
        <v>221</v>
      </c>
      <c r="N153" s="26" t="s">
        <v>222</v>
      </c>
      <c r="O153" s="168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14" t="s">
        <v>223</v>
      </c>
      <c r="B154" s="168"/>
      <c r="C154" s="168"/>
      <c r="D154" s="215"/>
      <c r="E154" s="216"/>
      <c r="F154" s="157"/>
      <c r="G154" s="214" t="s">
        <v>223</v>
      </c>
      <c r="H154" s="168"/>
      <c r="I154" s="168"/>
      <c r="J154" s="215"/>
      <c r="K154" s="216"/>
      <c r="L154" s="157"/>
      <c r="M154" s="255" t="n">
        <f aca="false">H40</f>
        <v>0</v>
      </c>
      <c r="N154" s="256" t="n">
        <v>0.99</v>
      </c>
      <c r="O154" s="256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218"/>
      <c r="C155" s="218"/>
      <c r="D155" s="168"/>
      <c r="E155" s="169"/>
      <c r="F155" s="157"/>
      <c r="G155" s="161"/>
      <c r="H155" s="218"/>
      <c r="I155" s="218"/>
      <c r="J155" s="168"/>
      <c r="K155" s="169"/>
      <c r="L155" s="157"/>
      <c r="M155" s="161"/>
      <c r="N155" s="168"/>
      <c r="O155" s="16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220" t="s">
        <v>40</v>
      </c>
      <c r="B156" s="221" t="s">
        <v>41</v>
      </c>
      <c r="C156" s="221"/>
      <c r="D156" s="168"/>
      <c r="E156" s="169"/>
      <c r="F156" s="157"/>
      <c r="G156" s="220" t="s">
        <v>40</v>
      </c>
      <c r="H156" s="221" t="s">
        <v>41</v>
      </c>
      <c r="I156" s="221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20"/>
      <c r="B157" s="222" t="n">
        <f aca="false">B57</f>
        <v>11000</v>
      </c>
      <c r="C157" s="222"/>
      <c r="D157" s="168"/>
      <c r="E157" s="169"/>
      <c r="F157" s="157"/>
      <c r="G157" s="220"/>
      <c r="H157" s="222" t="n">
        <f aca="false">B57</f>
        <v>11000</v>
      </c>
      <c r="I157" s="222"/>
      <c r="J157" s="168"/>
      <c r="K157" s="169"/>
      <c r="L157" s="157"/>
      <c r="M157" s="214" t="s">
        <v>223</v>
      </c>
      <c r="N157" s="168"/>
      <c r="O157" s="168"/>
      <c r="P157" s="215"/>
      <c r="Q157" s="216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223" t="n">
        <f aca="false">A58</f>
        <v>33</v>
      </c>
      <c r="B158" s="78" t="n">
        <f aca="false">B97</f>
        <v>633.297133073372</v>
      </c>
      <c r="C158" s="78"/>
      <c r="D158" s="168"/>
      <c r="E158" s="169"/>
      <c r="F158" s="157"/>
      <c r="G158" s="223" t="n">
        <f aca="false">A58</f>
        <v>33</v>
      </c>
      <c r="H158" s="78" t="n">
        <f aca="false">H97</f>
        <v>917.412358397203</v>
      </c>
      <c r="I158" s="78"/>
      <c r="J158" s="168"/>
      <c r="K158" s="169"/>
      <c r="L158" s="157"/>
      <c r="M158" s="161"/>
      <c r="N158" s="218"/>
      <c r="O158" s="21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61"/>
      <c r="B159" s="168"/>
      <c r="C159" s="168"/>
      <c r="D159" s="168"/>
      <c r="E159" s="169"/>
      <c r="F159" s="157"/>
      <c r="G159" s="161"/>
      <c r="H159" s="168"/>
      <c r="I159" s="168"/>
      <c r="J159" s="168"/>
      <c r="K159" s="169"/>
      <c r="L159" s="157"/>
      <c r="M159" s="220" t="s">
        <v>40</v>
      </c>
      <c r="N159" s="221" t="s">
        <v>41</v>
      </c>
      <c r="O159" s="221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61"/>
      <c r="B160" s="168"/>
      <c r="C160" s="168"/>
      <c r="D160" s="168"/>
      <c r="E160" s="169"/>
      <c r="F160" s="157"/>
      <c r="G160" s="161"/>
      <c r="H160" s="168"/>
      <c r="I160" s="168"/>
      <c r="J160" s="168"/>
      <c r="K160" s="169"/>
      <c r="L160" s="157"/>
      <c r="M160" s="220"/>
      <c r="N160" s="222" t="n">
        <f aca="false">B57</f>
        <v>11000</v>
      </c>
      <c r="O160" s="222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61"/>
      <c r="B161" s="168"/>
      <c r="C161" s="168"/>
      <c r="D161" s="168"/>
      <c r="E161" s="169"/>
      <c r="F161" s="157"/>
      <c r="G161" s="161"/>
      <c r="H161" s="168"/>
      <c r="I161" s="168"/>
      <c r="J161" s="168"/>
      <c r="K161" s="169"/>
      <c r="L161" s="157"/>
      <c r="M161" s="223" t="n">
        <f aca="false">A58</f>
        <v>33</v>
      </c>
      <c r="N161" s="78" t="n">
        <f aca="false">N97</f>
        <v>561.721233195203</v>
      </c>
      <c r="O161" s="7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61"/>
      <c r="B162" s="168"/>
      <c r="C162" s="168"/>
      <c r="D162" s="168"/>
      <c r="E162" s="169"/>
      <c r="F162" s="157"/>
      <c r="G162" s="161"/>
      <c r="H162" s="168"/>
      <c r="I162" s="168"/>
      <c r="J162" s="168"/>
      <c r="K162" s="169"/>
      <c r="L162" s="157"/>
      <c r="M162" s="161"/>
      <c r="N162" s="168"/>
      <c r="O162" s="168"/>
      <c r="P162" s="168"/>
      <c r="Q162" s="169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211"/>
      <c r="B163" s="212"/>
      <c r="C163" s="212"/>
      <c r="D163" s="212"/>
      <c r="E163" s="213"/>
      <c r="F163" s="157"/>
      <c r="G163" s="211"/>
      <c r="H163" s="212"/>
      <c r="I163" s="212"/>
      <c r="J163" s="212"/>
      <c r="K163" s="213"/>
      <c r="L163" s="157"/>
      <c r="M163" s="161"/>
      <c r="N163" s="168"/>
      <c r="O163" s="168"/>
      <c r="P163" s="168"/>
      <c r="Q163" s="169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61"/>
      <c r="N164" s="168"/>
      <c r="O164" s="168"/>
      <c r="P164" s="168"/>
      <c r="Q164" s="169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61"/>
      <c r="N165" s="168"/>
      <c r="O165" s="168"/>
      <c r="P165" s="168"/>
      <c r="Q165" s="169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61"/>
      <c r="N166" s="168"/>
      <c r="O166" s="168"/>
      <c r="P166" s="168"/>
      <c r="Q166" s="169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61"/>
      <c r="N167" s="168"/>
      <c r="O167" s="168"/>
      <c r="P167" s="168"/>
      <c r="Q167" s="169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211"/>
      <c r="N168" s="212"/>
      <c r="O168" s="212"/>
      <c r="P168" s="212"/>
      <c r="Q168" s="213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8.75" hidden="false" customHeight="true" outlineLevel="0" collapsed="false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</row>
    <row r="357" customFormat="false" ht="18.75" hidden="false" customHeight="true" outlineLevel="0" collapsed="false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</row>
    <row r="358" customFormat="false" ht="18.75" hidden="false" customHeight="true" outlineLevel="0" collapsed="false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</row>
    <row r="359" customFormat="false" ht="18.75" hidden="false" customHeight="true" outlineLevel="0" collapsed="false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</row>
    <row r="360" customFormat="false" ht="18.75" hidden="false" customHeight="true" outlineLevel="0" collapsed="false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</row>
    <row r="361" customFormat="false" ht="18.75" hidden="false" customHeight="true" outlineLevel="0" collapsed="false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1.6835937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135750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135750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135750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27150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580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163535</v>
      </c>
      <c r="F15" s="157"/>
      <c r="G15" s="175" t="n">
        <f aca="false">E15</f>
        <v>163535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(B3+C3+E10+D3+E3)*1.2</f>
        <v>162900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163535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229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230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54</v>
      </c>
      <c r="H27" s="188" t="n">
        <f aca="false">IF(A32=Y103,1,IF(A32=Y104,1,IF(A32=Y105,3,IF(A32=Y106,6,IF(A32=Y107,9,IF(A32=Y108,12,IF(A32=Y109,3,IF(A32=Y110,6,IF(A32=Y111,9,0)))))))))</f>
        <v>9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231</v>
      </c>
      <c r="B28" s="199" t="s">
        <v>232</v>
      </c>
      <c r="C28" s="168"/>
      <c r="D28" s="199" t="s">
        <v>233</v>
      </c>
      <c r="E28" s="169"/>
      <c r="F28" s="157"/>
      <c r="G28" s="188" t="s">
        <v>69</v>
      </c>
      <c r="H28" s="188" t="n">
        <f aca="false">IF(A32=Y103,H29-H27,IF(A32=Y104,H29-H27,IF(A32=Y105,H29-1,IF(A32=Y106,H29-1,IF(A32=Y107,H29-1,IF(A32=Y108,H29-1,IF(A32=Y109,H29-H27,IF(A32=Y110,H29-H27,IF(A32=Y111,H29-H27,0)))))))))</f>
        <v>35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234</v>
      </c>
      <c r="B29" s="278" t="n">
        <v>12345</v>
      </c>
      <c r="C29" s="278"/>
      <c r="D29" s="279" t="n">
        <f aca="true">TODAY()+1</f>
        <v>44898</v>
      </c>
      <c r="E29" s="279"/>
      <c r="F29" s="157"/>
      <c r="G29" s="187" t="s">
        <v>35</v>
      </c>
      <c r="H29" s="187" t="n">
        <f aca="false">B35</f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38</v>
      </c>
      <c r="H30" s="187" t="n">
        <f aca="false">D35</f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235</v>
      </c>
      <c r="C31" s="168"/>
      <c r="D31" s="199" t="s">
        <v>202</v>
      </c>
      <c r="E31" s="169"/>
      <c r="F31" s="157"/>
      <c r="G31" s="187" t="s">
        <v>236</v>
      </c>
      <c r="H31" s="280" t="n">
        <f aca="false">D38</f>
        <v>2845.38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186</v>
      </c>
      <c r="B32" s="281" t="n">
        <f aca="false">IF(A32=Y103,D38,IF(A32=Y104,D38,IF(A32=Y105,(D38*3),IF(A32=Y106,(D38*6),IF(A32=Y107,(D38*9),IF(A32=Y108,(D38*12),IF(A32=Y109,D38,IF(A32=Y110,D38,IF(A32=Y111,D38,0)))))))))</f>
        <v>25608.42</v>
      </c>
      <c r="C32" s="281"/>
      <c r="D32" s="281" t="n">
        <f aca="false">IF(A32=Y103,A41,IF(A32=Y104,A41,IF(A32=Y105,(A41*3),IF(A32=Y106,(A41*6),IF(A32=Y107,(A41*9),IF(A32=Y108,(A41*12),IF(A32=Y109,A41,IF(A32=Y110,A41,IF(A32=Y111,A41,0)))))))))</f>
        <v>1035.81</v>
      </c>
      <c r="E32" s="281"/>
      <c r="F32" s="157"/>
      <c r="G32" s="282" t="s">
        <v>237</v>
      </c>
      <c r="H32" s="280" t="n">
        <f aca="false">A41</f>
        <v>115.09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/>
      <c r="H33" s="18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203</v>
      </c>
      <c r="B34" s="283" t="s">
        <v>239</v>
      </c>
      <c r="C34" s="194"/>
      <c r="D34" s="49" t="s">
        <v>240</v>
      </c>
      <c r="E34" s="169"/>
      <c r="F34" s="157"/>
      <c r="G34" s="282" t="s">
        <v>241</v>
      </c>
      <c r="H34" s="280" t="n">
        <f aca="false">D41</f>
        <v>100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26644.23</v>
      </c>
      <c r="B35" s="278" t="n">
        <v>36</v>
      </c>
      <c r="C35" s="278"/>
      <c r="D35" s="278" t="n">
        <v>10000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242</v>
      </c>
      <c r="B37" s="199" t="s">
        <v>243</v>
      </c>
      <c r="C37" s="168"/>
      <c r="D37" s="199" t="s">
        <v>244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30000</v>
      </c>
      <c r="B38" s="278" t="s">
        <v>25</v>
      </c>
      <c r="C38" s="278"/>
      <c r="D38" s="45" t="n">
        <v>2845.38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197</v>
      </c>
      <c r="B40" s="287" t="s">
        <v>102</v>
      </c>
      <c r="C40" s="194"/>
      <c r="D40" s="200" t="s">
        <v>120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115.09</v>
      </c>
      <c r="B41" s="288" t="n">
        <f aca="false">IF(B38="YES", D38+A41, D38)</f>
        <v>2960.47</v>
      </c>
      <c r="C41" s="288"/>
      <c r="D41" s="45" t="n">
        <v>100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50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207</v>
      </c>
      <c r="B43" s="287" t="s">
        <v>208</v>
      </c>
      <c r="C43" s="194"/>
      <c r="D43" s="287" t="s">
        <v>209</v>
      </c>
      <c r="E43" s="289"/>
      <c r="F43" s="157"/>
      <c r="G43" s="157" t="s">
        <v>246</v>
      </c>
      <c r="H43" s="202" t="n">
        <f aca="false">(((D38*(B35-1))+B32)/B35) + (D41/B35)</f>
        <v>3480.46444444444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500</v>
      </c>
      <c r="B44" s="45" t="n">
        <v>500</v>
      </c>
      <c r="C44" s="45"/>
      <c r="D44" s="298" t="n">
        <f aca="false">A44+B44</f>
        <v>1000</v>
      </c>
      <c r="E44" s="298"/>
      <c r="F44" s="157"/>
      <c r="G44" s="157" t="s">
        <v>247</v>
      </c>
      <c r="H44" s="202" t="n">
        <f aca="false">((A41*(B35-1))+D32)/B35</f>
        <v>140.665555555556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248</v>
      </c>
      <c r="H45" s="291" t="n">
        <f aca="false">H43+H44</f>
        <v>3621.13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94" t="s">
        <v>253</v>
      </c>
      <c r="B46" s="194"/>
      <c r="C46" s="194"/>
      <c r="D46" s="194"/>
      <c r="E46" s="289"/>
      <c r="F46" s="157"/>
      <c r="G46" s="157" t="s">
        <v>251</v>
      </c>
      <c r="H46" s="202" t="n">
        <f aca="false">H43</f>
        <v>3480.46444444444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85"/>
      <c r="B47" s="194"/>
      <c r="C47" s="194"/>
      <c r="D47" s="194"/>
      <c r="E47" s="289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/>
      <c r="H49" s="219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H45</f>
        <v>3621.13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IF(B99=Y103,1,IF(B99=Y104,1,IF(B99=Y105,3,IF(B99=Y106,6,IF(B99=Y107,9,IF(B99=Y108,12,IF(B99=Y109,3,IF(B99=Y110,6,IF(B99=Y111,9,0)))))))))</f>
        <v>1</v>
      </c>
      <c r="C57" s="168"/>
      <c r="D57" s="168"/>
      <c r="E57" s="169"/>
      <c r="F57" s="157"/>
      <c r="G57" s="161" t="s">
        <v>54</v>
      </c>
      <c r="H57" s="168" t="n">
        <f aca="false">IF(H99=Y103,1,IF(H99=Y104,1,IF(H99=Y105,3,IF(H99=Y106,6,IF(H99=Y107,9,IF(H99=Y108,12,IF(H99=Y109,3,IF(H99=Y110,6,IF(H99=Y111,9,0)))))))))</f>
        <v>1</v>
      </c>
      <c r="I57" s="168"/>
      <c r="J57" s="168"/>
      <c r="K57" s="169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IF(B99=Y103,H29-B57,IF(B99=Y104,H29-B57,IF(B99=Y105,H29-1,IF(B99=Y106,H29-1,IF(B99=Y107,H29-1,IF(B99=Y108,H29-1,IF(B99=Y109,H29-B57,IF(B99=Y110,H29-B57,IF(B99=Y111,H29-B57,0)))))))))</f>
        <v>35</v>
      </c>
      <c r="C58" s="168" t="s">
        <v>255</v>
      </c>
      <c r="D58" s="168"/>
      <c r="E58" s="169"/>
      <c r="F58" s="157"/>
      <c r="G58" s="161" t="s">
        <v>69</v>
      </c>
      <c r="H58" s="168" t="n">
        <f aca="false">IF(H99=Y103,H29-H57,IF(H99=Y104,H29-H57,IF(H99=Y105,H29-1,IF(H99=Y106,H29-1,IF(H99=Y107,H29-1,IF(H99=Y108,H29-1,IF(H99=Y109,H29-H57,IF(H99=Y110,H29-H57,IF(H99=Y111,H29-H57,0)))))))))</f>
        <v>35</v>
      </c>
      <c r="I58" s="168"/>
      <c r="J58" s="168"/>
      <c r="K58" s="169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162900</v>
      </c>
      <c r="C61" s="168"/>
      <c r="D61" s="168"/>
      <c r="E61" s="169"/>
      <c r="F61" s="157"/>
      <c r="G61" s="161" t="s">
        <v>21</v>
      </c>
      <c r="H61" s="65" t="n">
        <f aca="false">G18</f>
        <v>162900</v>
      </c>
      <c r="I61" s="168"/>
      <c r="J61" s="168"/>
      <c r="K61" s="169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17104.5</v>
      </c>
      <c r="C64" s="168"/>
      <c r="D64" s="65" t="n">
        <f aca="false">B64</f>
        <v>17104.5</v>
      </c>
      <c r="E64" s="169"/>
      <c r="F64" s="157"/>
      <c r="G64" s="211" t="s">
        <v>74</v>
      </c>
      <c r="H64" s="121" t="n">
        <f aca="false">H61*H63</f>
        <v>17104.5</v>
      </c>
      <c r="I64" s="168"/>
      <c r="J64" s="65" t="n">
        <f aca="false">H64</f>
        <v>17104.5</v>
      </c>
      <c r="K64" s="169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0.005</v>
      </c>
      <c r="C65" s="168"/>
      <c r="D65" s="168"/>
      <c r="E65" s="169"/>
      <c r="F65" s="157"/>
      <c r="G65" s="224" t="s">
        <v>75</v>
      </c>
      <c r="H65" s="225" t="n">
        <v>0.005</v>
      </c>
      <c r="I65" s="168"/>
      <c r="J65" s="168"/>
      <c r="K65" s="169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0.01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0.01</v>
      </c>
      <c r="I66" s="168"/>
      <c r="J66" s="168"/>
      <c r="K66" s="169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B61*B66</f>
        <v>1629</v>
      </c>
      <c r="C67" s="168"/>
      <c r="D67" s="65"/>
      <c r="E67" s="169"/>
      <c r="F67" s="157"/>
      <c r="G67" s="211" t="s">
        <v>77</v>
      </c>
      <c r="H67" s="121" t="n">
        <f aca="false">H61*H66</f>
        <v>1629</v>
      </c>
      <c r="I67" s="168"/>
      <c r="J67" s="65"/>
      <c r="K67" s="169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160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4.5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162</v>
      </c>
      <c r="C73" s="168"/>
      <c r="D73" s="65" t="n">
        <f aca="false">B73+B71</f>
        <v>322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150</v>
      </c>
      <c r="C74" s="168"/>
      <c r="D74" s="168"/>
      <c r="E74" s="169"/>
      <c r="F74" s="157"/>
      <c r="G74" s="224" t="s">
        <v>171</v>
      </c>
      <c r="H74" s="229" t="n">
        <v>150</v>
      </c>
      <c r="I74" s="168"/>
      <c r="J74" s="168"/>
      <c r="K74" s="169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f aca="false">IF(G18&gt;40000, 325, 0)</f>
        <v>325</v>
      </c>
      <c r="C75" s="168"/>
      <c r="D75" s="168"/>
      <c r="E75" s="169"/>
      <c r="F75" s="157"/>
      <c r="G75" s="158" t="s">
        <v>172</v>
      </c>
      <c r="H75" s="230" t="n">
        <f aca="false">IF(G18&gt;40000, 325, 0)</f>
        <v>325</v>
      </c>
      <c r="I75" s="168"/>
      <c r="J75" s="168"/>
      <c r="K75" s="169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989.583333333333</v>
      </c>
      <c r="C76" s="168"/>
      <c r="D76" s="65" t="n">
        <f aca="false">B76</f>
        <v>989.583333333333</v>
      </c>
      <c r="E76" s="169"/>
      <c r="F76" s="157"/>
      <c r="G76" s="211" t="s">
        <v>173</v>
      </c>
      <c r="H76" s="121" t="n">
        <f aca="false">((H74+H75)/12)*(H29-11)</f>
        <v>989.583333333333</v>
      </c>
      <c r="I76" s="168"/>
      <c r="J76" s="65" t="n">
        <f aca="false">H76</f>
        <v>989.583333333333</v>
      </c>
      <c r="K76" s="169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229" t="n">
        <f aca="false">B102</f>
        <v>1200</v>
      </c>
      <c r="C77" s="168"/>
      <c r="D77" s="65" t="n">
        <f aca="false">B77</f>
        <v>1200</v>
      </c>
      <c r="E77" s="169"/>
      <c r="F77" s="157"/>
      <c r="G77" s="224" t="s">
        <v>174</v>
      </c>
      <c r="H77" s="229" t="n">
        <f aca="false">H102</f>
        <v>1200</v>
      </c>
      <c r="I77" s="168"/>
      <c r="J77" s="65" t="n">
        <f aca="false">H77</f>
        <v>1200</v>
      </c>
      <c r="K77" s="169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</f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f aca="false">J102</f>
        <v>0</v>
      </c>
      <c r="I78" s="168"/>
      <c r="J78" s="65" t="n">
        <f aca="false">H78</f>
        <v>0</v>
      </c>
      <c r="K78" s="169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100</v>
      </c>
      <c r="C79" s="168"/>
      <c r="D79" s="65" t="n">
        <f aca="false">B79</f>
        <v>100</v>
      </c>
      <c r="E79" s="169"/>
      <c r="F79" s="157"/>
      <c r="G79" s="158" t="s">
        <v>84</v>
      </c>
      <c r="H79" s="230" t="n">
        <v>100</v>
      </c>
      <c r="I79" s="168"/>
      <c r="J79" s="65" t="n">
        <f aca="false">H79</f>
        <v>100</v>
      </c>
      <c r="K79" s="169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100</v>
      </c>
      <c r="C80" s="168"/>
      <c r="D80" s="65" t="n">
        <f aca="false">B80</f>
        <v>100</v>
      </c>
      <c r="E80" s="169"/>
      <c r="F80" s="157"/>
      <c r="G80" s="237" t="s">
        <v>85</v>
      </c>
      <c r="H80" s="238" t="n">
        <v>100</v>
      </c>
      <c r="I80" s="168"/>
      <c r="J80" s="65" t="n">
        <f aca="false">H80</f>
        <v>100</v>
      </c>
      <c r="K80" s="169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19816.0833333333</v>
      </c>
      <c r="C81" s="168"/>
      <c r="D81" s="168"/>
      <c r="E81" s="169"/>
      <c r="F81" s="157"/>
      <c r="G81" s="239" t="s">
        <v>86</v>
      </c>
      <c r="H81" s="240" t="n">
        <f aca="false">SUM(J64:J80)</f>
        <v>19816.0833333333</v>
      </c>
      <c r="I81" s="168"/>
      <c r="J81" s="168"/>
      <c r="K81" s="169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550.446759259259</v>
      </c>
      <c r="C82" s="168"/>
      <c r="D82" s="168"/>
      <c r="E82" s="169"/>
      <c r="F82" s="157"/>
      <c r="G82" s="161" t="s">
        <v>87</v>
      </c>
      <c r="H82" s="166" t="n">
        <f aca="false">H81/H29</f>
        <v>550.446759259259</v>
      </c>
      <c r="I82" s="168"/>
      <c r="J82" s="168"/>
      <c r="K82" s="169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H46</f>
        <v>3480.46444444444</v>
      </c>
      <c r="C83" s="168"/>
      <c r="D83" s="168"/>
      <c r="E83" s="169"/>
      <c r="F83" s="157"/>
      <c r="G83" s="241" t="s">
        <v>88</v>
      </c>
      <c r="H83" s="242" t="n">
        <f aca="false">H46</f>
        <v>3480.46444444444</v>
      </c>
      <c r="I83" s="168"/>
      <c r="J83" s="168"/>
      <c r="K83" s="169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((B83*(H27+H28)+B81))</f>
        <v>172956.518888889</v>
      </c>
      <c r="C85" s="168"/>
      <c r="D85" s="168"/>
      <c r="E85" s="169"/>
      <c r="F85" s="157"/>
      <c r="G85" s="204" t="s">
        <v>97</v>
      </c>
      <c r="H85" s="119" t="n">
        <f aca="false">((H83*(H27+H28))+H81)*1.2</f>
        <v>207547.822666667</v>
      </c>
      <c r="I85" s="168"/>
      <c r="J85" s="168"/>
      <c r="K85" s="169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(B85/(1-B70))*B70</f>
        <v>1465.14195105553</v>
      </c>
      <c r="C86" s="168"/>
      <c r="D86" s="168"/>
      <c r="E86" s="169"/>
      <c r="F86" s="157"/>
      <c r="G86" s="161" t="s">
        <v>98</v>
      </c>
      <c r="H86" s="166" t="n">
        <f aca="false">(((H83*(H27+H28))+H81)/(1-H70))*H70</f>
        <v>1465.14195105553</v>
      </c>
      <c r="I86" s="168"/>
      <c r="J86" s="168"/>
      <c r="K86" s="169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IF(B110="YES",((B85+B86)-A151-E114),((B85+B86)-A151))</f>
        <v>174421.660839944</v>
      </c>
      <c r="C87" s="168"/>
      <c r="D87" s="168"/>
      <c r="E87" s="169"/>
      <c r="F87" s="157"/>
      <c r="G87" s="211" t="s">
        <v>99</v>
      </c>
      <c r="H87" s="121" t="n">
        <f aca="false">IF(H110="YES",((H85+H86)-A151-K114),((H85+H86)-A151))</f>
        <v>209012.964617722</v>
      </c>
      <c r="I87" s="168"/>
      <c r="J87" s="168"/>
      <c r="K87" s="169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(A41+(A41*B105))</f>
        <v>138.108</v>
      </c>
      <c r="C89" s="168"/>
      <c r="D89" s="168"/>
      <c r="E89" s="169"/>
      <c r="F89" s="157"/>
      <c r="G89" s="239" t="s">
        <v>100</v>
      </c>
      <c r="H89" s="240" t="n">
        <f aca="false">(A41+(A41*H105))*1.2</f>
        <v>165.7296</v>
      </c>
      <c r="I89" s="168"/>
      <c r="J89" s="168"/>
      <c r="K89" s="169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IF(B99=Z102, (B87-D105)/(B58), B87/(B57+B58))</f>
        <v>4845.0461344429</v>
      </c>
      <c r="C90" s="168"/>
      <c r="D90" s="168"/>
      <c r="E90" s="169"/>
      <c r="F90" s="157"/>
      <c r="G90" s="243" t="s">
        <v>101</v>
      </c>
      <c r="H90" s="244" t="n">
        <f aca="false">IF(H99=AE98, (H87-J105)/(H58), H87/(H57+H58))</f>
        <v>5805.91568382562</v>
      </c>
      <c r="I90" s="168"/>
      <c r="J90" s="168"/>
      <c r="K90" s="169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4983.1541344429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5971.64528382562</v>
      </c>
      <c r="I91" s="168"/>
      <c r="J91" s="168"/>
      <c r="K91" s="169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46.5" hidden="false" customHeight="true" outlineLevel="0" collapsed="false">
      <c r="A94" s="184" t="s">
        <v>226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85" t="s">
        <v>180</v>
      </c>
      <c r="B99" s="248" t="s">
        <v>108</v>
      </c>
      <c r="C99" s="248"/>
      <c r="D99" s="58" t="n">
        <v>0</v>
      </c>
      <c r="E99" s="58"/>
      <c r="F99" s="157"/>
      <c r="G99" s="185" t="s">
        <v>180</v>
      </c>
      <c r="H99" s="248" t="s">
        <v>108</v>
      </c>
      <c r="I99" s="248"/>
      <c r="J99" s="58" t="n">
        <v>0</v>
      </c>
      <c r="K99" s="58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</row>
    <row r="102" customFormat="false" ht="18.75" hidden="false" customHeight="true" outlineLevel="0" collapsed="false">
      <c r="A102" s="57" t="n">
        <v>199.99</v>
      </c>
      <c r="B102" s="58" t="n">
        <v>1200</v>
      </c>
      <c r="C102" s="58"/>
      <c r="D102" s="58" t="n">
        <v>0</v>
      </c>
      <c r="E102" s="58"/>
      <c r="F102" s="157"/>
      <c r="G102" s="57" t="n">
        <f aca="false">199.99*1.2</f>
        <v>239.988</v>
      </c>
      <c r="H102" s="58" t="n">
        <v>1200</v>
      </c>
      <c r="I102" s="58"/>
      <c r="J102" s="58" t="n">
        <v>0</v>
      </c>
      <c r="K102" s="58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 t="s">
        <v>108</v>
      </c>
      <c r="Z103" s="157"/>
      <c r="AA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  <c r="AA104" s="157"/>
    </row>
    <row r="105" customFormat="false" ht="18.75" hidden="false" customHeight="true" outlineLevel="0" collapsed="false">
      <c r="A105" s="186" t="s">
        <v>25</v>
      </c>
      <c r="B105" s="249" t="n">
        <v>0.2</v>
      </c>
      <c r="C105" s="249"/>
      <c r="D105" s="58" t="n">
        <v>0</v>
      </c>
      <c r="E105" s="58"/>
      <c r="F105" s="157"/>
      <c r="G105" s="186" t="s">
        <v>25</v>
      </c>
      <c r="H105" s="249" t="n">
        <v>0.2</v>
      </c>
      <c r="I105" s="249"/>
      <c r="J105" s="58" t="n">
        <v>0</v>
      </c>
      <c r="K105" s="58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 t="s">
        <v>182</v>
      </c>
      <c r="Z105" s="157"/>
      <c r="AA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 t="s">
        <v>181</v>
      </c>
      <c r="Z106" s="157"/>
      <c r="AA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 t="s">
        <v>186</v>
      </c>
      <c r="Z107" s="157"/>
      <c r="AA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 t="s">
        <v>187</v>
      </c>
      <c r="Z108" s="157"/>
      <c r="AA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 t="s">
        <v>188</v>
      </c>
      <c r="Z109" s="157"/>
    </row>
    <row r="110" customFormat="false" ht="18.75" hidden="false" customHeight="true" outlineLevel="0" collapsed="false">
      <c r="A110" s="161" t="s">
        <v>193</v>
      </c>
      <c r="B110" s="186" t="s">
        <v>26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 t="s">
        <v>189</v>
      </c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 t="s">
        <v>190</v>
      </c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10000</v>
      </c>
      <c r="E112" s="58" t="n">
        <v>5000</v>
      </c>
      <c r="F112" s="157"/>
      <c r="G112" s="161" t="s">
        <v>135</v>
      </c>
      <c r="H112" s="168"/>
      <c r="I112" s="168"/>
      <c r="J112" s="57" t="n">
        <v>10000</v>
      </c>
      <c r="K112" s="58" t="n">
        <v>5000</v>
      </c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7000</v>
      </c>
      <c r="E113" s="58" t="n">
        <v>7000</v>
      </c>
      <c r="F113" s="157"/>
      <c r="G113" s="161" t="s">
        <v>136</v>
      </c>
      <c r="H113" s="168"/>
      <c r="I113" s="168"/>
      <c r="J113" s="26" t="n">
        <f aca="false">K113</f>
        <v>7000</v>
      </c>
      <c r="K113" s="58" t="n">
        <v>7000</v>
      </c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3000</v>
      </c>
      <c r="E114" s="141" t="n">
        <f aca="false">E112-E113</f>
        <v>-2000</v>
      </c>
      <c r="F114" s="157"/>
      <c r="G114" s="161" t="s">
        <v>137</v>
      </c>
      <c r="H114" s="168"/>
      <c r="I114" s="168"/>
      <c r="J114" s="26" t="n">
        <f aca="false">J112-J113</f>
        <v>3000</v>
      </c>
      <c r="K114" s="141" t="n">
        <f aca="false">K112-K113</f>
        <v>-2000</v>
      </c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5000</v>
      </c>
      <c r="E115" s="169"/>
      <c r="F115" s="157"/>
      <c r="G115" s="161" t="s">
        <v>138</v>
      </c>
      <c r="H115" s="168"/>
      <c r="I115" s="168"/>
      <c r="J115" s="26" t="n">
        <f aca="false">J114-K114</f>
        <v>5000</v>
      </c>
      <c r="K115" s="169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239.988</v>
      </c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(E118+E117)-D115</f>
        <v>-4800.01</v>
      </c>
      <c r="F119" s="157"/>
      <c r="G119" s="250" t="s">
        <v>194</v>
      </c>
      <c r="H119" s="212"/>
      <c r="I119" s="212"/>
      <c r="J119" s="212"/>
      <c r="K119" s="121" t="n">
        <f aca="false">(K118+K117)-J115</f>
        <v>-4760.012</v>
      </c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1300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 t="s">
        <v>40</v>
      </c>
      <c r="B126" s="168" t="s">
        <v>41</v>
      </c>
      <c r="C126" s="168"/>
      <c r="D126" s="168" t="s">
        <v>69</v>
      </c>
      <c r="E126" s="169"/>
      <c r="F126" s="157"/>
      <c r="G126" s="161" t="s">
        <v>40</v>
      </c>
      <c r="H126" s="168" t="s">
        <v>41</v>
      </c>
      <c r="I126" s="168"/>
      <c r="J126" s="168" t="s">
        <v>69</v>
      </c>
      <c r="K126" s="169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92" t="n">
        <f aca="false">A152</f>
        <v>36</v>
      </c>
      <c r="B127" s="193" t="n">
        <f aca="false">B151</f>
        <v>10000</v>
      </c>
      <c r="C127" s="194"/>
      <c r="D127" s="193" t="n">
        <f aca="false">B58</f>
        <v>35</v>
      </c>
      <c r="E127" s="169"/>
      <c r="F127" s="157"/>
      <c r="G127" s="192" t="n">
        <f aca="false">G152</f>
        <v>36</v>
      </c>
      <c r="H127" s="193" t="n">
        <f aca="false">A152</f>
        <v>36</v>
      </c>
      <c r="I127" s="194"/>
      <c r="J127" s="193" t="n">
        <f aca="false">B151</f>
        <v>10000</v>
      </c>
      <c r="K127" s="169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251" t="s">
        <v>196</v>
      </c>
      <c r="B129" s="252" t="s">
        <v>197</v>
      </c>
      <c r="C129" s="252"/>
      <c r="D129" s="252" t="s">
        <v>102</v>
      </c>
      <c r="E129" s="169"/>
      <c r="F129" s="157"/>
      <c r="G129" s="251" t="s">
        <v>198</v>
      </c>
      <c r="H129" s="252" t="s">
        <v>199</v>
      </c>
      <c r="I129" s="252"/>
      <c r="J129" s="252" t="s">
        <v>200</v>
      </c>
      <c r="K129" s="169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299"/>
    </row>
    <row r="130" customFormat="false" ht="18.75" hidden="false" customHeight="true" outlineLevel="0" collapsed="false">
      <c r="A130" s="253" t="n">
        <f aca="false">B90</f>
        <v>4845.0461344429</v>
      </c>
      <c r="B130" s="150" t="n">
        <f aca="false">IF(A105="YES", B89*B57, 0)</f>
        <v>138.108</v>
      </c>
      <c r="C130" s="150"/>
      <c r="D130" s="150" t="n">
        <f aca="false">B91</f>
        <v>4983.1541344429</v>
      </c>
      <c r="E130" s="153"/>
      <c r="F130" s="157"/>
      <c r="G130" s="253" t="n">
        <f aca="false">H90</f>
        <v>5805.91568382562</v>
      </c>
      <c r="H130" s="150" t="n">
        <f aca="false">IF(G105="YES", H89*H57, 0)</f>
        <v>165.7296</v>
      </c>
      <c r="I130" s="150"/>
      <c r="J130" s="254" t="n">
        <f aca="false">H91</f>
        <v>5971.64528382562</v>
      </c>
      <c r="K130" s="153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299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299"/>
    </row>
    <row r="132" customFormat="false" ht="18.75" hidden="false" customHeight="true" outlineLevel="0" collapsed="false">
      <c r="A132" s="161" t="s">
        <v>201</v>
      </c>
      <c r="B132" s="168" t="s">
        <v>202</v>
      </c>
      <c r="C132" s="168"/>
      <c r="D132" s="168" t="s">
        <v>203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4845.0461344429</v>
      </c>
      <c r="B133" s="23" t="n">
        <f aca="false">IF(A105="YES", B89*B57, 0)</f>
        <v>138.108</v>
      </c>
      <c r="C133" s="199"/>
      <c r="D133" s="200" t="n">
        <f aca="false">B91*B57</f>
        <v>4983.1541344429</v>
      </c>
      <c r="E133" s="169"/>
      <c r="F133" s="157"/>
      <c r="G133" s="55" t="n">
        <f aca="false">H90*H57</f>
        <v>5805.91568382562</v>
      </c>
      <c r="H133" s="23" t="n">
        <f aca="false">IF(G105="YES", H89*H57, 0)</f>
        <v>165.7296</v>
      </c>
      <c r="I133" s="199"/>
      <c r="J133" s="200" t="n">
        <f aca="false">H91*H57</f>
        <v>5971.64528382562</v>
      </c>
      <c r="K133" s="169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207</v>
      </c>
      <c r="B135" s="168" t="s">
        <v>208</v>
      </c>
      <c r="C135" s="168"/>
      <c r="D135" s="168" t="s">
        <v>209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0.98121</v>
      </c>
      <c r="B136" s="23" t="n">
        <f aca="false">IF(A105="YES", E15*0.000002, 0)</f>
        <v>0.32707</v>
      </c>
      <c r="C136" s="23"/>
      <c r="D136" s="23" t="n">
        <f aca="false">A136+B136</f>
        <v>1.30828</v>
      </c>
      <c r="E136" s="153"/>
      <c r="F136" s="157"/>
      <c r="G136" s="22" t="n">
        <f aca="false">E15*0.000006</f>
        <v>0.98121</v>
      </c>
      <c r="H136" s="23" t="n">
        <f aca="false">IF(G105="YES", E15*0.000002, 0)</f>
        <v>0.32707</v>
      </c>
      <c r="I136" s="23"/>
      <c r="J136" s="23" t="n">
        <f aca="false">G136+H136</f>
        <v>1.30828</v>
      </c>
      <c r="K136" s="153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1629</v>
      </c>
      <c r="C139" s="23"/>
      <c r="D139" s="23" t="n">
        <f aca="false">B102*0.9</f>
        <v>1080</v>
      </c>
      <c r="E139" s="153"/>
      <c r="F139" s="157"/>
      <c r="G139" s="22" t="n">
        <f aca="false">G102</f>
        <v>239.988</v>
      </c>
      <c r="H139" s="23" t="n">
        <f aca="false">H67</f>
        <v>1629</v>
      </c>
      <c r="I139" s="23"/>
      <c r="J139" s="23" t="n">
        <f aca="false">H102*0.9</f>
        <v>1080</v>
      </c>
      <c r="K139" s="153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B89*0.1, 0)</f>
        <v>13.8108</v>
      </c>
      <c r="B142" s="23" t="n">
        <f aca="false">A102-100</f>
        <v>99.99</v>
      </c>
      <c r="C142" s="23"/>
      <c r="D142" s="23" t="n">
        <f aca="false">(B139+D139+A142+B142)-B145</f>
        <v>2822.8008</v>
      </c>
      <c r="E142" s="153"/>
      <c r="F142" s="157"/>
      <c r="G142" s="22" t="n">
        <f aca="false">IF(G105="YES", H89*0.1, 0)</f>
        <v>16.57296</v>
      </c>
      <c r="H142" s="23" t="n">
        <f aca="false">G102-100</f>
        <v>139.988</v>
      </c>
      <c r="I142" s="23"/>
      <c r="J142" s="23" t="n">
        <f aca="false">(H139+J139+G142+H142)-H145</f>
        <v>2865.56096</v>
      </c>
      <c r="K142" s="153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IF((1200-B102) &lt;= 0, 0, (1200-B102))</f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f aca="false">IF((1200-H102) &lt;= 0, 0, (1200-H102))</f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223</v>
      </c>
      <c r="B148" s="168"/>
      <c r="C148" s="168"/>
      <c r="D148" s="215"/>
      <c r="E148" s="216"/>
      <c r="F148" s="157"/>
      <c r="G148" s="214" t="s">
        <v>223</v>
      </c>
      <c r="H148" s="168"/>
      <c r="I148" s="168"/>
      <c r="J148" s="215"/>
      <c r="K148" s="216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4983.1541344429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5971.64528382562</v>
      </c>
      <c r="I152" s="78"/>
      <c r="J152" s="168"/>
      <c r="K152" s="169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9.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E111" activeCellId="0" sqref="E111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275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276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38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39</v>
      </c>
      <c r="K31" s="47" t="n">
        <v>27500.0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/>
      <c r="J32" s="39" t="s">
        <v>43</v>
      </c>
      <c r="K32" s="47" t="n">
        <v>1030.0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n">
        <f aca="false">IF(B26="YES",K42,"0")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(K32/K36)*C45/100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300" t="s">
        <v>277</v>
      </c>
      <c r="B45" s="14"/>
      <c r="C45" s="301" t="s">
        <v>277</v>
      </c>
      <c r="D45" s="301"/>
      <c r="E45" s="301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10.0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0.0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30372.5629972642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-756.0974340266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B66+(B66*0.5*(K29/12-1))</f>
        <v>0.02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(G158*B67)</f>
        <v>1144.5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B73*K29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14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14"/>
      <c r="G77" s="14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45468.749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302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57225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26865.8831902377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1817.07754632746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927.687248290581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65414.7916677886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32469.0536901703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(((B89*(B85))+B77)/(1-B71))*B71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65414.7916677886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32469.0536901703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303" t="n">
        <f aca="false">IF(B26="YES",((E40/B85)*(1+A108)),"0")</f>
        <v>34.3333333333333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1817.07754632746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927.687248290581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B94+B95</f>
        <v>1851.4108796608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963.001534004866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256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275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278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275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257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0.0</v>
      </c>
      <c r="D122" s="116" t="n">
        <f aca="false">D4</f>
        <v>0</v>
      </c>
      <c r="E122" s="10" t="n">
        <v>0.0</v>
      </c>
      <c r="F122" s="116" t="n">
        <f aca="false">F4</f>
        <v>0</v>
      </c>
      <c r="G122" s="117" t="n">
        <v>0.0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0.0</v>
      </c>
      <c r="D123" s="118" t="n">
        <f aca="false">D5</f>
        <v>0</v>
      </c>
      <c r="E123" s="114" t="n">
        <v>0.0</v>
      </c>
      <c r="F123" s="118" t="n">
        <f aca="false">F5</f>
        <v>0</v>
      </c>
      <c r="G123" s="114" t="n">
        <v>0.0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(U121*U122)+U123</f>
        <v>11713.5425</v>
      </c>
      <c r="V124" s="118" t="n">
        <f aca="false">(V121*V122)+V123</f>
        <v>0</v>
      </c>
      <c r="W124" s="119" t="n">
        <f aca="false">(W121*W122)+W123</f>
        <v>0</v>
      </c>
      <c r="X124" s="118" t="n">
        <f aca="false">(X121*X122)+X123</f>
        <v>0</v>
      </c>
      <c r="Y124" s="119" t="n">
        <f aca="false">(Y121*Y122)+Y123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35140.6275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35973.9575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7304.7915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44468.749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38" t="n"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44468.749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((H147-G147)-(H137-G137))+((I146-I145)*0.2)</f>
        <v>1000</v>
      </c>
      <c r="I148" s="1" t="n">
        <f aca="false">(H148-G81)/1.2</f>
        <v>833.333333333333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-14056.251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45468.749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1817.07754632746</v>
      </c>
      <c r="B167" s="150" t="n">
        <f aca="false">B94</f>
        <v>34.3333333333333</v>
      </c>
      <c r="C167" s="148"/>
      <c r="D167" s="148"/>
      <c r="E167" s="150" t="n">
        <f aca="false">B96</f>
        <v>1851.4108796608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927.687248290581</v>
      </c>
      <c r="T167" s="150" t="n">
        <f aca="false">T94</f>
        <v>35.3142857142857</v>
      </c>
      <c r="U167" s="148"/>
      <c r="V167" s="148"/>
      <c r="W167" s="150" t="n">
        <f aca="false">T96</f>
        <v>963.001534004866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K29</f>
        <v>36</v>
      </c>
      <c r="B170" s="304" t="n">
        <f aca="false">K30</f>
        <v>10000</v>
      </c>
      <c r="C170" s="152"/>
      <c r="D170" s="31"/>
      <c r="E170" s="59" t="n">
        <f aca="false">IF(A111="YES", 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36523.9575</v>
      </c>
      <c r="T173" s="23" t="n">
        <f aca="false">Z137</f>
        <v>7304.7915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H147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44468.749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45468.749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6372.71412146116</v>
      </c>
      <c r="B182" s="23" t="str">
        <f aca="false">B114</f>
        <v>199.99</v>
      </c>
      <c r="C182" s="23"/>
      <c r="D182" s="31"/>
      <c r="E182" s="23" t="n">
        <f aca="false">E179+A182+B182+A185</f>
        <v>63807.7041214612</v>
      </c>
      <c r="F182" s="31"/>
      <c r="G182" s="31"/>
      <c r="H182" s="153"/>
      <c r="J182" s="22" t="n">
        <f aca="false">(J167*K59)+N185-N179-J185</f>
        <v>14050.9572599531</v>
      </c>
      <c r="K182" s="23" t="n">
        <f aca="false">K114</f>
        <v>239.99</v>
      </c>
      <c r="L182" s="23"/>
      <c r="M182" s="31"/>
      <c r="N182" s="23" t="n">
        <f aca="false">N179+J182+K182+J185</f>
        <v>51965.9472599531</v>
      </c>
      <c r="O182" s="31"/>
      <c r="P182" s="31"/>
      <c r="Q182" s="153"/>
      <c r="S182" s="22" t="n">
        <f aca="false">(S167*T59)+W185-W179-S185</f>
        <v>-12999.6953098297</v>
      </c>
      <c r="T182" s="23" t="n">
        <f aca="false">T114</f>
        <v>199.99</v>
      </c>
      <c r="U182" s="23"/>
      <c r="V182" s="31"/>
      <c r="W182" s="23" t="n">
        <f aca="false">W179+S182+T182+S185</f>
        <v>32679.0436901703</v>
      </c>
      <c r="X182" s="31"/>
      <c r="Y182" s="31"/>
      <c r="Z182" s="153"/>
      <c r="AB182" s="22" t="n">
        <f aca="false">(AB167*AC59)+AF185-AF179-AB185</f>
        <v>-12999.6953098297</v>
      </c>
      <c r="AC182" s="23" t="n">
        <f aca="false">AC114</f>
        <v>239.99</v>
      </c>
      <c r="AD182" s="23"/>
      <c r="AE182" s="31"/>
      <c r="AF182" s="23" t="n">
        <f aca="false">AF179+AB182+AC182+AB185</f>
        <v>32719.0436901703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2199.99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</f>
        <v>1144.5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378.906241666667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2099.99</v>
      </c>
      <c r="B191" s="23" t="n">
        <f aca="false">B188+E188+A191</f>
        <v>3265.09</v>
      </c>
      <c r="C191" s="14"/>
      <c r="D191" s="14"/>
      <c r="E191" s="23" t="n">
        <f aca="false">H148</f>
        <v>1000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1499.49624166667</v>
      </c>
      <c r="U191" s="14"/>
      <c r="V191" s="14"/>
      <c r="W191" s="23" t="n">
        <f aca="false">Z148</f>
        <v>-14056.251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1851.4108796608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963.001534004866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1627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2022-12-02T18:47:12Z</dcterms:modified>
  <cp:revision>166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