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7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FL (Formula 3) - FL" sheetId="57" state="visible" r:id="rId58"/>
    <sheet name="FL (Formula 3) - PCH" sheetId="58" state="visible" r:id="rId59"/>
    <sheet name="FL (Formula 3) - BCH" sheetId="59" state="visible" r:id="rId60"/>
    <sheet name="HPNR (Formula 3) - HPNR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<sst xmlns="http://schemas.openxmlformats.org/spreadsheetml/2006/main" count="40222" uniqueCount="427">
  <si>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</si>
  <si>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</si>
  <si>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</si>
  <si>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</si>
  <si>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</si>
  <si>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</si>
  <si>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</si>
  <si>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</si>
  <si>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</si>
  <si>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</si>
  <si>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</si>
  <si>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</si>
  <si>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</si>
  <si>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</si>
  <si>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</si>
  <si>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</si>
  <si>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</si>
  <si>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</si>
  <si>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</si>
  <si>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</si>
  <si>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</si>
  <si>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</si>
  <si>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</si>
  <si>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</si>
  <si>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</si>
  <si>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</si>
  <si>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</si>
  <si>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</si>
  <si>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</si>
  <si>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</si>
  <si>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</si>
  <si>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</si>
  <si>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</si>
  <si>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</si>
  <si>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</si>
  <si>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</si>
  <si>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</si>
  <si>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</si>
  <si>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</si>
  <si>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</si>
  <si>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</si>
  <si>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</si>
  <si>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</si>
  <si>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</si>
  <si>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</si>
  <si>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</si>
  <si>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</si>
  <si>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</si>
  <si>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</si>
  <si>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</si>
  <si>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</si>
  <si>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</si>
  <si>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</si>
  <si>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</si>
  <si>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</si>
  <si>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</si>
  <si>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</si>
  <si>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</si>
  <si>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</si>
  <si>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</si>
  <si>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</si>
  <si>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</si>
  <si>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</si>
  <si>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</si>
  <si>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</si>
  <si>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</si>
  <si>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</si>
  <si>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</si>
  <si>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</si>
  <si>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</si>
  <si>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50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</si>
  <si>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</si>
  <si>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</si>
  <si>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</si>
  <si>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</si>
  <si>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</si>
  <si>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</si>
  <si>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</si>
  <si>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</si>
  <si>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</si>
  <si>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254.00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</si>
  <si>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</si>
  <si>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</si>
  <si>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</si>
  <si>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</si>
  <si>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</si>
  <si>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</si>
  <si>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</si>
  <si>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</si>
  <si>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</si>
  <si>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</si>
  <si>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</si>
  <si>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</si>
  <si>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</si>
  <si>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</si>
  <si>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</si>
  <si>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</si>
  <si>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</si>
  <si>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</si>
  <si>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</si>
  <si>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</si>
  <si>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</si>
  <si>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</si>
  <si>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</si>
  <si>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</si>
  <si>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</si>
  <si>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</si>
  <si>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</si>
  <si>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</si>
  <si>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</si>
  <si>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</si>
  <si>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</si>
  <si>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</si>
  <si>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</si>
  <si>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</si>
  <si>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</si>
  <si>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</si>
  <si>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</si>
  <si>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</si>
  <si>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</si>
  <si>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</si>
  <si>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Limited Credit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</si>
  <si>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</si>
  <si>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</si>
  <si>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</si>
  <si>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</si>
  <si>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</si>
  <si>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</si>
  <si>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</si>
  <si>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</si>
  <si>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</si>
  <si>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</si>
  <si>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</si>
  <si>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</si>
  <si>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</si>
  <si>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</si>
  <si>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</si>
  <si>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</si>
  <si>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</si>
  <si>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</si>
  <si>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</si>
  <si>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</si>
  <si>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</si>
  <si>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</si>
  <si>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</si>
  <si>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</si>
  <si>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</si>
  <si>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</si>
  <si>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</si>
  <si>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</si>
  <si>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</si>
  <si>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</si>
  <si>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</si>
  <si>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</si>
  <si>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</si>
  <si>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</si>
  <si>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</si>
  <si>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</si>
  <si>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</si>
  <si>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</si>
  <si>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</si>
  <si>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</si>
  <si>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</si>
  <si>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</si>
  <si>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</si>
  <si>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</si>
  <si>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</si>
  <si>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</si>
  <si>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</si>
  <si>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</si>
  <si>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</si>
  <si>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</si>
  <si>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</si>
  <si>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</si>
  <si>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</si>
  <si>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</si>
  <si>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</si>
  <si>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</si>
  <si>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</si>
  <si>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</si>
  <si>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</si>
  <si>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</si>
  <si>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</si>
  <si>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</si>
  <si>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</si>
  <si>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</si>
  <si>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</si>
  <si>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</si>
  <si>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</si>
  <si>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</si>
  <si>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</si>
  <si>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</si>
  <si>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</si>
  <si>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</si>
  <si>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</si>
  <si>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</si>
  <si>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</si>
  <si>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</si>
  <si>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</si>
  <si>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</si>
  <si>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</si>
  <si>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</si>
  <si>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</si>
  <si>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</si>
  <si>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</si>
  <si>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</si>
  <si>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</si>
  <si>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</si>
  <si>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</si>
  <si>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</si>
  <si>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</si>
  <si>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</si>
  <si>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</si>
  <si>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</si>
  <si>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</si>
  <si>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</si>
  <si>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</si>
  <si>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</si>
  <si>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</si>
  <si>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</si>
  <si>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</si>
  <si>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</si>
  <si>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</si>
  <si>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</si>
  <si>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</si>
  <si>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</si>
  <si>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</si>
  <si>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</si>
  <si>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</si>
  <si>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</si>
  <si>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</si>
  <si>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</si>
  <si>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</si>
  <si>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</si>
  <si>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</si>
  <si>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</si>
  <si>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</si>
  <si>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</si>
  <si>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</si>
  <si>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</si>
  <si>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</si>
  <si>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</si>
  <si>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</si>
  <si>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</si>
  <si>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21100.00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</si>
  <si>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</si>
  <si>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</si>
  <si>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</si>
  <si>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</si>
  <si>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</si>
  <si>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</si>
  <si>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</si>
  <si>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</si>
  <si>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</si>
  <si>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</si>
  <si>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</si>
  <si>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</si>
  <si>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</si>
  <si>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</si>
  <si>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</si>
  <si>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</si>
  <si>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</si>
  <si>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</si>
  <si>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</si>
  <si>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</si>
  <si>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</si>
  <si>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</si>
  <si>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</si>
  <si>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</si>
  <si>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</si>
  <si>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</si>
  <si>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</si>
  <si>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</si>
  <si>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</si>
  <si>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</si>
  <si>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</si>
  <si>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</si>
  <si>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</si>
  <si>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</si>
  <si>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</si>
  <si>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</si>
  <si>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</si>
  <si>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</si>
  <si>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</si>
  <si>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</si>
  <si>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</si>
  <si>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</si>
  <si>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Document fee (Inc. VAT)</t>
  </si>
  <si>
    <t xml:space="preserve">Upsell (Ex. VAT)</t>
  </si>
  <si>
    <t xml:space="preserve">Referral commission (Ex. VAT)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</si>
  <si>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</si>
  <si>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</si>
  <si>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</si>
  <si>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</si>
  <si>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</si>
  <si>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</si>
  <si>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</si>
  <si>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</si>
  <si>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</si>
  <si>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</si>
  <si>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</si>
  <si>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</si>
  <si>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</si>
  <si>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</si>
  <si>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</si>
  <si>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</si>
  <si>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</si>
  <si>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</si>
  <si>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</si>
  <si>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</si>
  <si>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</si>
  <si>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</si>
  <si>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</si>
  <si>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</si>
  <si>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</si>
  <si>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</si>
  <si>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</si>
  <si>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</si>
  <si>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</si>
  <si>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</si>
  <si>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</si>
  <si>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</si>
  <si>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</si>
  <si>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</si>
  <si>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</si>
  <si>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</si>
  <si>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</si>
  <si>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</si>
  <si>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</si>
  <si>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</si>
  <si>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</si>
  <si>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</si>
  <si>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</si>
  <si>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          Total Cash Price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</si>
  <si>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</si>
  <si>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</si>
  <si>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</si>
  <si>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</si>
  <si>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</si>
  <si>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</si>
  <si>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</si>
  <si>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</si>
  <si>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</si>
  <si>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</si>
  <si>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</si>
  <si>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</si>
  <si>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</si>
  <si>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Total Cash Price</t>
  </si>
  <si>
    <t xml:space="preserve">0</t>
  </si>
  <si>
    <t xml:space="preserve">1</t>
  </si>
  <si>
    <t xml:space="preserve">Customer Quote – Finance Lease</t>
  </si>
  <si>
    <t xml:space="preserve"> Terminal pause with 9 down </t>
  </si>
  <si>
    <t xml:space="preserve">200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</si>
  <si>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</si>
  <si>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</si>
  <si>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</si>
  <si>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</si>
  <si>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</si>
  <si>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</si>
  <si>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</si>
  <si>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</si>
  <si>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</si>
  <si>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</si>
  <si>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</si>
  <si>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</si>
  <si>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</si>
  <si>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</si>
  <si>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</si>
  <si>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</si>
  <si>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</si>
  <si>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</si>
  <si>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</si>
  <si>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</si>
  <si>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</si>
  <si>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</si>
  <si>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</si>
  <si>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</si>
  <si>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</si>
  <si>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</si>
  <si>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22050.00</t>
  </si>
  <si>
    <t xml:space="preserve">OTR Calculation</t>
  </si>
  <si>
    <t xml:space="preserve">470.00</t>
  </si>
  <si>
    <t xml:space="preserve">25885.00</t>
  </si>
  <si>
    <t xml:space="preserve">58535.00</t>
  </si>
  <si>
    <t xml:space="preserve">5.28</t>
  </si>
  <si>
    <t xml:space="preserve">60</t>
  </si>
  <si>
    <t xml:space="preserve">2</t>
  </si>
  <si>
    <t xml:space="preserve">RFL included?</t>
  </si>
  <si>
    <t>NO</t>
  </si>
  <si>
    <t>239.99</t>
  </si>
  <si>
    <t>YES</t>
  </si>
  <si>
    <t>0</t>
  </si>
  <si>
    <t>100</t>
  </si>
  <si>
    <t>500</t>
  </si>
  <si>
    <t>12</t>
  </si>
  <si>
    <t>60</t>
  </si>
  <si>
    <t>Limited Credit</t>
  </si>
  <si>
    <t>199.99</t>
  </si>
  <si>
    <t>58535.00</t>
  </si>
  <si>
    <t>1000</t>
  </si>
  <si>
    <t>33</t>
  </si>
  <si>
    <t>5000</t>
  </si>
  <si>
    <t>470.00</t>
  </si>
  <si>
    <t>200</t>
  </si>
  <si>
    <t xml:space="preserve"> Terminal pause with 6 down </t>
  </si>
  <si>
    <t>50</t>
  </si>
  <si>
    <t>A1 Credit</t>
  </si>
  <si>
    <t>40</t>
  </si>
  <si>
    <t>6000</t>
  </si>
  <si>
    <t>10</t>
  </si>
  <si>
    <t>1</t>
  </si>
  <si>
    <t>20</t>
  </si>
  <si>
    <t>70</t>
  </si>
  <si>
    <t>30</t>
  </si>
  <si>
    <t>5.28</t>
  </si>
  <si>
    <t>2</t>
  </si>
  <si>
    <t>25885.00</t>
  </si>
  <si>
    <t>21268.00</t>
  </si>
  <si>
    <t>296.00</t>
  </si>
  <si>
    <t>0.00</t>
  </si>
  <si>
    <t>21600.00</t>
  </si>
  <si>
    <t>665.00</t>
  </si>
  <si>
    <t>69070.00</t>
  </si>
  <si>
    <t>8.19</t>
  </si>
  <si>
    <t>22653.00</t>
  </si>
  <si>
    <t>340.00</t>
  </si>
  <si>
    <t>58525.00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</si>
</sst>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0" colorId="64" zoomScale="85" zoomScaleNormal="85" zoomScalePageLayoutView="100" workbookViewId="0">
      <selection pane="topLeft" activeCell="A37" activeCellId="0" sqref="A37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17166.67</v>
      </c>
      <c r="C2" s="4" t="s">
        <v>2</v>
      </c>
      <c r="D2" s="5" t="n">
        <f aca="false">C9</f>
        <v>3433.334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20600.004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17166.67</v>
      </c>
      <c r="C9" s="14" t="n">
        <f aca="false">B9*0.2</f>
        <v>3433.334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17166.67</v>
      </c>
      <c r="C15" s="14" t="n">
        <f aca="false">SUM(C9:C13)</f>
        <v>3433.334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20600.004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17166.67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E19</f>
        <v>20600.004</v>
      </c>
      <c r="B37" s="32"/>
      <c r="C37" s="41" t="s">
        <v>45</v>
      </c>
      <c r="D37" s="41"/>
      <c r="E37" s="32"/>
      <c r="F37" s="43" t="n">
        <f aca="false">A37-C37</f>
        <v>19600.004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3433.334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202.777833333333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347.222166666667</v>
      </c>
      <c r="L45" s="2"/>
    </row>
    <row r="46" customFormat="false" ht="17.35" hidden="false" customHeight="false" outlineLevel="0" collapsed="false">
      <c r="A46" s="40" t="s">
        <v>70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71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72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73</v>
      </c>
      <c r="B48" s="43"/>
      <c r="C48" s="43"/>
      <c r="D48" s="43"/>
      <c r="E48" s="43"/>
      <c r="F48" s="43"/>
      <c r="G48" s="43"/>
      <c r="H48" s="47"/>
      <c r="J48" s="55" t="s">
        <v>74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75</v>
      </c>
      <c r="K49" s="2" t="n">
        <f aca="false">K45+K48+K47</f>
        <v>349.888833333333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76</v>
      </c>
      <c r="K50" s="2" t="n">
        <f aca="false">K49-A46</f>
        <v>299.888833333333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77</v>
      </c>
      <c r="B52" s="32"/>
      <c r="C52" s="32" t="s">
        <v>78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79</v>
      </c>
      <c r="K53" s="64" t="s">
        <v>80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81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82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83</v>
      </c>
      <c r="B58" s="71" t="s">
        <v>84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349.888833333333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85</v>
      </c>
      <c r="B67" s="32" t="n">
        <v>1</v>
      </c>
      <c r="C67" s="32"/>
      <c r="D67" s="32"/>
      <c r="E67" s="23"/>
      <c r="F67" s="23"/>
      <c r="G67" s="23"/>
      <c r="H67" s="33"/>
      <c r="J67" s="31" t="s">
        <v>85</v>
      </c>
      <c r="K67" s="32" t="n">
        <v>1</v>
      </c>
      <c r="L67" s="32"/>
      <c r="M67" s="32"/>
      <c r="N67" s="23"/>
      <c r="O67" s="23"/>
      <c r="P67" s="23"/>
      <c r="Q67" s="33"/>
      <c r="S67" s="31" t="s">
        <v>85</v>
      </c>
      <c r="T67" s="32" t="n">
        <v>1</v>
      </c>
      <c r="U67" s="32"/>
      <c r="V67" s="32"/>
      <c r="W67" s="23"/>
      <c r="X67" s="23"/>
      <c r="Y67" s="23"/>
      <c r="Z67" s="33"/>
      <c r="AB67" s="31" t="s">
        <v>85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86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86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86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86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87</v>
      </c>
      <c r="B69" s="77" t="n">
        <v>10</v>
      </c>
      <c r="C69" s="32"/>
      <c r="D69" s="32"/>
      <c r="E69" s="23"/>
      <c r="F69" s="23"/>
      <c r="G69" s="23"/>
      <c r="H69" s="33"/>
      <c r="J69" s="76" t="s">
        <v>87</v>
      </c>
      <c r="K69" s="77" t="n">
        <v>20</v>
      </c>
      <c r="L69" s="32"/>
      <c r="M69" s="32"/>
      <c r="N69" s="23"/>
      <c r="O69" s="23"/>
      <c r="P69" s="23"/>
      <c r="Q69" s="33"/>
      <c r="S69" s="76" t="s">
        <v>87</v>
      </c>
      <c r="T69" s="77" t="n">
        <v>10</v>
      </c>
      <c r="U69" s="32"/>
      <c r="V69" s="32"/>
      <c r="W69" s="23"/>
      <c r="X69" s="23"/>
      <c r="Y69" s="23"/>
      <c r="Z69" s="33"/>
      <c r="AB69" s="76" t="s">
        <v>87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88</v>
      </c>
      <c r="B71" s="79" t="n">
        <v>0.0105</v>
      </c>
      <c r="C71" s="32"/>
      <c r="D71" s="32"/>
      <c r="E71" s="23"/>
      <c r="F71" s="23"/>
      <c r="G71" s="23"/>
      <c r="H71" s="33"/>
      <c r="J71" s="78" t="s">
        <v>88</v>
      </c>
      <c r="K71" s="79" t="n">
        <v>0.06</v>
      </c>
      <c r="L71" s="32"/>
      <c r="M71" s="32"/>
      <c r="N71" s="23"/>
      <c r="O71" s="23"/>
      <c r="P71" s="23"/>
      <c r="Q71" s="33"/>
      <c r="S71" s="78" t="s">
        <v>88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88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89</v>
      </c>
      <c r="B72" s="81" t="n">
        <v>0.065</v>
      </c>
      <c r="C72" s="32"/>
      <c r="D72" s="32"/>
      <c r="E72" s="23"/>
      <c r="F72" s="23"/>
      <c r="G72" s="23"/>
      <c r="H72" s="33"/>
      <c r="J72" s="80" t="s">
        <v>89</v>
      </c>
      <c r="K72" s="81" t="n">
        <v>0.08</v>
      </c>
      <c r="L72" s="32"/>
      <c r="M72" s="32"/>
      <c r="N72" s="23"/>
      <c r="O72" s="23"/>
      <c r="P72" s="23"/>
      <c r="Q72" s="33"/>
      <c r="S72" s="80" t="s">
        <v>89</v>
      </c>
      <c r="T72" s="81" t="n">
        <v>0.059</v>
      </c>
      <c r="U72" s="32"/>
      <c r="V72" s="32"/>
      <c r="W72" s="23"/>
      <c r="X72" s="23"/>
      <c r="Y72" s="23"/>
      <c r="Z72" s="33"/>
      <c r="AB72" s="80" t="s">
        <v>89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90</v>
      </c>
      <c r="B73" s="83" t="n">
        <v>0.05</v>
      </c>
      <c r="C73" s="32"/>
      <c r="D73" s="32"/>
      <c r="E73" s="23"/>
      <c r="F73" s="23"/>
      <c r="G73" s="23"/>
      <c r="H73" s="33"/>
      <c r="J73" s="82" t="s">
        <v>90</v>
      </c>
      <c r="K73" s="83" t="n">
        <v>0.1</v>
      </c>
      <c r="L73" s="32"/>
      <c r="M73" s="32"/>
      <c r="N73" s="23"/>
      <c r="O73" s="23"/>
      <c r="P73" s="23"/>
      <c r="Q73" s="33"/>
      <c r="S73" s="82" t="s">
        <v>90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90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91</v>
      </c>
      <c r="B74" s="65" t="n">
        <f aca="false">(B98*B68)-(K47*K29)</f>
        <v>14078.5984679751</v>
      </c>
      <c r="C74" s="32"/>
      <c r="D74" s="32"/>
      <c r="E74" s="23"/>
      <c r="F74" s="23"/>
      <c r="G74" s="23"/>
      <c r="H74" s="33"/>
      <c r="J74" s="56" t="s">
        <v>91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91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91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92</v>
      </c>
      <c r="B75" s="79" t="n">
        <v>0.005</v>
      </c>
      <c r="C75" s="32"/>
      <c r="D75" s="32"/>
      <c r="E75" s="23"/>
      <c r="F75" s="23"/>
      <c r="G75" s="23"/>
      <c r="H75" s="33"/>
      <c r="J75" s="78" t="s">
        <v>92</v>
      </c>
      <c r="K75" s="79" t="n">
        <v>0.05</v>
      </c>
      <c r="L75" s="32"/>
      <c r="M75" s="32"/>
      <c r="N75" s="23"/>
      <c r="O75" s="23"/>
      <c r="P75" s="23"/>
      <c r="Q75" s="33"/>
      <c r="S75" s="78" t="s">
        <v>92</v>
      </c>
      <c r="T75" s="79" t="n">
        <v>0.005</v>
      </c>
      <c r="U75" s="32"/>
      <c r="V75" s="32"/>
      <c r="W75" s="23"/>
      <c r="X75" s="23"/>
      <c r="Y75" s="23"/>
      <c r="Z75" s="33"/>
      <c r="AB75" s="78" t="s">
        <v>92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93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93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93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93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94</v>
      </c>
      <c r="B77" s="65" t="n">
        <f aca="false">(G167*B76)</f>
        <v>0</v>
      </c>
      <c r="C77" s="32"/>
      <c r="D77" s="32"/>
      <c r="E77" s="23"/>
      <c r="F77" s="23"/>
      <c r="G77" s="23"/>
      <c r="H77" s="33"/>
      <c r="J77" s="56" t="s">
        <v>94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94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94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95</v>
      </c>
      <c r="B78" s="79" t="n">
        <v>0</v>
      </c>
      <c r="C78" s="32"/>
      <c r="D78" s="32"/>
      <c r="E78" s="23"/>
      <c r="F78" s="23"/>
      <c r="G78" s="23"/>
      <c r="H78" s="33"/>
      <c r="J78" s="78" t="s">
        <v>95</v>
      </c>
      <c r="K78" s="79" t="n">
        <v>0</v>
      </c>
      <c r="L78" s="32"/>
      <c r="M78" s="32"/>
      <c r="N78" s="23"/>
      <c r="O78" s="23"/>
      <c r="P78" s="23"/>
      <c r="Q78" s="33"/>
      <c r="S78" s="78" t="s">
        <v>95</v>
      </c>
      <c r="T78" s="79" t="n">
        <v>0</v>
      </c>
      <c r="U78" s="32"/>
      <c r="V78" s="32"/>
      <c r="W78" s="23"/>
      <c r="X78" s="23"/>
      <c r="Y78" s="23"/>
      <c r="Z78" s="33"/>
      <c r="AB78" s="78" t="s">
        <v>95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96</v>
      </c>
      <c r="B79" s="81" t="n">
        <v>0</v>
      </c>
      <c r="C79" s="32"/>
      <c r="D79" s="32"/>
      <c r="E79" s="23"/>
      <c r="F79" s="23"/>
      <c r="G79" s="23"/>
      <c r="H79" s="33"/>
      <c r="J79" s="80" t="s">
        <v>96</v>
      </c>
      <c r="K79" s="81" t="n">
        <v>0</v>
      </c>
      <c r="L79" s="32"/>
      <c r="M79" s="32"/>
      <c r="N79" s="23"/>
      <c r="O79" s="23"/>
      <c r="P79" s="23"/>
      <c r="Q79" s="33"/>
      <c r="S79" s="80" t="s">
        <v>96</v>
      </c>
      <c r="T79" s="81" t="n">
        <v>0</v>
      </c>
      <c r="U79" s="32"/>
      <c r="V79" s="32"/>
      <c r="W79" s="23"/>
      <c r="X79" s="23"/>
      <c r="Y79" s="23"/>
      <c r="Z79" s="33"/>
      <c r="AB79" s="80" t="s">
        <v>96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97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97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97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97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98</v>
      </c>
      <c r="B81" s="86" t="n">
        <v>0</v>
      </c>
      <c r="C81" s="32"/>
      <c r="D81" s="32"/>
      <c r="E81" s="23"/>
      <c r="F81" s="23"/>
      <c r="G81" s="23"/>
      <c r="H81" s="33"/>
      <c r="J81" s="78" t="s">
        <v>98</v>
      </c>
      <c r="K81" s="86" t="n">
        <v>0</v>
      </c>
      <c r="L81" s="32"/>
      <c r="M81" s="32"/>
      <c r="N81" s="23"/>
      <c r="O81" s="23"/>
      <c r="P81" s="23"/>
      <c r="Q81" s="33"/>
      <c r="S81" s="78" t="s">
        <v>98</v>
      </c>
      <c r="T81" s="86" t="n">
        <v>0</v>
      </c>
      <c r="U81" s="32"/>
      <c r="V81" s="32"/>
      <c r="W81" s="23"/>
      <c r="X81" s="23"/>
      <c r="Y81" s="23"/>
      <c r="Z81" s="33"/>
      <c r="AB81" s="78" t="s">
        <v>98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99</v>
      </c>
      <c r="B82" s="77" t="n">
        <v>0</v>
      </c>
      <c r="C82" s="32"/>
      <c r="D82" s="32"/>
      <c r="E82" s="23"/>
      <c r="F82" s="23"/>
      <c r="G82" s="23"/>
      <c r="H82" s="33"/>
      <c r="J82" s="80" t="s">
        <v>99</v>
      </c>
      <c r="K82" s="77" t="n">
        <v>0</v>
      </c>
      <c r="L82" s="32"/>
      <c r="M82" s="32"/>
      <c r="N82" s="23"/>
      <c r="O82" s="23"/>
      <c r="P82" s="23"/>
      <c r="Q82" s="33"/>
      <c r="S82" s="80" t="s">
        <v>99</v>
      </c>
      <c r="T82" s="77" t="n">
        <v>0</v>
      </c>
      <c r="U82" s="32"/>
      <c r="V82" s="32"/>
      <c r="W82" s="23"/>
      <c r="X82" s="23"/>
      <c r="Y82" s="23"/>
      <c r="Z82" s="33"/>
      <c r="AB82" s="80" t="s">
        <v>99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100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100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100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100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101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101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101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101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102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102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102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102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103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103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103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103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104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104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104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104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105</v>
      </c>
      <c r="B88" s="59" t="n">
        <f aca="false">K49</f>
        <v>349.888833333333</v>
      </c>
      <c r="C88" s="32"/>
      <c r="D88" s="32"/>
      <c r="E88" s="23"/>
      <c r="F88" s="23"/>
      <c r="G88" s="23"/>
      <c r="H88" s="33"/>
      <c r="J88" s="90" t="s">
        <v>105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105</v>
      </c>
      <c r="T88" s="59" t="n">
        <f aca="false">B60</f>
        <v>349.888833333333</v>
      </c>
      <c r="U88" s="32"/>
      <c r="V88" s="32"/>
      <c r="W88" s="23"/>
      <c r="X88" s="23"/>
      <c r="Y88" s="23"/>
      <c r="Z88" s="33"/>
      <c r="AB88" s="90" t="s">
        <v>105</v>
      </c>
      <c r="AC88" s="59" t="n">
        <f aca="false">B60</f>
        <v>349.888833333333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106</v>
      </c>
      <c r="B90" s="27" t="n">
        <f aca="false">F37</f>
        <v>19600.004</v>
      </c>
      <c r="C90" s="32"/>
      <c r="D90" s="32"/>
      <c r="E90" s="23"/>
      <c r="F90" s="25" t="s">
        <v>106</v>
      </c>
      <c r="G90" s="27" t="n">
        <f aca="false">F37</f>
        <v>19600.004</v>
      </c>
      <c r="H90" s="33"/>
      <c r="J90" s="25" t="s">
        <v>106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106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106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107</v>
      </c>
      <c r="B91" s="33" t="n">
        <f aca="false">IF(A111="YES",A43,0)*1.2</f>
        <v>7200</v>
      </c>
      <c r="C91" s="32"/>
      <c r="D91" s="32"/>
      <c r="E91" s="23"/>
      <c r="F91" s="31" t="s">
        <v>107</v>
      </c>
      <c r="G91" s="33" t="n">
        <f aca="false">IF(A111="YES",A43,0)*1.2</f>
        <v>7200</v>
      </c>
      <c r="H91" s="33"/>
      <c r="J91" s="31" t="s">
        <v>107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107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107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108</v>
      </c>
      <c r="B92" s="84" t="n">
        <f aca="false">B71+B72+B73</f>
        <v>0.1255</v>
      </c>
      <c r="C92" s="32"/>
      <c r="D92" s="32"/>
      <c r="E92" s="23"/>
      <c r="F92" s="31" t="s">
        <v>108</v>
      </c>
      <c r="G92" s="91" t="n">
        <f aca="false">B72</f>
        <v>0.065</v>
      </c>
      <c r="H92" s="33"/>
      <c r="J92" s="31" t="s">
        <v>108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108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108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109</v>
      </c>
      <c r="B93" s="84" t="n">
        <f aca="false">B92/12</f>
        <v>0.0104583333333333</v>
      </c>
      <c r="C93" s="32"/>
      <c r="D93" s="32"/>
      <c r="E93" s="23"/>
      <c r="F93" s="31" t="s">
        <v>109</v>
      </c>
      <c r="G93" s="92" t="n">
        <f aca="false">G92/12</f>
        <v>0.00541666666666667</v>
      </c>
      <c r="H93" s="33"/>
      <c r="J93" s="31" t="s">
        <v>109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109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109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110</v>
      </c>
      <c r="B94" s="33" t="n">
        <f aca="false">IF(B91=0, (B68+B67), (B68))</f>
        <v>11</v>
      </c>
      <c r="C94" s="32"/>
      <c r="D94" s="32"/>
      <c r="E94" s="23"/>
      <c r="F94" s="31" t="s">
        <v>110</v>
      </c>
      <c r="G94" s="33" t="n">
        <f aca="false">IF(G91=0, (B68+B67), (B68))</f>
        <v>11</v>
      </c>
      <c r="H94" s="33"/>
      <c r="J94" s="31" t="s">
        <v>110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110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110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111</v>
      </c>
      <c r="B95" s="33" t="n">
        <f aca="false">(B91/((1+B93)^(B94+1)))</f>
        <v>6354.94179987962</v>
      </c>
      <c r="C95" s="32"/>
      <c r="D95" s="32"/>
      <c r="E95" s="23"/>
      <c r="F95" s="31" t="s">
        <v>111</v>
      </c>
      <c r="G95" s="33" t="n">
        <f aca="false">(G91/((1+G93)^(G94+1)))</f>
        <v>6748.06930144099</v>
      </c>
      <c r="H95" s="33"/>
      <c r="J95" s="31" t="s">
        <v>111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111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111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112</v>
      </c>
      <c r="B96" s="33" t="n">
        <f aca="false">((1-(1/((1+B93)^B94)))/B93)</f>
        <v>10.3399216528992</v>
      </c>
      <c r="C96" s="32"/>
      <c r="D96" s="32"/>
      <c r="E96" s="23"/>
      <c r="F96" s="31" t="s">
        <v>112</v>
      </c>
      <c r="G96" s="33" t="n">
        <f aca="false">((1-(1/((1+G93)^G94)))/G93)</f>
        <v>10.6507347822959</v>
      </c>
      <c r="H96" s="33"/>
      <c r="J96" s="31" t="s">
        <v>112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112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112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113</v>
      </c>
      <c r="B97" s="33" t="n">
        <f aca="false">B90-B95</f>
        <v>13245.0622001204</v>
      </c>
      <c r="C97" s="32"/>
      <c r="D97" s="32"/>
      <c r="E97" s="23"/>
      <c r="F97" s="31" t="s">
        <v>113</v>
      </c>
      <c r="G97" s="33" t="n">
        <f aca="false">G90-G95</f>
        <v>12851.934698559</v>
      </c>
      <c r="H97" s="33"/>
      <c r="J97" s="31" t="s">
        <v>113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113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113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114</v>
      </c>
      <c r="B98" s="33" t="n">
        <f aca="false">(B97/B96)</f>
        <v>1280.96349708865</v>
      </c>
      <c r="C98" s="32"/>
      <c r="D98" s="32"/>
      <c r="E98" s="23"/>
      <c r="F98" s="31" t="s">
        <v>114</v>
      </c>
      <c r="G98" s="33" t="n">
        <f aca="false">(G97/G96)</f>
        <v>1206.67117914926</v>
      </c>
      <c r="H98" s="33"/>
      <c r="J98" s="31" t="s">
        <v>114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114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114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115</v>
      </c>
      <c r="B99" s="33" t="n">
        <f aca="false">((B98*(B94))+B86)</f>
        <v>14090.5984679751</v>
      </c>
      <c r="C99" s="32"/>
      <c r="D99" s="32"/>
      <c r="E99" s="23"/>
      <c r="F99" s="31" t="s">
        <v>115</v>
      </c>
      <c r="G99" s="33" t="n">
        <f aca="false">((G98*(G94))+G86)</f>
        <v>13273.3829706419</v>
      </c>
      <c r="H99" s="33"/>
      <c r="J99" s="31" t="s">
        <v>115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115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115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116</v>
      </c>
      <c r="B100" s="33" t="n">
        <f aca="false">(((B98*(B94))+B86)/(1-B80))*B80</f>
        <v>0</v>
      </c>
      <c r="C100" s="32"/>
      <c r="D100" s="32"/>
      <c r="E100" s="23"/>
      <c r="F100" s="31" t="s">
        <v>116</v>
      </c>
      <c r="G100" s="33" t="n">
        <f aca="false">(((G98*(G94))+G86)/(1-G80))*G80</f>
        <v>0</v>
      </c>
      <c r="H100" s="33"/>
      <c r="J100" s="31" t="s">
        <v>116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116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116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117</v>
      </c>
      <c r="B101" s="65" t="n">
        <f aca="false">(B99+B100)</f>
        <v>14090.5984679751</v>
      </c>
      <c r="C101" s="32"/>
      <c r="D101" s="32"/>
      <c r="E101" s="23"/>
      <c r="F101" s="56" t="s">
        <v>117</v>
      </c>
      <c r="G101" s="65" t="n">
        <f aca="false">(G99+G100)</f>
        <v>13273.3829706419</v>
      </c>
      <c r="H101" s="33"/>
      <c r="J101" s="56" t="s">
        <v>117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117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117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118</v>
      </c>
      <c r="B103" s="89" t="n">
        <f aca="false">((A46 * A34) + ((A46 * A34)*A117))/(B68)*1.2</f>
        <v>85.0909090909091</v>
      </c>
      <c r="C103" s="32"/>
      <c r="D103" s="32"/>
      <c r="E103" s="23"/>
      <c r="F103" s="88" t="s">
        <v>118</v>
      </c>
      <c r="G103" s="94" t="str">
        <f aca="false">IF(B35="YES",((E49/B94)*(1+A117)*(C54/100)),"0")</f>
        <v>0</v>
      </c>
      <c r="H103" s="33"/>
      <c r="J103" s="88" t="s">
        <v>118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118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118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119</v>
      </c>
      <c r="B104" s="96" t="n">
        <f aca="false">B101/(B94)</f>
        <v>1280.96349708865</v>
      </c>
      <c r="C104" s="32"/>
      <c r="D104" s="32"/>
      <c r="E104" s="23"/>
      <c r="F104" s="95" t="s">
        <v>119</v>
      </c>
      <c r="G104" s="96" t="n">
        <f aca="false">G101/(G94)</f>
        <v>1206.67117914926</v>
      </c>
      <c r="H104" s="33"/>
      <c r="J104" s="95" t="s">
        <v>119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119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119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120</v>
      </c>
      <c r="B105" s="98" t="n">
        <f aca="false">B103+B104</f>
        <v>1366.05440617956</v>
      </c>
      <c r="C105" s="32"/>
      <c r="D105" s="32"/>
      <c r="E105" s="23" t="s">
        <v>18</v>
      </c>
      <c r="F105" s="97" t="s">
        <v>120</v>
      </c>
      <c r="G105" s="98" t="n">
        <f aca="false">G103+G104</f>
        <v>1206.67117914926</v>
      </c>
      <c r="H105" s="33"/>
      <c r="J105" s="97" t="s">
        <v>120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120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120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121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122</v>
      </c>
      <c r="B109" s="100"/>
      <c r="C109" s="100"/>
      <c r="D109" s="100"/>
      <c r="E109" s="100"/>
      <c r="F109" s="100"/>
      <c r="G109" s="100"/>
      <c r="H109" s="100"/>
      <c r="J109" s="24" t="s">
        <v>123</v>
      </c>
      <c r="K109" s="24"/>
      <c r="L109" s="24"/>
      <c r="M109" s="24"/>
      <c r="N109" s="24"/>
      <c r="O109" s="24"/>
      <c r="P109" s="24"/>
      <c r="Q109" s="24"/>
      <c r="S109" s="100" t="s">
        <v>124</v>
      </c>
      <c r="T109" s="100"/>
      <c r="U109" s="100"/>
      <c r="V109" s="100"/>
      <c r="W109" s="100"/>
      <c r="X109" s="100"/>
      <c r="Y109" s="100"/>
      <c r="Z109" s="100"/>
      <c r="AB109" s="100" t="s">
        <v>125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126</v>
      </c>
      <c r="K111" s="28"/>
      <c r="L111" s="28"/>
      <c r="M111" s="28"/>
      <c r="N111" s="28"/>
      <c r="O111" s="28"/>
      <c r="P111" s="28"/>
      <c r="Q111" s="28"/>
      <c r="S111" s="28" t="s">
        <v>126</v>
      </c>
      <c r="T111" s="28"/>
      <c r="U111" s="28"/>
      <c r="V111" s="28"/>
      <c r="W111" s="28"/>
      <c r="X111" s="28"/>
      <c r="Y111" s="28"/>
      <c r="Z111" s="28"/>
      <c r="AB111" s="28" t="s">
        <v>126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127</v>
      </c>
      <c r="B113" s="32" t="s">
        <v>23</v>
      </c>
      <c r="C113" s="32"/>
      <c r="D113" s="32"/>
      <c r="E113" s="32" t="s">
        <v>128</v>
      </c>
      <c r="F113" s="32"/>
      <c r="G113" s="32"/>
      <c r="H113" s="33"/>
      <c r="J113" s="31" t="s">
        <v>127</v>
      </c>
      <c r="K113" s="32" t="s">
        <v>23</v>
      </c>
      <c r="L113" s="32"/>
      <c r="M113" s="32"/>
      <c r="N113" s="32" t="s">
        <v>128</v>
      </c>
      <c r="O113" s="32"/>
      <c r="P113" s="32"/>
      <c r="Q113" s="33"/>
      <c r="S113" s="31" t="s">
        <v>127</v>
      </c>
      <c r="T113" s="32" t="s">
        <v>23</v>
      </c>
      <c r="U113" s="32"/>
      <c r="V113" s="32"/>
      <c r="W113" s="32" t="s">
        <v>128</v>
      </c>
      <c r="X113" s="32"/>
      <c r="Y113" s="32"/>
      <c r="Z113" s="33"/>
      <c r="AB113" s="31" t="s">
        <v>127</v>
      </c>
      <c r="AC113" s="32" t="s">
        <v>23</v>
      </c>
      <c r="AD113" s="32"/>
      <c r="AE113" s="32"/>
      <c r="AF113" s="32" t="s">
        <v>128</v>
      </c>
      <c r="AG113" s="32"/>
      <c r="AH113" s="32"/>
      <c r="AI113" s="33"/>
    </row>
    <row r="114" customFormat="false" ht="17.35" hidden="false" customHeight="false" outlineLevel="0" collapsed="false">
      <c r="A114" s="36" t="s">
        <v>129</v>
      </c>
      <c r="B114" s="103" t="s">
        <v>130</v>
      </c>
      <c r="C114" s="103"/>
      <c r="D114" s="103"/>
      <c r="E114" s="104" t="s">
        <v>19</v>
      </c>
      <c r="F114" s="104"/>
      <c r="G114" s="104"/>
      <c r="H114" s="102"/>
      <c r="J114" s="36" t="s">
        <v>129</v>
      </c>
      <c r="K114" s="105" t="s">
        <v>130</v>
      </c>
      <c r="L114" s="105"/>
      <c r="M114" s="105"/>
      <c r="N114" s="104" t="s">
        <v>18</v>
      </c>
      <c r="O114" s="104"/>
      <c r="P114" s="104"/>
      <c r="Q114" s="102"/>
      <c r="S114" s="36" t="s">
        <v>129</v>
      </c>
      <c r="T114" s="103" t="s">
        <v>130</v>
      </c>
      <c r="U114" s="103"/>
      <c r="V114" s="103"/>
      <c r="W114" s="104" t="s">
        <v>18</v>
      </c>
      <c r="X114" s="104"/>
      <c r="Y114" s="104"/>
      <c r="Z114" s="102"/>
      <c r="AB114" s="36" t="s">
        <v>129</v>
      </c>
      <c r="AC114" s="103" t="s">
        <v>130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131</v>
      </c>
      <c r="B116" s="32" t="s">
        <v>132</v>
      </c>
      <c r="C116" s="32"/>
      <c r="D116" s="23"/>
      <c r="E116" s="32" t="s">
        <v>133</v>
      </c>
      <c r="F116" s="32"/>
      <c r="G116" s="23"/>
      <c r="H116" s="102"/>
      <c r="J116" s="31" t="s">
        <v>131</v>
      </c>
      <c r="K116" s="32" t="s">
        <v>132</v>
      </c>
      <c r="L116" s="32"/>
      <c r="M116" s="23"/>
      <c r="N116" s="32" t="s">
        <v>133</v>
      </c>
      <c r="O116" s="32"/>
      <c r="P116" s="23"/>
      <c r="Q116" s="102"/>
      <c r="S116" s="31" t="s">
        <v>131</v>
      </c>
      <c r="T116" s="32" t="s">
        <v>132</v>
      </c>
      <c r="U116" s="32"/>
      <c r="V116" s="23"/>
      <c r="W116" s="32" t="s">
        <v>133</v>
      </c>
      <c r="X116" s="32"/>
      <c r="Y116" s="23"/>
      <c r="Z116" s="102"/>
      <c r="AB116" s="31" t="s">
        <v>131</v>
      </c>
      <c r="AC116" s="32" t="s">
        <v>132</v>
      </c>
      <c r="AD116" s="32"/>
      <c r="AE116" s="23"/>
      <c r="AF116" s="32" t="s">
        <v>133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134</v>
      </c>
      <c r="C117" s="107"/>
      <c r="D117" s="107"/>
      <c r="E117" s="108" t="n">
        <f aca="false">B92</f>
        <v>0.1255</v>
      </c>
      <c r="F117" s="108"/>
      <c r="G117" s="108"/>
      <c r="H117" s="47"/>
      <c r="J117" s="106" t="n">
        <v>0.3</v>
      </c>
      <c r="K117" s="107" t="s">
        <v>134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135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135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136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134</v>
      </c>
    </row>
    <row r="119" customFormat="false" ht="17.35" hidden="false" customHeight="false" outlineLevel="0" collapsed="false">
      <c r="A119" s="31" t="s">
        <v>137</v>
      </c>
      <c r="B119" s="32" t="s">
        <v>138</v>
      </c>
      <c r="C119" s="32"/>
      <c r="D119" s="32"/>
      <c r="E119" s="32" t="s">
        <v>139</v>
      </c>
      <c r="F119" s="32"/>
      <c r="G119" s="32"/>
      <c r="H119" s="33"/>
      <c r="J119" s="31" t="s">
        <v>137</v>
      </c>
      <c r="K119" s="32" t="s">
        <v>138</v>
      </c>
      <c r="L119" s="32"/>
      <c r="M119" s="32"/>
      <c r="N119" s="32" t="s">
        <v>139</v>
      </c>
      <c r="O119" s="32"/>
      <c r="P119" s="32"/>
      <c r="Q119" s="33"/>
      <c r="S119" s="31" t="s">
        <v>137</v>
      </c>
      <c r="T119" s="32" t="s">
        <v>138</v>
      </c>
      <c r="U119" s="32"/>
      <c r="V119" s="32"/>
      <c r="W119" s="32" t="s">
        <v>139</v>
      </c>
      <c r="X119" s="32"/>
      <c r="Y119" s="32"/>
      <c r="Z119" s="33"/>
      <c r="AB119" s="31" t="s">
        <v>137</v>
      </c>
      <c r="AC119" s="32" t="s">
        <v>138</v>
      </c>
      <c r="AD119" s="32"/>
      <c r="AE119" s="32"/>
      <c r="AF119" s="32" t="s">
        <v>139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140</v>
      </c>
      <c r="B122" s="32" t="s">
        <v>141</v>
      </c>
      <c r="C122" s="32"/>
      <c r="D122" s="32"/>
      <c r="E122" s="32" t="s">
        <v>142</v>
      </c>
      <c r="F122" s="32"/>
      <c r="G122" s="23"/>
      <c r="H122" s="102"/>
      <c r="J122" s="110" t="s">
        <v>140</v>
      </c>
      <c r="K122" s="32" t="s">
        <v>141</v>
      </c>
      <c r="L122" s="32"/>
      <c r="M122" s="32"/>
      <c r="N122" s="32" t="s">
        <v>142</v>
      </c>
      <c r="O122" s="32"/>
      <c r="P122" s="23"/>
      <c r="Q122" s="102"/>
      <c r="S122" s="110" t="s">
        <v>140</v>
      </c>
      <c r="T122" s="32" t="s">
        <v>141</v>
      </c>
      <c r="U122" s="32"/>
      <c r="V122" s="32"/>
      <c r="W122" s="32" t="s">
        <v>142</v>
      </c>
      <c r="X122" s="32"/>
      <c r="Y122" s="23"/>
      <c r="Z122" s="102"/>
      <c r="AB122" s="110" t="s">
        <v>140</v>
      </c>
      <c r="AC122" s="32" t="s">
        <v>141</v>
      </c>
      <c r="AD122" s="32"/>
      <c r="AE122" s="32"/>
      <c r="AF122" s="32" t="s">
        <v>142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143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144</v>
      </c>
      <c r="B126" s="28"/>
      <c r="C126" s="28"/>
      <c r="D126" s="28"/>
      <c r="E126" s="28"/>
      <c r="F126" s="28"/>
      <c r="G126" s="28"/>
      <c r="H126" s="28"/>
      <c r="J126" s="28" t="s">
        <v>144</v>
      </c>
      <c r="K126" s="28"/>
      <c r="L126" s="28"/>
      <c r="M126" s="28"/>
      <c r="N126" s="28"/>
      <c r="O126" s="28"/>
      <c r="P126" s="28"/>
      <c r="Q126" s="28"/>
      <c r="S126" s="28" t="s">
        <v>144</v>
      </c>
      <c r="T126" s="28"/>
      <c r="U126" s="28"/>
      <c r="V126" s="28"/>
      <c r="W126" s="28"/>
      <c r="X126" s="28"/>
      <c r="Y126" s="28"/>
      <c r="Z126" s="28"/>
      <c r="AB126" s="28" t="s">
        <v>144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145</v>
      </c>
      <c r="C128" s="114"/>
      <c r="D128" s="114" t="s">
        <v>146</v>
      </c>
      <c r="E128" s="114"/>
      <c r="F128" s="114" t="s">
        <v>147</v>
      </c>
      <c r="G128" s="114"/>
      <c r="H128" s="115" t="s">
        <v>148</v>
      </c>
      <c r="J128" s="78"/>
      <c r="K128" s="114" t="s">
        <v>145</v>
      </c>
      <c r="L128" s="114"/>
      <c r="M128" s="114" t="s">
        <v>146</v>
      </c>
      <c r="N128" s="114"/>
      <c r="O128" s="114" t="s">
        <v>147</v>
      </c>
      <c r="P128" s="114"/>
      <c r="Q128" s="115" t="s">
        <v>148</v>
      </c>
      <c r="S128" s="78"/>
      <c r="T128" s="114" t="s">
        <v>145</v>
      </c>
      <c r="U128" s="114"/>
      <c r="V128" s="114" t="s">
        <v>146</v>
      </c>
      <c r="W128" s="114"/>
      <c r="X128" s="114" t="s">
        <v>147</v>
      </c>
      <c r="Y128" s="114"/>
      <c r="Z128" s="115" t="s">
        <v>148</v>
      </c>
      <c r="AB128" s="78"/>
      <c r="AC128" s="114" t="s">
        <v>145</v>
      </c>
      <c r="AD128" s="114"/>
      <c r="AE128" s="114" t="s">
        <v>146</v>
      </c>
      <c r="AF128" s="114"/>
      <c r="AG128" s="114" t="s">
        <v>147</v>
      </c>
      <c r="AH128" s="114"/>
      <c r="AI128" s="115" t="s">
        <v>148</v>
      </c>
    </row>
    <row r="129" customFormat="false" ht="19.7" hidden="false" customHeight="false" outlineLevel="0" collapsed="false">
      <c r="A129" s="80"/>
      <c r="B129" s="116" t="s">
        <v>149</v>
      </c>
      <c r="C129" s="117" t="s">
        <v>150</v>
      </c>
      <c r="D129" s="116" t="s">
        <v>149</v>
      </c>
      <c r="E129" s="118" t="s">
        <v>150</v>
      </c>
      <c r="F129" s="116" t="s">
        <v>149</v>
      </c>
      <c r="G129" s="118" t="s">
        <v>150</v>
      </c>
      <c r="H129" s="119"/>
      <c r="J129" s="80"/>
      <c r="K129" s="116" t="s">
        <v>149</v>
      </c>
      <c r="L129" s="117" t="s">
        <v>150</v>
      </c>
      <c r="M129" s="116" t="s">
        <v>149</v>
      </c>
      <c r="N129" s="118" t="s">
        <v>150</v>
      </c>
      <c r="O129" s="116" t="s">
        <v>149</v>
      </c>
      <c r="P129" s="118" t="s">
        <v>150</v>
      </c>
      <c r="Q129" s="119"/>
      <c r="S129" s="80"/>
      <c r="T129" s="116" t="s">
        <v>149</v>
      </c>
      <c r="U129" s="117" t="s">
        <v>150</v>
      </c>
      <c r="V129" s="116" t="s">
        <v>149</v>
      </c>
      <c r="W129" s="118" t="s">
        <v>150</v>
      </c>
      <c r="X129" s="116" t="s">
        <v>149</v>
      </c>
      <c r="Y129" s="118" t="s">
        <v>150</v>
      </c>
      <c r="Z129" s="119"/>
      <c r="AB129" s="80"/>
      <c r="AC129" s="116" t="s">
        <v>149</v>
      </c>
      <c r="AD129" s="117" t="s">
        <v>150</v>
      </c>
      <c r="AE129" s="116" t="s">
        <v>149</v>
      </c>
      <c r="AF129" s="118" t="s">
        <v>150</v>
      </c>
      <c r="AG129" s="116" t="s">
        <v>149</v>
      </c>
      <c r="AH129" s="118" t="s">
        <v>150</v>
      </c>
      <c r="AI129" s="119"/>
    </row>
    <row r="130" customFormat="false" ht="17.35" hidden="false" customHeight="false" outlineLevel="0" collapsed="false">
      <c r="A130" s="25" t="s">
        <v>151</v>
      </c>
      <c r="B130" s="120" t="n">
        <f aca="false">E19</f>
        <v>20600.004</v>
      </c>
      <c r="C130" s="121" t="n">
        <v>0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151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151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151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152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152</v>
      </c>
      <c r="K131" s="127" t="n">
        <f aca="false">B4</f>
        <v>20600.004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152</v>
      </c>
      <c r="T131" s="127" t="n">
        <f aca="false">B4</f>
        <v>20600.004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152</v>
      </c>
      <c r="AC131" s="127" t="n">
        <f aca="false">B4</f>
        <v>20600.004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153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153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153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153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154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154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154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154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155</v>
      </c>
      <c r="B134" s="132" t="n">
        <f aca="false">B130-B133</f>
        <v>20600.004</v>
      </c>
      <c r="C134" s="133" t="n">
        <f aca="false">C130-C133</f>
        <v>0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155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155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155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149</v>
      </c>
      <c r="H136" s="137" t="s">
        <v>150</v>
      </c>
      <c r="J136" s="134"/>
      <c r="K136" s="138"/>
      <c r="L136" s="138"/>
      <c r="M136" s="138"/>
      <c r="N136" s="138"/>
      <c r="O136" s="138"/>
      <c r="P136" s="139" t="s">
        <v>149</v>
      </c>
      <c r="Q136" s="137" t="s">
        <v>150</v>
      </c>
      <c r="S136" s="134"/>
      <c r="T136" s="138"/>
      <c r="U136" s="138"/>
      <c r="V136" s="138"/>
      <c r="W136" s="138"/>
      <c r="X136" s="138"/>
      <c r="Y136" s="139" t="s">
        <v>149</v>
      </c>
      <c r="Z136" s="137" t="s">
        <v>150</v>
      </c>
      <c r="AB136" s="134"/>
      <c r="AC136" s="138"/>
      <c r="AD136" s="138"/>
      <c r="AE136" s="138"/>
      <c r="AF136" s="138"/>
      <c r="AG136" s="138"/>
      <c r="AH136" s="139" t="s">
        <v>149</v>
      </c>
      <c r="AI136" s="137" t="s">
        <v>150</v>
      </c>
    </row>
    <row r="137" customFormat="false" ht="17.35" hidden="false" customHeight="false" outlineLevel="0" collapsed="false">
      <c r="A137" s="140" t="s">
        <v>156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156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156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156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157</v>
      </c>
      <c r="B139" s="144" t="s">
        <v>158</v>
      </c>
      <c r="C139" s="144"/>
      <c r="D139" s="144" t="s">
        <v>159</v>
      </c>
      <c r="E139" s="144"/>
      <c r="F139" s="144" t="s">
        <v>153</v>
      </c>
      <c r="G139" s="144"/>
      <c r="H139" s="145" t="s">
        <v>150</v>
      </c>
      <c r="J139" s="147" t="s">
        <v>157</v>
      </c>
      <c r="K139" s="148" t="s">
        <v>158</v>
      </c>
      <c r="L139" s="148"/>
      <c r="M139" s="144" t="s">
        <v>159</v>
      </c>
      <c r="N139" s="144"/>
      <c r="O139" s="144" t="s">
        <v>153</v>
      </c>
      <c r="P139" s="144"/>
      <c r="Q139" s="145" t="s">
        <v>150</v>
      </c>
      <c r="S139" s="147" t="s">
        <v>157</v>
      </c>
      <c r="T139" s="144" t="s">
        <v>158</v>
      </c>
      <c r="U139" s="144"/>
      <c r="V139" s="144" t="s">
        <v>159</v>
      </c>
      <c r="W139" s="144"/>
      <c r="X139" s="144" t="s">
        <v>153</v>
      </c>
      <c r="Y139" s="144"/>
      <c r="Z139" s="145" t="s">
        <v>150</v>
      </c>
      <c r="AB139" s="147" t="s">
        <v>157</v>
      </c>
      <c r="AC139" s="144" t="s">
        <v>158</v>
      </c>
      <c r="AD139" s="144"/>
      <c r="AE139" s="144" t="s">
        <v>159</v>
      </c>
      <c r="AF139" s="144"/>
      <c r="AG139" s="144" t="s">
        <v>153</v>
      </c>
      <c r="AH139" s="144"/>
      <c r="AI139" s="145" t="s">
        <v>150</v>
      </c>
    </row>
    <row r="140" customFormat="false" ht="17.35" hidden="false" customHeight="false" outlineLevel="0" collapsed="false">
      <c r="A140" s="31" t="s">
        <v>160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160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160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160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161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161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161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161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162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162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162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162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163</v>
      </c>
      <c r="B144" s="152"/>
      <c r="C144" s="152"/>
      <c r="D144" s="152"/>
      <c r="E144" s="152"/>
      <c r="F144" s="152"/>
      <c r="G144" s="136" t="n">
        <f aca="false">E21</f>
        <v>17166.67</v>
      </c>
      <c r="H144" s="153" t="n">
        <f aca="false">C134+E134+G134+H137</f>
        <v>0</v>
      </c>
      <c r="J144" s="152" t="s">
        <v>163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163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163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164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164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164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164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165</v>
      </c>
      <c r="B146" s="154"/>
      <c r="C146" s="154"/>
      <c r="D146" s="154"/>
      <c r="E146" s="154"/>
      <c r="F146" s="154"/>
      <c r="G146" s="33" t="n">
        <f aca="false">(G144+G145)*20%</f>
        <v>3433.334</v>
      </c>
      <c r="H146" s="33" t="n">
        <f aca="false">(H144+H145)*20%</f>
        <v>0</v>
      </c>
      <c r="J146" s="154" t="s">
        <v>165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165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165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166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166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166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166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167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167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167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167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168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168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168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168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169</v>
      </c>
      <c r="B150" s="154"/>
      <c r="C150" s="154"/>
      <c r="D150" s="154"/>
      <c r="E150" s="154"/>
      <c r="F150" s="154"/>
      <c r="G150" s="157" t="n">
        <f aca="false">(G144+G145+G148+G149+G146)-G147</f>
        <v>20600.004</v>
      </c>
      <c r="H150" s="157" t="n">
        <f aca="false">(H144+H145+H148+H149+H146)-H147</f>
        <v>0</v>
      </c>
      <c r="J150" s="154" t="s">
        <v>169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169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169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170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170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170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170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171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171</v>
      </c>
      <c r="K152" s="159"/>
      <c r="L152" s="159"/>
      <c r="M152" s="159"/>
      <c r="N152" s="159"/>
      <c r="O152" s="159"/>
      <c r="P152" s="38"/>
      <c r="Q152" s="33"/>
      <c r="S152" s="111" t="s">
        <v>171</v>
      </c>
      <c r="T152" s="111"/>
      <c r="U152" s="111"/>
      <c r="V152" s="111"/>
      <c r="W152" s="111"/>
      <c r="X152" s="111"/>
      <c r="Y152" s="38"/>
      <c r="Z152" s="33"/>
      <c r="AB152" s="111" t="s">
        <v>171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172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172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172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172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172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172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172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172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172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172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172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173</v>
      </c>
      <c r="B156" s="154"/>
      <c r="C156" s="154"/>
      <c r="D156" s="154"/>
      <c r="E156" s="154"/>
      <c r="F156" s="154"/>
      <c r="G156" s="164" t="n">
        <f aca="false">G150-((G153*1.2)+(G154*1.2)+(G155*1.2)+(G151*1.2))</f>
        <v>20600.004</v>
      </c>
      <c r="H156" s="164" t="n">
        <f aca="false">H150-((H153*1.2)+(H154*1.2)+(H155*1.2)+(H151*1.2))</f>
        <v>0</v>
      </c>
      <c r="J156" s="165" t="s">
        <v>173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173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173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174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-17166.67</v>
      </c>
      <c r="I157" s="1" t="n">
        <f aca="false">(H157-G90)/1.2</f>
        <v>-30638.895</v>
      </c>
      <c r="J157" s="154" t="s">
        <v>174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174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174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175</v>
      </c>
      <c r="B159" s="28"/>
      <c r="C159" s="28"/>
      <c r="D159" s="28"/>
      <c r="E159" s="28"/>
      <c r="F159" s="28"/>
      <c r="G159" s="28"/>
      <c r="H159" s="28"/>
      <c r="J159" s="28" t="s">
        <v>175</v>
      </c>
      <c r="K159" s="28"/>
      <c r="L159" s="28"/>
      <c r="M159" s="28"/>
      <c r="N159" s="28"/>
      <c r="O159" s="28"/>
      <c r="P159" s="28"/>
      <c r="Q159" s="28"/>
      <c r="S159" s="28" t="s">
        <v>175</v>
      </c>
      <c r="T159" s="28"/>
      <c r="U159" s="28"/>
      <c r="V159" s="28"/>
      <c r="W159" s="28"/>
      <c r="X159" s="28"/>
      <c r="Y159" s="28"/>
      <c r="Z159" s="28"/>
      <c r="AB159" s="28" t="s">
        <v>175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176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176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176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176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177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177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177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177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178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178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178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178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179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179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179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179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180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180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180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180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181</v>
      </c>
      <c r="B167" s="32"/>
      <c r="C167" s="32"/>
      <c r="D167" s="23"/>
      <c r="E167" s="32"/>
      <c r="F167" s="23"/>
      <c r="G167" s="170" t="n">
        <f aca="false">H156-G163-G166</f>
        <v>0</v>
      </c>
      <c r="H167" s="170"/>
      <c r="J167" s="169" t="s">
        <v>181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181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181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182</v>
      </c>
      <c r="B171" s="28"/>
      <c r="C171" s="28"/>
      <c r="D171" s="28"/>
      <c r="E171" s="28"/>
      <c r="F171" s="28"/>
      <c r="G171" s="28"/>
      <c r="H171" s="28"/>
      <c r="J171" s="28" t="s">
        <v>182</v>
      </c>
      <c r="K171" s="28"/>
      <c r="L171" s="28"/>
      <c r="M171" s="28"/>
      <c r="N171" s="28"/>
      <c r="O171" s="28"/>
      <c r="P171" s="28"/>
      <c r="Q171" s="28"/>
      <c r="S171" s="28" t="s">
        <v>182</v>
      </c>
      <c r="T171" s="28"/>
      <c r="U171" s="28"/>
      <c r="V171" s="28"/>
      <c r="W171" s="28"/>
      <c r="X171" s="28"/>
      <c r="Y171" s="28"/>
      <c r="Z171" s="28"/>
      <c r="AB171" s="28" t="s">
        <v>182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183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183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183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183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184</v>
      </c>
      <c r="B175" s="174" t="s">
        <v>185</v>
      </c>
      <c r="C175" s="174"/>
      <c r="D175" s="174"/>
      <c r="E175" s="174" t="s">
        <v>186</v>
      </c>
      <c r="F175" s="23"/>
      <c r="G175" s="23" t="s">
        <v>187</v>
      </c>
      <c r="H175" s="33"/>
      <c r="J175" s="173" t="s">
        <v>184</v>
      </c>
      <c r="K175" s="175" t="s">
        <v>185</v>
      </c>
      <c r="L175" s="175"/>
      <c r="M175" s="175"/>
      <c r="N175" s="175" t="s">
        <v>186</v>
      </c>
      <c r="O175" s="23"/>
      <c r="P175" s="23"/>
      <c r="Q175" s="33"/>
      <c r="S175" s="173" t="s">
        <v>184</v>
      </c>
      <c r="T175" s="175" t="s">
        <v>185</v>
      </c>
      <c r="U175" s="175"/>
      <c r="V175" s="175"/>
      <c r="W175" s="175" t="s">
        <v>186</v>
      </c>
      <c r="X175" s="23"/>
      <c r="Y175" s="23"/>
      <c r="Z175" s="33"/>
      <c r="AB175" s="173" t="s">
        <v>184</v>
      </c>
      <c r="AC175" s="175" t="s">
        <v>185</v>
      </c>
      <c r="AD175" s="175"/>
      <c r="AE175" s="175"/>
      <c r="AF175" s="175" t="s">
        <v>186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1280.96349708865</v>
      </c>
      <c r="B176" s="177" t="n">
        <f aca="false">B103</f>
        <v>85.0909090909091</v>
      </c>
      <c r="C176" s="174"/>
      <c r="D176" s="174"/>
      <c r="E176" s="177" t="n">
        <f aca="false">B105</f>
        <v>1366.05440617956</v>
      </c>
      <c r="F176" s="23"/>
      <c r="G176" s="23" t="n">
        <f aca="false">ROUND(G104, 2)</f>
        <v>1206.67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83</v>
      </c>
      <c r="B178" s="93" t="s">
        <v>84</v>
      </c>
      <c r="C178" s="93"/>
      <c r="D178" s="23"/>
      <c r="E178" s="93" t="s">
        <v>188</v>
      </c>
      <c r="F178" s="23"/>
      <c r="G178" s="23"/>
      <c r="H178" s="33"/>
      <c r="J178" s="31" t="s">
        <v>83</v>
      </c>
      <c r="K178" s="32" t="s">
        <v>84</v>
      </c>
      <c r="L178" s="32"/>
      <c r="M178" s="23"/>
      <c r="N178" s="32" t="s">
        <v>188</v>
      </c>
      <c r="O178" s="23"/>
      <c r="P178" s="23"/>
      <c r="Q178" s="33"/>
      <c r="S178" s="31" t="s">
        <v>83</v>
      </c>
      <c r="T178" s="32" t="s">
        <v>84</v>
      </c>
      <c r="U178" s="32"/>
      <c r="V178" s="23"/>
      <c r="W178" s="32" t="s">
        <v>188</v>
      </c>
      <c r="X178" s="23"/>
      <c r="Y178" s="23"/>
      <c r="Z178" s="33"/>
      <c r="AB178" s="31" t="s">
        <v>83</v>
      </c>
      <c r="AC178" s="32" t="s">
        <v>84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93" t="s">
        <v>190</v>
      </c>
      <c r="C181" s="93"/>
      <c r="D181" s="23"/>
      <c r="E181" s="93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0</v>
      </c>
      <c r="B182" s="103" t="n">
        <f aca="false">H146</f>
        <v>0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93" t="s">
        <v>138</v>
      </c>
      <c r="C184" s="93"/>
      <c r="D184" s="23"/>
      <c r="E184" s="93" t="s">
        <v>139</v>
      </c>
      <c r="F184" s="23"/>
      <c r="G184" s="23"/>
      <c r="H184" s="33"/>
      <c r="J184" s="31" t="s">
        <v>192</v>
      </c>
      <c r="K184" s="32" t="s">
        <v>138</v>
      </c>
      <c r="L184" s="32"/>
      <c r="M184" s="23"/>
      <c r="N184" s="32" t="s">
        <v>139</v>
      </c>
      <c r="O184" s="23"/>
      <c r="P184" s="23"/>
      <c r="Q184" s="33"/>
      <c r="S184" s="31" t="s">
        <v>192</v>
      </c>
      <c r="T184" s="32" t="s">
        <v>138</v>
      </c>
      <c r="U184" s="32"/>
      <c r="V184" s="23"/>
      <c r="W184" s="32" t="s">
        <v>139</v>
      </c>
      <c r="X184" s="23"/>
      <c r="Y184" s="23"/>
      <c r="Z184" s="33"/>
      <c r="AB184" s="31" t="s">
        <v>192</v>
      </c>
      <c r="AC184" s="32" t="s">
        <v>138</v>
      </c>
      <c r="AD184" s="32"/>
      <c r="AE184" s="23"/>
      <c r="AF184" s="32" t="s">
        <v>139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0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140</v>
      </c>
      <c r="B187" s="93" t="s">
        <v>176</v>
      </c>
      <c r="C187" s="93"/>
      <c r="D187" s="23"/>
      <c r="E187" s="93" t="s">
        <v>181</v>
      </c>
      <c r="F187" s="23"/>
      <c r="G187" s="23"/>
      <c r="H187" s="33"/>
      <c r="J187" s="31" t="s">
        <v>140</v>
      </c>
      <c r="K187" s="32" t="s">
        <v>176</v>
      </c>
      <c r="L187" s="32"/>
      <c r="M187" s="23"/>
      <c r="N187" s="32" t="s">
        <v>181</v>
      </c>
      <c r="O187" s="23"/>
      <c r="P187" s="23"/>
      <c r="Q187" s="33"/>
      <c r="S187" s="31" t="s">
        <v>140</v>
      </c>
      <c r="T187" s="32" t="s">
        <v>176</v>
      </c>
      <c r="U187" s="32"/>
      <c r="V187" s="23"/>
      <c r="W187" s="32" t="s">
        <v>181</v>
      </c>
      <c r="X187" s="23"/>
      <c r="Y187" s="23"/>
      <c r="Z187" s="33"/>
      <c r="AB187" s="31" t="s">
        <v>140</v>
      </c>
      <c r="AC187" s="32" t="s">
        <v>176</v>
      </c>
      <c r="AD187" s="32"/>
      <c r="AE187" s="23"/>
      <c r="AF187" s="32" t="s">
        <v>181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0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93" t="s">
        <v>53</v>
      </c>
      <c r="C190" s="93"/>
      <c r="D190" s="23"/>
      <c r="E190" s="93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20090.5984679751</v>
      </c>
      <c r="B191" s="103" t="str">
        <f aca="false">B123</f>
        <v>239.99</v>
      </c>
      <c r="C191" s="103"/>
      <c r="D191" s="23"/>
      <c r="E191" s="103" t="n">
        <f aca="false">E188+A191+B191+A194</f>
        <v>20340.5884679751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93" t="s">
        <v>196</v>
      </c>
      <c r="C193" s="93"/>
      <c r="D193" s="23"/>
      <c r="E193" s="93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93" t="s">
        <v>199</v>
      </c>
      <c r="C196" s="93"/>
      <c r="D196" s="93"/>
      <c r="E196" s="166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9.72624</v>
      </c>
      <c r="B197" s="103" t="n">
        <f aca="false">(G167*B76)/1.2</f>
        <v>0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6" t="s">
        <v>202</v>
      </c>
      <c r="C199" s="93"/>
      <c r="D199" s="93"/>
      <c r="E199" s="166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99.9916666666667</v>
      </c>
      <c r="C200" s="93"/>
      <c r="D200" s="93"/>
      <c r="E200" s="103" t="n">
        <f aca="false">H157</f>
        <v>-17166.67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93"/>
      <c r="C202" s="93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83</v>
      </c>
      <c r="B204" s="71" t="s">
        <v>84</v>
      </c>
      <c r="C204" s="71"/>
      <c r="D204" s="71"/>
      <c r="E204" s="23"/>
      <c r="F204" s="23"/>
      <c r="G204" s="23"/>
      <c r="H204" s="33"/>
      <c r="J204" s="187" t="s">
        <v>83</v>
      </c>
      <c r="K204" s="188" t="s">
        <v>84</v>
      </c>
      <c r="L204" s="188"/>
      <c r="M204" s="188"/>
      <c r="N204" s="23"/>
      <c r="O204" s="23"/>
      <c r="P204" s="23"/>
      <c r="Q204" s="33"/>
      <c r="S204" s="187" t="s">
        <v>83</v>
      </c>
      <c r="T204" s="71" t="s">
        <v>84</v>
      </c>
      <c r="U204" s="71"/>
      <c r="V204" s="71"/>
      <c r="W204" s="23"/>
      <c r="X204" s="23"/>
      <c r="Y204" s="23"/>
      <c r="Z204" s="33"/>
      <c r="AB204" s="187" t="s">
        <v>83</v>
      </c>
      <c r="AC204" s="71" t="s">
        <v>84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1366.05440617956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205</v>
      </c>
      <c r="B209" s="93" t="s">
        <v>206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19273.37</v>
      </c>
      <c r="B210" s="186" t="n">
        <f aca="false">E188+A210+B191+A194</f>
        <v>19523.36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182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127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207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184</v>
      </c>
      <c r="B220" s="192" t="s">
        <v>185</v>
      </c>
      <c r="C220" s="192"/>
      <c r="D220" s="192"/>
      <c r="E220" s="192" t="s">
        <v>186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1280.96349708865</v>
      </c>
      <c r="B221" s="177" t="n">
        <f aca="false">B176</f>
        <v>85.0909090909091</v>
      </c>
      <c r="C221" s="174"/>
      <c r="D221" s="174"/>
      <c r="E221" s="177" t="n">
        <f aca="false">E176</f>
        <v>1366.05440617956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189</v>
      </c>
      <c r="B223" s="93" t="s">
        <v>190</v>
      </c>
      <c r="C223" s="93"/>
      <c r="D223" s="113"/>
      <c r="E223" s="93" t="s">
        <v>191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0</v>
      </c>
      <c r="B224" s="103" t="n">
        <f aca="false">B182</f>
        <v>0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192</v>
      </c>
      <c r="B226" s="93" t="s">
        <v>138</v>
      </c>
      <c r="C226" s="93"/>
      <c r="D226" s="113"/>
      <c r="E226" s="93" t="s">
        <v>139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0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140</v>
      </c>
      <c r="B229" s="93" t="s">
        <v>176</v>
      </c>
      <c r="C229" s="93"/>
      <c r="D229" s="113"/>
      <c r="E229" s="93" t="s">
        <v>181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0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193</v>
      </c>
      <c r="B232" s="93" t="s">
        <v>53</v>
      </c>
      <c r="C232" s="93"/>
      <c r="D232" s="113"/>
      <c r="E232" s="93" t="s">
        <v>194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20090.5984679751</v>
      </c>
      <c r="B233" s="103" t="str">
        <f aca="false">B191</f>
        <v>239.99</v>
      </c>
      <c r="C233" s="103"/>
      <c r="D233" s="113"/>
      <c r="E233" s="103" t="n">
        <f aca="false">E191</f>
        <v>20340.5884679751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195</v>
      </c>
      <c r="B235" s="93" t="s">
        <v>196</v>
      </c>
      <c r="C235" s="93"/>
      <c r="D235" s="113"/>
      <c r="E235" s="93" t="s">
        <v>208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184</v>
      </c>
      <c r="B238" s="93" t="s">
        <v>185</v>
      </c>
      <c r="C238" s="93"/>
      <c r="D238" s="93"/>
      <c r="E238" s="93" t="s">
        <v>186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1280.96349708865</v>
      </c>
      <c r="B239" s="103" t="n">
        <f aca="false">B176</f>
        <v>85.0909090909091</v>
      </c>
      <c r="C239" s="186"/>
      <c r="D239" s="186"/>
      <c r="E239" s="103" t="n">
        <f aca="false">E176</f>
        <v>1366.05440617956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209</v>
      </c>
      <c r="B241" s="93" t="s">
        <v>210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29.17872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211</v>
      </c>
      <c r="B244" s="166" t="s">
        <v>73</v>
      </c>
      <c r="C244" s="93"/>
      <c r="D244" s="93"/>
      <c r="E244" s="166" t="s">
        <v>132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9.72624</v>
      </c>
      <c r="B245" s="103" t="n">
        <f aca="false">E242+A245</f>
        <v>38.90496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212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213</v>
      </c>
      <c r="B248" s="93" t="s">
        <v>199</v>
      </c>
      <c r="C248" s="93"/>
      <c r="D248" s="93"/>
      <c r="E248" s="166" t="s">
        <v>200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-17166.67</v>
      </c>
      <c r="B249" s="103" t="n">
        <f aca="false">B197</f>
        <v>0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201</v>
      </c>
      <c r="B251" s="166" t="s">
        <v>202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-17066.6783333333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214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215</v>
      </c>
      <c r="B262" s="196" t="n">
        <f aca="false">B72</f>
        <v>0.065</v>
      </c>
      <c r="C262" s="197"/>
      <c r="D262" s="198" t="s">
        <v>216</v>
      </c>
      <c r="E262" s="198"/>
      <c r="F262" s="196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91" t="s">
        <v>217</v>
      </c>
      <c r="B263" s="199" t="n">
        <f aca="false">(E191-B191)-(B210-B191-A194)</f>
        <v>827.22846797511</v>
      </c>
      <c r="C263" s="197"/>
      <c r="D263" s="198" t="s">
        <v>218</v>
      </c>
      <c r="E263" s="198"/>
      <c r="F263" s="200" t="n">
        <f aca="false">F270+F276+F278+B279+B280</f>
        <v>0</v>
      </c>
      <c r="G263" s="23"/>
      <c r="H263" s="33"/>
    </row>
    <row r="264" customFormat="false" ht="17.35" hidden="false" customHeight="false" outlineLevel="0" collapsed="false">
      <c r="A264" s="191" t="s">
        <v>219</v>
      </c>
      <c r="B264" s="200" t="n">
        <f aca="false">F271+B272</f>
        <v>99.9916666666667</v>
      </c>
      <c r="C264" s="197"/>
      <c r="D264" s="198" t="s">
        <v>220</v>
      </c>
      <c r="E264" s="198"/>
      <c r="F264" s="200" t="n">
        <f aca="false">(B263-F263)+B264</f>
        <v>927.220134641777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215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221</v>
      </c>
      <c r="B268" s="205" t="n">
        <f aca="false">B73</f>
        <v>0.05</v>
      </c>
      <c r="C268" s="32"/>
      <c r="D268" s="166" t="s">
        <v>222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216</v>
      </c>
      <c r="B269" s="209" t="n">
        <f aca="false">B92</f>
        <v>0.1255</v>
      </c>
      <c r="C269" s="43"/>
      <c r="D269" s="166" t="s">
        <v>217</v>
      </c>
      <c r="E269" s="166"/>
      <c r="F269" s="146" t="n">
        <f aca="false">(B98*B68)-(C98*B68)</f>
        <v>14090.5984679751</v>
      </c>
      <c r="G269" s="23"/>
      <c r="H269" s="33"/>
    </row>
    <row r="270" customFormat="false" ht="17.35" hidden="false" customHeight="false" outlineLevel="0" collapsed="false">
      <c r="A270" s="31" t="s">
        <v>223</v>
      </c>
      <c r="B270" s="209" t="n">
        <f aca="false">B76</f>
        <v>0.005</v>
      </c>
      <c r="C270" s="32"/>
      <c r="D270" s="166" t="s">
        <v>223</v>
      </c>
      <c r="E270" s="166"/>
      <c r="F270" s="151" t="n">
        <f aca="false">B77</f>
        <v>0</v>
      </c>
      <c r="G270" s="23"/>
      <c r="H270" s="33"/>
    </row>
    <row r="271" customFormat="false" ht="17.35" hidden="false" customHeight="false" outlineLevel="0" collapsed="false">
      <c r="A271" s="31" t="s">
        <v>224</v>
      </c>
      <c r="B271" s="205" t="n">
        <f aca="false">A117</f>
        <v>0.3</v>
      </c>
      <c r="C271" s="32"/>
      <c r="D271" s="166" t="s">
        <v>224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225</v>
      </c>
      <c r="B272" s="146" t="n">
        <f aca="false">A252</f>
        <v>99.9916666666667</v>
      </c>
      <c r="C272" s="32"/>
      <c r="D272" s="39" t="s">
        <v>220</v>
      </c>
      <c r="E272" s="39"/>
      <c r="F272" s="146" t="n">
        <f aca="false">(B263-F263)+B264</f>
        <v>927.220134641777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226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227</v>
      </c>
      <c r="B275" s="151" t="n">
        <v>0</v>
      </c>
      <c r="C275" s="32"/>
      <c r="D275" s="210" t="s">
        <v>228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229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230</v>
      </c>
      <c r="B277" s="211" t="s">
        <v>4</v>
      </c>
      <c r="C277" s="32"/>
      <c r="D277" s="166" t="s">
        <v>231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232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233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234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0" colorId="64" zoomScale="85" zoomScaleNormal="85" zoomScalePageLayoutView="100" workbookViewId="0">
      <selection pane="topLeft" activeCell="A38" activeCellId="0" sqref="A3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8.4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8.4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8.4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8.4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8.4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E19</f>
        <v>21099.996</v>
      </c>
      <c r="B37" s="32"/>
      <c r="C37" s="41" t="s">
        <v>45</v>
      </c>
      <c r="D37" s="41"/>
      <c r="E37" s="32"/>
      <c r="F37" s="43" t="n">
        <f aca="false">A37-C37</f>
        <v>20099.996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3516.666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209.722166666667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290.277833333333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71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72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73</v>
      </c>
      <c r="B48" s="43"/>
      <c r="C48" s="43"/>
      <c r="D48" s="43"/>
      <c r="E48" s="43"/>
      <c r="F48" s="43"/>
      <c r="G48" s="43"/>
      <c r="H48" s="47"/>
      <c r="J48" s="55" t="s">
        <v>74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75</v>
      </c>
      <c r="K49" s="2" t="n">
        <f aca="false">K45+K48+K47</f>
        <v>292.9445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76</v>
      </c>
      <c r="K50" s="2" t="n">
        <f aca="false">K49-A46</f>
        <v>292.9445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77</v>
      </c>
      <c r="B52" s="32"/>
      <c r="C52" s="32" t="s">
        <v>78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79</v>
      </c>
      <c r="K53" s="64" t="s">
        <v>80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81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82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83</v>
      </c>
      <c r="B58" s="71" t="s">
        <v>84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292.9445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85</v>
      </c>
      <c r="B67" s="32" t="n">
        <v>1</v>
      </c>
      <c r="C67" s="32"/>
      <c r="D67" s="32"/>
      <c r="E67" s="23"/>
      <c r="F67" s="23"/>
      <c r="G67" s="23"/>
      <c r="H67" s="33"/>
      <c r="J67" s="31" t="s">
        <v>85</v>
      </c>
      <c r="K67" s="32" t="n">
        <v>1</v>
      </c>
      <c r="L67" s="32"/>
      <c r="M67" s="32"/>
      <c r="N67" s="23"/>
      <c r="O67" s="23"/>
      <c r="P67" s="23"/>
      <c r="Q67" s="33"/>
      <c r="S67" s="31" t="s">
        <v>85</v>
      </c>
      <c r="T67" s="32" t="n">
        <v>1</v>
      </c>
      <c r="U67" s="32"/>
      <c r="V67" s="32"/>
      <c r="W67" s="23"/>
      <c r="X67" s="23"/>
      <c r="Y67" s="23"/>
      <c r="Z67" s="33"/>
      <c r="AB67" s="31" t="s">
        <v>85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86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86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86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86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87</v>
      </c>
      <c r="B69" s="77" t="n">
        <v>10</v>
      </c>
      <c r="C69" s="32"/>
      <c r="D69" s="32"/>
      <c r="E69" s="23"/>
      <c r="F69" s="23"/>
      <c r="G69" s="23"/>
      <c r="H69" s="33"/>
      <c r="J69" s="76" t="s">
        <v>87</v>
      </c>
      <c r="K69" s="77" t="n">
        <v>20</v>
      </c>
      <c r="L69" s="32"/>
      <c r="M69" s="32"/>
      <c r="N69" s="23"/>
      <c r="O69" s="23"/>
      <c r="P69" s="23"/>
      <c r="Q69" s="33"/>
      <c r="S69" s="76" t="s">
        <v>87</v>
      </c>
      <c r="T69" s="77" t="n">
        <v>10</v>
      </c>
      <c r="U69" s="32"/>
      <c r="V69" s="32"/>
      <c r="W69" s="23"/>
      <c r="X69" s="23"/>
      <c r="Y69" s="23"/>
      <c r="Z69" s="33"/>
      <c r="AB69" s="76" t="s">
        <v>87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88</v>
      </c>
      <c r="B71" s="79" t="n">
        <v>0.0105</v>
      </c>
      <c r="C71" s="32"/>
      <c r="D71" s="32"/>
      <c r="E71" s="23"/>
      <c r="F71" s="23"/>
      <c r="G71" s="23"/>
      <c r="H71" s="33"/>
      <c r="J71" s="78" t="s">
        <v>88</v>
      </c>
      <c r="K71" s="79" t="n">
        <v>0.06</v>
      </c>
      <c r="L71" s="32"/>
      <c r="M71" s="32"/>
      <c r="N71" s="23"/>
      <c r="O71" s="23"/>
      <c r="P71" s="23"/>
      <c r="Q71" s="33"/>
      <c r="S71" s="78" t="s">
        <v>88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88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89</v>
      </c>
      <c r="B72" s="81" t="n">
        <v>0.065</v>
      </c>
      <c r="C72" s="32"/>
      <c r="D72" s="32"/>
      <c r="E72" s="23"/>
      <c r="F72" s="23"/>
      <c r="G72" s="23"/>
      <c r="H72" s="33"/>
      <c r="J72" s="80" t="s">
        <v>89</v>
      </c>
      <c r="K72" s="81" t="n">
        <v>0.08</v>
      </c>
      <c r="L72" s="32"/>
      <c r="M72" s="32"/>
      <c r="N72" s="23"/>
      <c r="O72" s="23"/>
      <c r="P72" s="23"/>
      <c r="Q72" s="33"/>
      <c r="S72" s="80" t="s">
        <v>89</v>
      </c>
      <c r="T72" s="81" t="n">
        <v>0.059</v>
      </c>
      <c r="U72" s="32"/>
      <c r="V72" s="32"/>
      <c r="W72" s="23"/>
      <c r="X72" s="23"/>
      <c r="Y72" s="23"/>
      <c r="Z72" s="33"/>
      <c r="AB72" s="80" t="s">
        <v>89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90</v>
      </c>
      <c r="B73" s="83" t="n">
        <v>0.05</v>
      </c>
      <c r="C73" s="32"/>
      <c r="D73" s="32"/>
      <c r="E73" s="23"/>
      <c r="F73" s="23"/>
      <c r="G73" s="23"/>
      <c r="H73" s="33"/>
      <c r="J73" s="82" t="s">
        <v>90</v>
      </c>
      <c r="K73" s="83" t="n">
        <v>0.1</v>
      </c>
      <c r="L73" s="32"/>
      <c r="M73" s="32"/>
      <c r="N73" s="23"/>
      <c r="O73" s="23"/>
      <c r="P73" s="23"/>
      <c r="Q73" s="33"/>
      <c r="S73" s="82" t="s">
        <v>90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90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91</v>
      </c>
      <c r="B74" s="65" t="n">
        <f aca="false">(B98*B68)-(K47*K29)</f>
        <v>14610.5088812864</v>
      </c>
      <c r="C74" s="32"/>
      <c r="D74" s="32"/>
      <c r="E74" s="23"/>
      <c r="F74" s="23"/>
      <c r="G74" s="23"/>
      <c r="H74" s="33"/>
      <c r="J74" s="56" t="s">
        <v>91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91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91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92</v>
      </c>
      <c r="B75" s="79" t="n">
        <v>0.005</v>
      </c>
      <c r="C75" s="32"/>
      <c r="D75" s="32"/>
      <c r="E75" s="23"/>
      <c r="F75" s="23"/>
      <c r="G75" s="23"/>
      <c r="H75" s="33"/>
      <c r="J75" s="78" t="s">
        <v>92</v>
      </c>
      <c r="K75" s="79" t="n">
        <v>0.05</v>
      </c>
      <c r="L75" s="32"/>
      <c r="M75" s="32"/>
      <c r="N75" s="23"/>
      <c r="O75" s="23"/>
      <c r="P75" s="23"/>
      <c r="Q75" s="33"/>
      <c r="S75" s="78" t="s">
        <v>92</v>
      </c>
      <c r="T75" s="79" t="n">
        <v>0.005</v>
      </c>
      <c r="U75" s="32"/>
      <c r="V75" s="32"/>
      <c r="W75" s="23"/>
      <c r="X75" s="23"/>
      <c r="Y75" s="23"/>
      <c r="Z75" s="33"/>
      <c r="AB75" s="78" t="s">
        <v>92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93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93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93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93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94</v>
      </c>
      <c r="B77" s="65" t="n">
        <f aca="false">(G167*B76)</f>
        <v>117.49998</v>
      </c>
      <c r="C77" s="32"/>
      <c r="D77" s="32"/>
      <c r="E77" s="23"/>
      <c r="F77" s="23"/>
      <c r="G77" s="23"/>
      <c r="H77" s="33"/>
      <c r="J77" s="56" t="s">
        <v>94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94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94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95</v>
      </c>
      <c r="B78" s="79" t="n">
        <v>0</v>
      </c>
      <c r="C78" s="32"/>
      <c r="D78" s="32"/>
      <c r="E78" s="23"/>
      <c r="F78" s="23"/>
      <c r="G78" s="23"/>
      <c r="H78" s="33"/>
      <c r="J78" s="78" t="s">
        <v>95</v>
      </c>
      <c r="K78" s="79" t="n">
        <v>0</v>
      </c>
      <c r="L78" s="32"/>
      <c r="M78" s="32"/>
      <c r="N78" s="23"/>
      <c r="O78" s="23"/>
      <c r="P78" s="23"/>
      <c r="Q78" s="33"/>
      <c r="S78" s="78" t="s">
        <v>95</v>
      </c>
      <c r="T78" s="79" t="n">
        <v>0</v>
      </c>
      <c r="U78" s="32"/>
      <c r="V78" s="32"/>
      <c r="W78" s="23"/>
      <c r="X78" s="23"/>
      <c r="Y78" s="23"/>
      <c r="Z78" s="33"/>
      <c r="AB78" s="78" t="s">
        <v>95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96</v>
      </c>
      <c r="B79" s="81" t="n">
        <v>0</v>
      </c>
      <c r="C79" s="32"/>
      <c r="D79" s="32"/>
      <c r="E79" s="23"/>
      <c r="F79" s="23"/>
      <c r="G79" s="23"/>
      <c r="H79" s="33"/>
      <c r="J79" s="80" t="s">
        <v>96</v>
      </c>
      <c r="K79" s="81" t="n">
        <v>0</v>
      </c>
      <c r="L79" s="32"/>
      <c r="M79" s="32"/>
      <c r="N79" s="23"/>
      <c r="O79" s="23"/>
      <c r="P79" s="23"/>
      <c r="Q79" s="33"/>
      <c r="S79" s="80" t="s">
        <v>96</v>
      </c>
      <c r="T79" s="81" t="n">
        <v>0</v>
      </c>
      <c r="U79" s="32"/>
      <c r="V79" s="32"/>
      <c r="W79" s="23"/>
      <c r="X79" s="23"/>
      <c r="Y79" s="23"/>
      <c r="Z79" s="33"/>
      <c r="AB79" s="80" t="s">
        <v>96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97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97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97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97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98</v>
      </c>
      <c r="B81" s="86" t="n">
        <v>0</v>
      </c>
      <c r="C81" s="32"/>
      <c r="D81" s="32"/>
      <c r="E81" s="23"/>
      <c r="F81" s="23"/>
      <c r="G81" s="23"/>
      <c r="H81" s="33"/>
      <c r="J81" s="78" t="s">
        <v>98</v>
      </c>
      <c r="K81" s="86" t="n">
        <v>0</v>
      </c>
      <c r="L81" s="32"/>
      <c r="M81" s="32"/>
      <c r="N81" s="23"/>
      <c r="O81" s="23"/>
      <c r="P81" s="23"/>
      <c r="Q81" s="33"/>
      <c r="S81" s="78" t="s">
        <v>98</v>
      </c>
      <c r="T81" s="86" t="n">
        <v>0</v>
      </c>
      <c r="U81" s="32"/>
      <c r="V81" s="32"/>
      <c r="W81" s="23"/>
      <c r="X81" s="23"/>
      <c r="Y81" s="23"/>
      <c r="Z81" s="33"/>
      <c r="AB81" s="78" t="s">
        <v>98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99</v>
      </c>
      <c r="B82" s="77" t="n">
        <v>0</v>
      </c>
      <c r="C82" s="32"/>
      <c r="D82" s="32"/>
      <c r="E82" s="23"/>
      <c r="F82" s="23"/>
      <c r="G82" s="23"/>
      <c r="H82" s="33"/>
      <c r="J82" s="80" t="s">
        <v>99</v>
      </c>
      <c r="K82" s="77" t="n">
        <v>0</v>
      </c>
      <c r="L82" s="32"/>
      <c r="M82" s="32"/>
      <c r="N82" s="23"/>
      <c r="O82" s="23"/>
      <c r="P82" s="23"/>
      <c r="Q82" s="33"/>
      <c r="S82" s="80" t="s">
        <v>99</v>
      </c>
      <c r="T82" s="77" t="n">
        <v>0</v>
      </c>
      <c r="U82" s="32"/>
      <c r="V82" s="32"/>
      <c r="W82" s="23"/>
      <c r="X82" s="23"/>
      <c r="Y82" s="23"/>
      <c r="Z82" s="33"/>
      <c r="AB82" s="80" t="s">
        <v>99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100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100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100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100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101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101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101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101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102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102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102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102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103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103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103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103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104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104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104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104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105</v>
      </c>
      <c r="B88" s="59" t="n">
        <f aca="false">K49</f>
        <v>292.9445</v>
      </c>
      <c r="C88" s="32"/>
      <c r="D88" s="32"/>
      <c r="E88" s="23"/>
      <c r="F88" s="23"/>
      <c r="G88" s="23"/>
      <c r="H88" s="33"/>
      <c r="J88" s="90" t="s">
        <v>105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105</v>
      </c>
      <c r="T88" s="59" t="n">
        <f aca="false">B60</f>
        <v>292.9445</v>
      </c>
      <c r="U88" s="32"/>
      <c r="V88" s="32"/>
      <c r="W88" s="23"/>
      <c r="X88" s="23"/>
      <c r="Y88" s="23"/>
      <c r="Z88" s="33"/>
      <c r="AB88" s="90" t="s">
        <v>105</v>
      </c>
      <c r="AC88" s="59" t="n">
        <f aca="false">B60</f>
        <v>292.9445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106</v>
      </c>
      <c r="B90" s="27" t="n">
        <f aca="false">F37</f>
        <v>20099.996</v>
      </c>
      <c r="C90" s="32"/>
      <c r="D90" s="32"/>
      <c r="E90" s="23"/>
      <c r="F90" s="25" t="s">
        <v>106</v>
      </c>
      <c r="G90" s="27" t="n">
        <f aca="false">F37</f>
        <v>20099.996</v>
      </c>
      <c r="H90" s="33"/>
      <c r="J90" s="25" t="s">
        <v>106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106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106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107</v>
      </c>
      <c r="B91" s="33" t="n">
        <f aca="false">IF(A111="YES",A43,0)*1.2</f>
        <v>7200</v>
      </c>
      <c r="C91" s="32"/>
      <c r="D91" s="32"/>
      <c r="E91" s="23"/>
      <c r="F91" s="31" t="s">
        <v>107</v>
      </c>
      <c r="G91" s="33" t="n">
        <f aca="false">IF(A111="YES",A43,0)*1.2</f>
        <v>7200</v>
      </c>
      <c r="H91" s="33"/>
      <c r="J91" s="31" t="s">
        <v>107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107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107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108</v>
      </c>
      <c r="B92" s="84" t="n">
        <f aca="false">B71+B72+B73</f>
        <v>0.1255</v>
      </c>
      <c r="C92" s="32"/>
      <c r="D92" s="32"/>
      <c r="E92" s="23"/>
      <c r="F92" s="31" t="s">
        <v>108</v>
      </c>
      <c r="G92" s="91" t="n">
        <f aca="false">B72</f>
        <v>0.065</v>
      </c>
      <c r="H92" s="33"/>
      <c r="J92" s="31" t="s">
        <v>108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108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108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109</v>
      </c>
      <c r="B93" s="84" t="n">
        <f aca="false">B92/12</f>
        <v>0.0104583333333333</v>
      </c>
      <c r="C93" s="32"/>
      <c r="D93" s="32"/>
      <c r="E93" s="23"/>
      <c r="F93" s="31" t="s">
        <v>109</v>
      </c>
      <c r="G93" s="92" t="n">
        <f aca="false">G92/12</f>
        <v>0.00541666666666667</v>
      </c>
      <c r="H93" s="33"/>
      <c r="J93" s="31" t="s">
        <v>109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109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109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110</v>
      </c>
      <c r="B94" s="33" t="n">
        <f aca="false">IF(B91=0, (B68+B67), (B68))</f>
        <v>11</v>
      </c>
      <c r="C94" s="32"/>
      <c r="D94" s="32"/>
      <c r="E94" s="23"/>
      <c r="F94" s="31" t="s">
        <v>110</v>
      </c>
      <c r="G94" s="33" t="n">
        <f aca="false">IF(G91=0, (B68+B67), (B68))</f>
        <v>11</v>
      </c>
      <c r="H94" s="33"/>
      <c r="J94" s="31" t="s">
        <v>110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110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110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111</v>
      </c>
      <c r="B95" s="33" t="n">
        <f aca="false">(B91/((1+B93)^(B94+1)))</f>
        <v>6354.94179987962</v>
      </c>
      <c r="C95" s="32"/>
      <c r="D95" s="32"/>
      <c r="E95" s="23"/>
      <c r="F95" s="31" t="s">
        <v>111</v>
      </c>
      <c r="G95" s="33" t="n">
        <f aca="false">(G91/((1+G93)^(G94+1)))</f>
        <v>6748.06930144099</v>
      </c>
      <c r="H95" s="33"/>
      <c r="J95" s="31" t="s">
        <v>111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111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111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112</v>
      </c>
      <c r="B96" s="33" t="n">
        <f aca="false">((1-(1/((1+B93)^B94)))/B93)</f>
        <v>10.3399216528992</v>
      </c>
      <c r="C96" s="32"/>
      <c r="D96" s="32"/>
      <c r="E96" s="23"/>
      <c r="F96" s="31" t="s">
        <v>112</v>
      </c>
      <c r="G96" s="33" t="n">
        <f aca="false">((1-(1/((1+G93)^G94)))/G93)</f>
        <v>10.6507347822959</v>
      </c>
      <c r="H96" s="33"/>
      <c r="J96" s="31" t="s">
        <v>112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112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112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113</v>
      </c>
      <c r="B97" s="33" t="n">
        <f aca="false">B90-B95</f>
        <v>13745.0542001204</v>
      </c>
      <c r="C97" s="32"/>
      <c r="D97" s="32"/>
      <c r="E97" s="23"/>
      <c r="F97" s="31" t="s">
        <v>113</v>
      </c>
      <c r="G97" s="33" t="n">
        <f aca="false">G90-G95</f>
        <v>13351.926698559</v>
      </c>
      <c r="H97" s="33"/>
      <c r="J97" s="31" t="s">
        <v>113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113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113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114</v>
      </c>
      <c r="B98" s="33" t="n">
        <f aca="false">(B97/B96)</f>
        <v>1329.31898920786</v>
      </c>
      <c r="C98" s="32"/>
      <c r="D98" s="32"/>
      <c r="E98" s="23"/>
      <c r="F98" s="31" t="s">
        <v>114</v>
      </c>
      <c r="G98" s="33" t="n">
        <f aca="false">(G97/G96)</f>
        <v>1253.61554592019</v>
      </c>
      <c r="H98" s="33"/>
      <c r="J98" s="31" t="s">
        <v>114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114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114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115</v>
      </c>
      <c r="B99" s="33" t="n">
        <f aca="false">((B98*(B94))+B86)</f>
        <v>14622.5088812864</v>
      </c>
      <c r="C99" s="32"/>
      <c r="D99" s="32"/>
      <c r="E99" s="23"/>
      <c r="F99" s="31" t="s">
        <v>115</v>
      </c>
      <c r="G99" s="33" t="n">
        <f aca="false">((G98*(G94))+G86)</f>
        <v>13789.7710051221</v>
      </c>
      <c r="H99" s="33"/>
      <c r="J99" s="31" t="s">
        <v>115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115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115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116</v>
      </c>
      <c r="B100" s="33" t="n">
        <f aca="false">(((B98*(B94))+B86)/(1-B80))*B80</f>
        <v>0</v>
      </c>
      <c r="C100" s="32"/>
      <c r="D100" s="32"/>
      <c r="E100" s="23"/>
      <c r="F100" s="31" t="s">
        <v>116</v>
      </c>
      <c r="G100" s="33" t="n">
        <f aca="false">(((G98*(G94))+G86)/(1-G80))*G80</f>
        <v>0</v>
      </c>
      <c r="H100" s="33"/>
      <c r="J100" s="31" t="s">
        <v>116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116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116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117</v>
      </c>
      <c r="B101" s="65" t="n">
        <f aca="false">(B99+B100)</f>
        <v>14622.5088812864</v>
      </c>
      <c r="C101" s="32"/>
      <c r="D101" s="32"/>
      <c r="E101" s="23"/>
      <c r="F101" s="56" t="s">
        <v>117</v>
      </c>
      <c r="G101" s="65" t="n">
        <f aca="false">(G99+G100)</f>
        <v>13789.7710051221</v>
      </c>
      <c r="H101" s="33"/>
      <c r="J101" s="56" t="s">
        <v>117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117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117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118</v>
      </c>
      <c r="B103" s="89" t="n">
        <f aca="false">((A46 * A34) + ((A46 * A34)*A117))/(B68)</f>
        <v>0</v>
      </c>
      <c r="C103" s="32"/>
      <c r="D103" s="32"/>
      <c r="E103" s="23"/>
      <c r="F103" s="88" t="s">
        <v>118</v>
      </c>
      <c r="G103" s="94" t="str">
        <f aca="false">IF(B35="YES",((E49/B94)*(1+A117)*(C54/100)),"0")</f>
        <v>0</v>
      </c>
      <c r="H103" s="33"/>
      <c r="J103" s="88" t="s">
        <v>118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118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118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119</v>
      </c>
      <c r="B104" s="96" t="n">
        <f aca="false">B101/(B94)</f>
        <v>1329.31898920786</v>
      </c>
      <c r="C104" s="32"/>
      <c r="D104" s="32"/>
      <c r="E104" s="23"/>
      <c r="F104" s="95" t="s">
        <v>119</v>
      </c>
      <c r="G104" s="96" t="n">
        <f aca="false">G101/(G94)</f>
        <v>1253.61554592019</v>
      </c>
      <c r="H104" s="33"/>
      <c r="J104" s="95" t="s">
        <v>119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119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119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120</v>
      </c>
      <c r="B105" s="98" t="n">
        <f aca="false">B103+B104</f>
        <v>1329.31898920786</v>
      </c>
      <c r="C105" s="32"/>
      <c r="D105" s="32"/>
      <c r="E105" s="23" t="s">
        <v>18</v>
      </c>
      <c r="F105" s="97" t="s">
        <v>120</v>
      </c>
      <c r="G105" s="98" t="n">
        <f aca="false">G103+G104</f>
        <v>1253.61554592019</v>
      </c>
      <c r="H105" s="33"/>
      <c r="J105" s="97" t="s">
        <v>120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120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120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122</v>
      </c>
      <c r="B109" s="100"/>
      <c r="C109" s="100"/>
      <c r="D109" s="100"/>
      <c r="E109" s="100"/>
      <c r="F109" s="100"/>
      <c r="G109" s="100"/>
      <c r="H109" s="100"/>
      <c r="J109" s="24" t="s">
        <v>123</v>
      </c>
      <c r="K109" s="24"/>
      <c r="L109" s="24"/>
      <c r="M109" s="24"/>
      <c r="N109" s="24"/>
      <c r="O109" s="24"/>
      <c r="P109" s="24"/>
      <c r="Q109" s="24"/>
      <c r="S109" s="100" t="s">
        <v>124</v>
      </c>
      <c r="T109" s="100"/>
      <c r="U109" s="100"/>
      <c r="V109" s="100"/>
      <c r="W109" s="100"/>
      <c r="X109" s="100"/>
      <c r="Y109" s="100"/>
      <c r="Z109" s="100"/>
      <c r="AB109" s="100" t="s">
        <v>125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126</v>
      </c>
      <c r="K111" s="28"/>
      <c r="L111" s="28"/>
      <c r="M111" s="28"/>
      <c r="N111" s="28"/>
      <c r="O111" s="28"/>
      <c r="P111" s="28"/>
      <c r="Q111" s="28"/>
      <c r="S111" s="28" t="s">
        <v>126</v>
      </c>
      <c r="T111" s="28"/>
      <c r="U111" s="28"/>
      <c r="V111" s="28"/>
      <c r="W111" s="28"/>
      <c r="X111" s="28"/>
      <c r="Y111" s="28"/>
      <c r="Z111" s="28"/>
      <c r="AB111" s="28" t="s">
        <v>126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127</v>
      </c>
      <c r="B113" s="32" t="s">
        <v>23</v>
      </c>
      <c r="C113" s="32"/>
      <c r="D113" s="32"/>
      <c r="E113" s="32" t="s">
        <v>128</v>
      </c>
      <c r="F113" s="32"/>
      <c r="G113" s="32"/>
      <c r="H113" s="33"/>
      <c r="J113" s="31" t="s">
        <v>127</v>
      </c>
      <c r="K113" s="32" t="s">
        <v>23</v>
      </c>
      <c r="L113" s="32"/>
      <c r="M113" s="32"/>
      <c r="N113" s="32" t="s">
        <v>128</v>
      </c>
      <c r="O113" s="32"/>
      <c r="P113" s="32"/>
      <c r="Q113" s="33"/>
      <c r="S113" s="31" t="s">
        <v>127</v>
      </c>
      <c r="T113" s="32" t="s">
        <v>23</v>
      </c>
      <c r="U113" s="32"/>
      <c r="V113" s="32"/>
      <c r="W113" s="32" t="s">
        <v>128</v>
      </c>
      <c r="X113" s="32"/>
      <c r="Y113" s="32"/>
      <c r="Z113" s="33"/>
      <c r="AB113" s="31" t="s">
        <v>127</v>
      </c>
      <c r="AC113" s="32" t="s">
        <v>23</v>
      </c>
      <c r="AD113" s="32"/>
      <c r="AE113" s="32"/>
      <c r="AF113" s="32" t="s">
        <v>128</v>
      </c>
      <c r="AG113" s="32"/>
      <c r="AH113" s="32"/>
      <c r="AI113" s="33"/>
    </row>
    <row r="114" customFormat="false" ht="17.35" hidden="false" customHeight="false" outlineLevel="0" collapsed="false">
      <c r="A114" s="36" t="s">
        <v>129</v>
      </c>
      <c r="B114" s="103" t="s">
        <v>235</v>
      </c>
      <c r="C114" s="103"/>
      <c r="D114" s="103"/>
      <c r="E114" s="104" t="s">
        <v>19</v>
      </c>
      <c r="F114" s="104"/>
      <c r="G114" s="104"/>
      <c r="H114" s="102"/>
      <c r="J114" s="36" t="s">
        <v>129</v>
      </c>
      <c r="K114" s="105" t="s">
        <v>130</v>
      </c>
      <c r="L114" s="105"/>
      <c r="M114" s="105"/>
      <c r="N114" s="104" t="s">
        <v>18</v>
      </c>
      <c r="O114" s="104"/>
      <c r="P114" s="104"/>
      <c r="Q114" s="102"/>
      <c r="S114" s="36" t="s">
        <v>129</v>
      </c>
      <c r="T114" s="103" t="s">
        <v>130</v>
      </c>
      <c r="U114" s="103"/>
      <c r="V114" s="103"/>
      <c r="W114" s="104" t="s">
        <v>18</v>
      </c>
      <c r="X114" s="104"/>
      <c r="Y114" s="104"/>
      <c r="Z114" s="102"/>
      <c r="AB114" s="36" t="s">
        <v>129</v>
      </c>
      <c r="AC114" s="103" t="s">
        <v>130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131</v>
      </c>
      <c r="B116" s="32" t="s">
        <v>132</v>
      </c>
      <c r="C116" s="32"/>
      <c r="D116" s="23"/>
      <c r="E116" s="32" t="s">
        <v>133</v>
      </c>
      <c r="F116" s="32"/>
      <c r="G116" s="23"/>
      <c r="H116" s="102"/>
      <c r="J116" s="31" t="s">
        <v>131</v>
      </c>
      <c r="K116" s="32" t="s">
        <v>132</v>
      </c>
      <c r="L116" s="32"/>
      <c r="M116" s="23"/>
      <c r="N116" s="32" t="s">
        <v>133</v>
      </c>
      <c r="O116" s="32"/>
      <c r="P116" s="23"/>
      <c r="Q116" s="102"/>
      <c r="S116" s="31" t="s">
        <v>131</v>
      </c>
      <c r="T116" s="32" t="s">
        <v>132</v>
      </c>
      <c r="U116" s="32"/>
      <c r="V116" s="23"/>
      <c r="W116" s="32" t="s">
        <v>133</v>
      </c>
      <c r="X116" s="32"/>
      <c r="Y116" s="23"/>
      <c r="Z116" s="102"/>
      <c r="AB116" s="31" t="s">
        <v>131</v>
      </c>
      <c r="AC116" s="32" t="s">
        <v>132</v>
      </c>
      <c r="AD116" s="32"/>
      <c r="AE116" s="23"/>
      <c r="AF116" s="32" t="s">
        <v>133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134</v>
      </c>
      <c r="C117" s="107"/>
      <c r="D117" s="107"/>
      <c r="E117" s="108" t="n">
        <f aca="false">B92</f>
        <v>0.1255</v>
      </c>
      <c r="F117" s="108"/>
      <c r="G117" s="108"/>
      <c r="H117" s="47"/>
      <c r="J117" s="106" t="n">
        <v>0.3</v>
      </c>
      <c r="K117" s="107" t="s">
        <v>134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135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135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136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134</v>
      </c>
    </row>
    <row r="119" customFormat="false" ht="17.35" hidden="false" customHeight="false" outlineLevel="0" collapsed="false">
      <c r="A119" s="31" t="s">
        <v>137</v>
      </c>
      <c r="B119" s="32" t="s">
        <v>138</v>
      </c>
      <c r="C119" s="32"/>
      <c r="D119" s="32"/>
      <c r="E119" s="32" t="s">
        <v>139</v>
      </c>
      <c r="F119" s="32"/>
      <c r="G119" s="32"/>
      <c r="H119" s="33"/>
      <c r="J119" s="31" t="s">
        <v>137</v>
      </c>
      <c r="K119" s="32" t="s">
        <v>138</v>
      </c>
      <c r="L119" s="32"/>
      <c r="M119" s="32"/>
      <c r="N119" s="32" t="s">
        <v>139</v>
      </c>
      <c r="O119" s="32"/>
      <c r="P119" s="32"/>
      <c r="Q119" s="33"/>
      <c r="S119" s="31" t="s">
        <v>137</v>
      </c>
      <c r="T119" s="32" t="s">
        <v>138</v>
      </c>
      <c r="U119" s="32"/>
      <c r="V119" s="32"/>
      <c r="W119" s="32" t="s">
        <v>139</v>
      </c>
      <c r="X119" s="32"/>
      <c r="Y119" s="32"/>
      <c r="Z119" s="33"/>
      <c r="AB119" s="31" t="s">
        <v>137</v>
      </c>
      <c r="AC119" s="32" t="s">
        <v>138</v>
      </c>
      <c r="AD119" s="32"/>
      <c r="AE119" s="32"/>
      <c r="AF119" s="32" t="s">
        <v>139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140</v>
      </c>
      <c r="B122" s="32" t="s">
        <v>141</v>
      </c>
      <c r="C122" s="32"/>
      <c r="D122" s="32"/>
      <c r="E122" s="32" t="s">
        <v>142</v>
      </c>
      <c r="F122" s="32"/>
      <c r="G122" s="23"/>
      <c r="H122" s="102"/>
      <c r="J122" s="110" t="s">
        <v>140</v>
      </c>
      <c r="K122" s="32" t="s">
        <v>141</v>
      </c>
      <c r="L122" s="32"/>
      <c r="M122" s="32"/>
      <c r="N122" s="32" t="s">
        <v>142</v>
      </c>
      <c r="O122" s="32"/>
      <c r="P122" s="23"/>
      <c r="Q122" s="102"/>
      <c r="S122" s="110" t="s">
        <v>140</v>
      </c>
      <c r="T122" s="32" t="s">
        <v>141</v>
      </c>
      <c r="U122" s="32"/>
      <c r="V122" s="32"/>
      <c r="W122" s="32" t="s">
        <v>142</v>
      </c>
      <c r="X122" s="32"/>
      <c r="Y122" s="23"/>
      <c r="Z122" s="102"/>
      <c r="AB122" s="110" t="s">
        <v>140</v>
      </c>
      <c r="AC122" s="32" t="s">
        <v>141</v>
      </c>
      <c r="AD122" s="32"/>
      <c r="AE122" s="32"/>
      <c r="AF122" s="32" t="s">
        <v>142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235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144</v>
      </c>
      <c r="B126" s="28"/>
      <c r="C126" s="28"/>
      <c r="D126" s="28"/>
      <c r="E126" s="28"/>
      <c r="F126" s="28"/>
      <c r="G126" s="28"/>
      <c r="H126" s="28"/>
      <c r="J126" s="28" t="s">
        <v>144</v>
      </c>
      <c r="K126" s="28"/>
      <c r="L126" s="28"/>
      <c r="M126" s="28"/>
      <c r="N126" s="28"/>
      <c r="O126" s="28"/>
      <c r="P126" s="28"/>
      <c r="Q126" s="28"/>
      <c r="S126" s="28" t="s">
        <v>144</v>
      </c>
      <c r="T126" s="28"/>
      <c r="U126" s="28"/>
      <c r="V126" s="28"/>
      <c r="W126" s="28"/>
      <c r="X126" s="28"/>
      <c r="Y126" s="28"/>
      <c r="Z126" s="28"/>
      <c r="AB126" s="28" t="s">
        <v>144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145</v>
      </c>
      <c r="C128" s="114"/>
      <c r="D128" s="114" t="s">
        <v>146</v>
      </c>
      <c r="E128" s="114"/>
      <c r="F128" s="114" t="s">
        <v>147</v>
      </c>
      <c r="G128" s="114"/>
      <c r="H128" s="115" t="s">
        <v>148</v>
      </c>
      <c r="J128" s="78"/>
      <c r="K128" s="114" t="s">
        <v>145</v>
      </c>
      <c r="L128" s="114"/>
      <c r="M128" s="114" t="s">
        <v>146</v>
      </c>
      <c r="N128" s="114"/>
      <c r="O128" s="114" t="s">
        <v>147</v>
      </c>
      <c r="P128" s="114"/>
      <c r="Q128" s="115" t="s">
        <v>148</v>
      </c>
      <c r="S128" s="78"/>
      <c r="T128" s="114" t="s">
        <v>145</v>
      </c>
      <c r="U128" s="114"/>
      <c r="V128" s="114" t="s">
        <v>146</v>
      </c>
      <c r="W128" s="114"/>
      <c r="X128" s="114" t="s">
        <v>147</v>
      </c>
      <c r="Y128" s="114"/>
      <c r="Z128" s="115" t="s">
        <v>148</v>
      </c>
      <c r="AB128" s="78"/>
      <c r="AC128" s="114" t="s">
        <v>145</v>
      </c>
      <c r="AD128" s="114"/>
      <c r="AE128" s="114" t="s">
        <v>146</v>
      </c>
      <c r="AF128" s="114"/>
      <c r="AG128" s="114" t="s">
        <v>147</v>
      </c>
      <c r="AH128" s="114"/>
      <c r="AI128" s="115" t="s">
        <v>148</v>
      </c>
    </row>
    <row r="129" customFormat="false" ht="19.7" hidden="false" customHeight="false" outlineLevel="0" collapsed="false">
      <c r="A129" s="80"/>
      <c r="B129" s="116" t="s">
        <v>149</v>
      </c>
      <c r="C129" s="117" t="s">
        <v>150</v>
      </c>
      <c r="D129" s="116" t="s">
        <v>149</v>
      </c>
      <c r="E129" s="118" t="s">
        <v>150</v>
      </c>
      <c r="F129" s="116" t="s">
        <v>149</v>
      </c>
      <c r="G129" s="118" t="s">
        <v>150</v>
      </c>
      <c r="H129" s="119"/>
      <c r="J129" s="80"/>
      <c r="K129" s="116" t="s">
        <v>149</v>
      </c>
      <c r="L129" s="117" t="s">
        <v>150</v>
      </c>
      <c r="M129" s="116" t="s">
        <v>149</v>
      </c>
      <c r="N129" s="118" t="s">
        <v>150</v>
      </c>
      <c r="O129" s="116" t="s">
        <v>149</v>
      </c>
      <c r="P129" s="118" t="s">
        <v>150</v>
      </c>
      <c r="Q129" s="119"/>
      <c r="S129" s="80"/>
      <c r="T129" s="116" t="s">
        <v>149</v>
      </c>
      <c r="U129" s="117" t="s">
        <v>150</v>
      </c>
      <c r="V129" s="116" t="s">
        <v>149</v>
      </c>
      <c r="W129" s="118" t="s">
        <v>150</v>
      </c>
      <c r="X129" s="116" t="s">
        <v>149</v>
      </c>
      <c r="Y129" s="118" t="s">
        <v>150</v>
      </c>
      <c r="Z129" s="119"/>
      <c r="AB129" s="80"/>
      <c r="AC129" s="116" t="s">
        <v>149</v>
      </c>
      <c r="AD129" s="117" t="s">
        <v>150</v>
      </c>
      <c r="AE129" s="116" t="s">
        <v>149</v>
      </c>
      <c r="AF129" s="118" t="s">
        <v>150</v>
      </c>
      <c r="AG129" s="116" t="s">
        <v>149</v>
      </c>
      <c r="AH129" s="118" t="s">
        <v>150</v>
      </c>
      <c r="AI129" s="119"/>
    </row>
    <row r="130" customFormat="false" ht="17.35" hidden="false" customHeight="false" outlineLevel="0" collapsed="false">
      <c r="A130" s="25" t="s">
        <v>151</v>
      </c>
      <c r="B130" s="120" t="n">
        <f aca="false">E19</f>
        <v>21099.996</v>
      </c>
      <c r="C130" s="121" t="n">
        <v>19583.33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151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151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151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152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152</v>
      </c>
      <c r="K131" s="127" t="n">
        <f aca="false">B4</f>
        <v>21099.996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152</v>
      </c>
      <c r="T131" s="127" t="n">
        <f aca="false">B4</f>
        <v>21099.996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152</v>
      </c>
      <c r="AC131" s="127" t="n">
        <f aca="false">B4</f>
        <v>21099.996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153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153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153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153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154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154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154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154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155</v>
      </c>
      <c r="B134" s="132" t="n">
        <f aca="false">B130-B133</f>
        <v>21099.996</v>
      </c>
      <c r="C134" s="133" t="n">
        <f aca="false">C130-C133</f>
        <v>19583.33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155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155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155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149</v>
      </c>
      <c r="H136" s="137" t="s">
        <v>150</v>
      </c>
      <c r="J136" s="134"/>
      <c r="K136" s="138"/>
      <c r="L136" s="138"/>
      <c r="M136" s="138"/>
      <c r="N136" s="138"/>
      <c r="O136" s="138"/>
      <c r="P136" s="139" t="s">
        <v>149</v>
      </c>
      <c r="Q136" s="137" t="s">
        <v>150</v>
      </c>
      <c r="S136" s="134"/>
      <c r="T136" s="138"/>
      <c r="U136" s="138"/>
      <c r="V136" s="138"/>
      <c r="W136" s="138"/>
      <c r="X136" s="138"/>
      <c r="Y136" s="139" t="s">
        <v>149</v>
      </c>
      <c r="Z136" s="137" t="s">
        <v>150</v>
      </c>
      <c r="AB136" s="134"/>
      <c r="AC136" s="138"/>
      <c r="AD136" s="138"/>
      <c r="AE136" s="138"/>
      <c r="AF136" s="138"/>
      <c r="AG136" s="138"/>
      <c r="AH136" s="139" t="s">
        <v>149</v>
      </c>
      <c r="AI136" s="137" t="s">
        <v>150</v>
      </c>
    </row>
    <row r="137" customFormat="false" ht="17.35" hidden="false" customHeight="false" outlineLevel="0" collapsed="false">
      <c r="A137" s="140" t="s">
        <v>156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156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156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156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157</v>
      </c>
      <c r="B139" s="144" t="s">
        <v>158</v>
      </c>
      <c r="C139" s="144"/>
      <c r="D139" s="144" t="s">
        <v>159</v>
      </c>
      <c r="E139" s="144"/>
      <c r="F139" s="144" t="s">
        <v>153</v>
      </c>
      <c r="G139" s="144"/>
      <c r="H139" s="145" t="s">
        <v>150</v>
      </c>
      <c r="J139" s="147" t="s">
        <v>157</v>
      </c>
      <c r="K139" s="148" t="s">
        <v>158</v>
      </c>
      <c r="L139" s="148"/>
      <c r="M139" s="144" t="s">
        <v>159</v>
      </c>
      <c r="N139" s="144"/>
      <c r="O139" s="144" t="s">
        <v>153</v>
      </c>
      <c r="P139" s="144"/>
      <c r="Q139" s="145" t="s">
        <v>150</v>
      </c>
      <c r="S139" s="147" t="s">
        <v>157</v>
      </c>
      <c r="T139" s="144" t="s">
        <v>158</v>
      </c>
      <c r="U139" s="144"/>
      <c r="V139" s="144" t="s">
        <v>159</v>
      </c>
      <c r="W139" s="144"/>
      <c r="X139" s="144" t="s">
        <v>153</v>
      </c>
      <c r="Y139" s="144"/>
      <c r="Z139" s="145" t="s">
        <v>150</v>
      </c>
      <c r="AB139" s="147" t="s">
        <v>157</v>
      </c>
      <c r="AC139" s="144" t="s">
        <v>158</v>
      </c>
      <c r="AD139" s="144"/>
      <c r="AE139" s="144" t="s">
        <v>159</v>
      </c>
      <c r="AF139" s="144"/>
      <c r="AG139" s="144" t="s">
        <v>153</v>
      </c>
      <c r="AH139" s="144"/>
      <c r="AI139" s="145" t="s">
        <v>150</v>
      </c>
    </row>
    <row r="140" customFormat="false" ht="17.35" hidden="false" customHeight="false" outlineLevel="0" collapsed="false">
      <c r="A140" s="31" t="s">
        <v>160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160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160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160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161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161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161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161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162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162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162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162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163</v>
      </c>
      <c r="B144" s="152"/>
      <c r="C144" s="152"/>
      <c r="D144" s="152"/>
      <c r="E144" s="152"/>
      <c r="F144" s="152"/>
      <c r="G144" s="136" t="n">
        <f aca="false">E21</f>
        <v>17583.33</v>
      </c>
      <c r="H144" s="153" t="n">
        <f aca="false">C134+E134+G134+H137</f>
        <v>19583.33</v>
      </c>
      <c r="J144" s="152" t="s">
        <v>163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163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163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164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164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164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164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165</v>
      </c>
      <c r="B146" s="154"/>
      <c r="C146" s="154"/>
      <c r="D146" s="154"/>
      <c r="E146" s="154"/>
      <c r="F146" s="154"/>
      <c r="G146" s="33" t="n">
        <f aca="false">(G144+G145)*20%</f>
        <v>3516.666</v>
      </c>
      <c r="H146" s="33" t="n">
        <f aca="false">(H144+H145)*20%</f>
        <v>3916.666</v>
      </c>
      <c r="J146" s="154" t="s">
        <v>165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165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165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166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166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166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166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167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167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167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167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168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168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168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168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169</v>
      </c>
      <c r="B150" s="154"/>
      <c r="C150" s="154"/>
      <c r="D150" s="154"/>
      <c r="E150" s="154"/>
      <c r="F150" s="154"/>
      <c r="G150" s="157" t="n">
        <f aca="false">(G144+G145+G148+G149+G146)-G147</f>
        <v>21099.996</v>
      </c>
      <c r="H150" s="157" t="n">
        <f aca="false">(H144+H145+H148+H149+H146)-H147</f>
        <v>23499.996</v>
      </c>
      <c r="J150" s="154" t="s">
        <v>169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169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169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170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170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170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170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171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171</v>
      </c>
      <c r="K152" s="159"/>
      <c r="L152" s="159"/>
      <c r="M152" s="159"/>
      <c r="N152" s="159"/>
      <c r="O152" s="159"/>
      <c r="P152" s="38"/>
      <c r="Q152" s="33"/>
      <c r="S152" s="111" t="s">
        <v>171</v>
      </c>
      <c r="T152" s="111"/>
      <c r="U152" s="111"/>
      <c r="V152" s="111"/>
      <c r="W152" s="111"/>
      <c r="X152" s="111"/>
      <c r="Y152" s="38"/>
      <c r="Z152" s="33"/>
      <c r="AB152" s="111" t="s">
        <v>171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172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172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172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172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172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172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172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172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172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172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172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173</v>
      </c>
      <c r="B156" s="154"/>
      <c r="C156" s="154"/>
      <c r="D156" s="154"/>
      <c r="E156" s="154"/>
      <c r="F156" s="154"/>
      <c r="G156" s="164" t="n">
        <f aca="false">G150-((G153*1.2)+(G154*1.2)+(G155*1.2)+(G151*1.2))</f>
        <v>21099.996</v>
      </c>
      <c r="H156" s="164" t="n">
        <f aca="false">H150-((H153*1.2)+(H154*1.2)+(H155*1.2)+(H151*1.2))</f>
        <v>23499.996</v>
      </c>
      <c r="J156" s="165" t="s">
        <v>173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173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173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174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2000</v>
      </c>
      <c r="I157" s="1" t="n">
        <f aca="false">(H157-G90)/1.2</f>
        <v>-15083.33</v>
      </c>
      <c r="J157" s="154" t="s">
        <v>174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174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174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175</v>
      </c>
      <c r="B159" s="28"/>
      <c r="C159" s="28"/>
      <c r="D159" s="28"/>
      <c r="E159" s="28"/>
      <c r="F159" s="28"/>
      <c r="G159" s="28"/>
      <c r="H159" s="28"/>
      <c r="J159" s="28" t="s">
        <v>175</v>
      </c>
      <c r="K159" s="28"/>
      <c r="L159" s="28"/>
      <c r="M159" s="28"/>
      <c r="N159" s="28"/>
      <c r="O159" s="28"/>
      <c r="P159" s="28"/>
      <c r="Q159" s="28"/>
      <c r="S159" s="28" t="s">
        <v>175</v>
      </c>
      <c r="T159" s="28"/>
      <c r="U159" s="28"/>
      <c r="V159" s="28"/>
      <c r="W159" s="28"/>
      <c r="X159" s="28"/>
      <c r="Y159" s="28"/>
      <c r="Z159" s="28"/>
      <c r="AB159" s="28" t="s">
        <v>175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176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176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176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176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177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177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177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177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178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178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178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178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179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179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179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179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180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180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180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180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181</v>
      </c>
      <c r="B167" s="32"/>
      <c r="C167" s="32"/>
      <c r="D167" s="23"/>
      <c r="E167" s="32"/>
      <c r="F167" s="23"/>
      <c r="G167" s="170" t="n">
        <f aca="false">H156-G163-G166</f>
        <v>23499.996</v>
      </c>
      <c r="H167" s="170"/>
      <c r="J167" s="169" t="s">
        <v>181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181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181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182</v>
      </c>
      <c r="B171" s="28"/>
      <c r="C171" s="28"/>
      <c r="D171" s="28"/>
      <c r="E171" s="28"/>
      <c r="F171" s="28"/>
      <c r="G171" s="28"/>
      <c r="H171" s="28"/>
      <c r="J171" s="28" t="s">
        <v>182</v>
      </c>
      <c r="K171" s="28"/>
      <c r="L171" s="28"/>
      <c r="M171" s="28"/>
      <c r="N171" s="28"/>
      <c r="O171" s="28"/>
      <c r="P171" s="28"/>
      <c r="Q171" s="28"/>
      <c r="S171" s="28" t="s">
        <v>182</v>
      </c>
      <c r="T171" s="28"/>
      <c r="U171" s="28"/>
      <c r="V171" s="28"/>
      <c r="W171" s="28"/>
      <c r="X171" s="28"/>
      <c r="Y171" s="28"/>
      <c r="Z171" s="28"/>
      <c r="AB171" s="28" t="s">
        <v>182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183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183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183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183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184</v>
      </c>
      <c r="B175" s="174" t="s">
        <v>185</v>
      </c>
      <c r="C175" s="174"/>
      <c r="D175" s="174"/>
      <c r="E175" s="174" t="s">
        <v>186</v>
      </c>
      <c r="F175" s="23"/>
      <c r="G175" s="23" t="s">
        <v>187</v>
      </c>
      <c r="H175" s="33"/>
      <c r="J175" s="173" t="s">
        <v>184</v>
      </c>
      <c r="K175" s="175" t="s">
        <v>185</v>
      </c>
      <c r="L175" s="175"/>
      <c r="M175" s="175"/>
      <c r="N175" s="175" t="s">
        <v>186</v>
      </c>
      <c r="O175" s="23"/>
      <c r="P175" s="23"/>
      <c r="Q175" s="33"/>
      <c r="S175" s="173" t="s">
        <v>184</v>
      </c>
      <c r="T175" s="175" t="s">
        <v>185</v>
      </c>
      <c r="U175" s="175"/>
      <c r="V175" s="175"/>
      <c r="W175" s="175" t="s">
        <v>186</v>
      </c>
      <c r="X175" s="23"/>
      <c r="Y175" s="23"/>
      <c r="Z175" s="33"/>
      <c r="AB175" s="173" t="s">
        <v>184</v>
      </c>
      <c r="AC175" s="175" t="s">
        <v>185</v>
      </c>
      <c r="AD175" s="175"/>
      <c r="AE175" s="175"/>
      <c r="AF175" s="175" t="s">
        <v>186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1329.31898920786</v>
      </c>
      <c r="B176" s="177" t="n">
        <f aca="false">B103</f>
        <v>0</v>
      </c>
      <c r="C176" s="174"/>
      <c r="D176" s="174"/>
      <c r="E176" s="177" t="n">
        <f aca="false">B105</f>
        <v>1329.31898920786</v>
      </c>
      <c r="F176" s="23"/>
      <c r="G176" s="23" t="n">
        <f aca="false">ROUND(G104, 2)</f>
        <v>1253.62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83</v>
      </c>
      <c r="B178" s="93" t="s">
        <v>84</v>
      </c>
      <c r="C178" s="93"/>
      <c r="D178" s="23"/>
      <c r="E178" s="93" t="s">
        <v>188</v>
      </c>
      <c r="F178" s="23"/>
      <c r="G178" s="23"/>
      <c r="H178" s="33"/>
      <c r="J178" s="31" t="s">
        <v>83</v>
      </c>
      <c r="K178" s="32" t="s">
        <v>84</v>
      </c>
      <c r="L178" s="32"/>
      <c r="M178" s="23"/>
      <c r="N178" s="32" t="s">
        <v>188</v>
      </c>
      <c r="O178" s="23"/>
      <c r="P178" s="23"/>
      <c r="Q178" s="33"/>
      <c r="S178" s="31" t="s">
        <v>83</v>
      </c>
      <c r="T178" s="32" t="s">
        <v>84</v>
      </c>
      <c r="U178" s="32"/>
      <c r="V178" s="23"/>
      <c r="W178" s="32" t="s">
        <v>188</v>
      </c>
      <c r="X178" s="23"/>
      <c r="Y178" s="23"/>
      <c r="Z178" s="33"/>
      <c r="AB178" s="31" t="s">
        <v>83</v>
      </c>
      <c r="AC178" s="32" t="s">
        <v>84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93" t="s">
        <v>190</v>
      </c>
      <c r="C181" s="93"/>
      <c r="D181" s="23"/>
      <c r="E181" s="93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19583.33</v>
      </c>
      <c r="B182" s="103" t="n">
        <f aca="false">H146</f>
        <v>3916.666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93" t="s">
        <v>138</v>
      </c>
      <c r="C184" s="93"/>
      <c r="D184" s="23"/>
      <c r="E184" s="93" t="s">
        <v>139</v>
      </c>
      <c r="F184" s="23"/>
      <c r="G184" s="23"/>
      <c r="H184" s="33"/>
      <c r="J184" s="31" t="s">
        <v>192</v>
      </c>
      <c r="K184" s="32" t="s">
        <v>138</v>
      </c>
      <c r="L184" s="32"/>
      <c r="M184" s="23"/>
      <c r="N184" s="32" t="s">
        <v>139</v>
      </c>
      <c r="O184" s="23"/>
      <c r="P184" s="23"/>
      <c r="Q184" s="33"/>
      <c r="S184" s="31" t="s">
        <v>192</v>
      </c>
      <c r="T184" s="32" t="s">
        <v>138</v>
      </c>
      <c r="U184" s="32"/>
      <c r="V184" s="23"/>
      <c r="W184" s="32" t="s">
        <v>139</v>
      </c>
      <c r="X184" s="23"/>
      <c r="Y184" s="23"/>
      <c r="Z184" s="33"/>
      <c r="AB184" s="31" t="s">
        <v>192</v>
      </c>
      <c r="AC184" s="32" t="s">
        <v>138</v>
      </c>
      <c r="AD184" s="32"/>
      <c r="AE184" s="23"/>
      <c r="AF184" s="32" t="s">
        <v>139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23499.996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140</v>
      </c>
      <c r="B187" s="93" t="s">
        <v>176</v>
      </c>
      <c r="C187" s="93"/>
      <c r="D187" s="23"/>
      <c r="E187" s="93" t="s">
        <v>181</v>
      </c>
      <c r="F187" s="23"/>
      <c r="G187" s="23"/>
      <c r="H187" s="33"/>
      <c r="J187" s="31" t="s">
        <v>140</v>
      </c>
      <c r="K187" s="32" t="s">
        <v>176</v>
      </c>
      <c r="L187" s="32"/>
      <c r="M187" s="23"/>
      <c r="N187" s="32" t="s">
        <v>181</v>
      </c>
      <c r="O187" s="23"/>
      <c r="P187" s="23"/>
      <c r="Q187" s="33"/>
      <c r="S187" s="31" t="s">
        <v>140</v>
      </c>
      <c r="T187" s="32" t="s">
        <v>176</v>
      </c>
      <c r="U187" s="32"/>
      <c r="V187" s="23"/>
      <c r="W187" s="32" t="s">
        <v>181</v>
      </c>
      <c r="X187" s="23"/>
      <c r="Y187" s="23"/>
      <c r="Z187" s="33"/>
      <c r="AB187" s="31" t="s">
        <v>140</v>
      </c>
      <c r="AC187" s="32" t="s">
        <v>176</v>
      </c>
      <c r="AD187" s="32"/>
      <c r="AE187" s="23"/>
      <c r="AF187" s="32" t="s">
        <v>181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23499.996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93" t="s">
        <v>53</v>
      </c>
      <c r="C190" s="93"/>
      <c r="D190" s="23"/>
      <c r="E190" s="93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-2877.48711871359</v>
      </c>
      <c r="B191" s="103" t="str">
        <f aca="false">B123</f>
        <v>199.99</v>
      </c>
      <c r="C191" s="103"/>
      <c r="D191" s="23"/>
      <c r="E191" s="103" t="n">
        <f aca="false">E188+A191+(B191*1.2)+A194</f>
        <v>20872.4968812864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93" t="s">
        <v>196</v>
      </c>
      <c r="C193" s="93"/>
      <c r="D193" s="23"/>
      <c r="E193" s="93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93" t="s">
        <v>199</v>
      </c>
      <c r="C196" s="93"/>
      <c r="D196" s="93"/>
      <c r="E196" s="166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8.1052</v>
      </c>
      <c r="B197" s="103" t="n">
        <f aca="false">(G167*B76)/1.2</f>
        <v>97.91665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6" t="s">
        <v>202</v>
      </c>
      <c r="C199" s="93"/>
      <c r="D199" s="93"/>
      <c r="E199" s="166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197.90665</v>
      </c>
      <c r="C200" s="93"/>
      <c r="D200" s="93"/>
      <c r="E200" s="103" t="n">
        <f aca="false">H157</f>
        <v>2000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93"/>
      <c r="C202" s="93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83</v>
      </c>
      <c r="B204" s="71" t="s">
        <v>84</v>
      </c>
      <c r="C204" s="71"/>
      <c r="D204" s="71"/>
      <c r="E204" s="23"/>
      <c r="F204" s="23"/>
      <c r="G204" s="23"/>
      <c r="H204" s="33"/>
      <c r="J204" s="187" t="s">
        <v>83</v>
      </c>
      <c r="K204" s="188" t="s">
        <v>84</v>
      </c>
      <c r="L204" s="188"/>
      <c r="M204" s="188"/>
      <c r="N204" s="23"/>
      <c r="O204" s="23"/>
      <c r="P204" s="23"/>
      <c r="Q204" s="33"/>
      <c r="S204" s="187" t="s">
        <v>83</v>
      </c>
      <c r="T204" s="71" t="s">
        <v>84</v>
      </c>
      <c r="U204" s="71"/>
      <c r="V204" s="71"/>
      <c r="W204" s="23"/>
      <c r="X204" s="23"/>
      <c r="Y204" s="23"/>
      <c r="Z204" s="33"/>
      <c r="AB204" s="187" t="s">
        <v>83</v>
      </c>
      <c r="AC204" s="71" t="s">
        <v>84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1329.31898920786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205</v>
      </c>
      <c r="B209" s="93" t="s">
        <v>206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-3710.176</v>
      </c>
      <c r="B210" s="186" t="n">
        <f aca="false">E188+A210+(B191*1.2)+A194</f>
        <v>20039.808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182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127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207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184</v>
      </c>
      <c r="B220" s="192" t="s">
        <v>185</v>
      </c>
      <c r="C220" s="192"/>
      <c r="D220" s="192"/>
      <c r="E220" s="192" t="s">
        <v>186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1329.31898920786</v>
      </c>
      <c r="B221" s="177" t="n">
        <f aca="false">B176</f>
        <v>0</v>
      </c>
      <c r="C221" s="174"/>
      <c r="D221" s="174"/>
      <c r="E221" s="177" t="n">
        <f aca="false">E176</f>
        <v>1329.31898920786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189</v>
      </c>
      <c r="B223" s="93" t="s">
        <v>190</v>
      </c>
      <c r="C223" s="93"/>
      <c r="D223" s="113"/>
      <c r="E223" s="93" t="s">
        <v>191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19583.33</v>
      </c>
      <c r="B224" s="103" t="n">
        <f aca="false">B182</f>
        <v>3916.666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192</v>
      </c>
      <c r="B226" s="93" t="s">
        <v>138</v>
      </c>
      <c r="C226" s="93"/>
      <c r="D226" s="113"/>
      <c r="E226" s="93" t="s">
        <v>139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23499.996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140</v>
      </c>
      <c r="B229" s="93" t="s">
        <v>176</v>
      </c>
      <c r="C229" s="93"/>
      <c r="D229" s="113"/>
      <c r="E229" s="93" t="s">
        <v>181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23499.996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193</v>
      </c>
      <c r="B232" s="93" t="s">
        <v>53</v>
      </c>
      <c r="C232" s="93"/>
      <c r="D232" s="113"/>
      <c r="E232" s="93" t="s">
        <v>194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-2877.48711871359</v>
      </c>
      <c r="B233" s="103" t="str">
        <f aca="false">B191</f>
        <v>199.99</v>
      </c>
      <c r="C233" s="103"/>
      <c r="D233" s="113"/>
      <c r="E233" s="103" t="n">
        <f aca="false">E191</f>
        <v>20872.4968812864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195</v>
      </c>
      <c r="B235" s="93" t="s">
        <v>196</v>
      </c>
      <c r="C235" s="93"/>
      <c r="D235" s="113"/>
      <c r="E235" s="93" t="s">
        <v>208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184</v>
      </c>
      <c r="B238" s="93" t="s">
        <v>185</v>
      </c>
      <c r="C238" s="93"/>
      <c r="D238" s="93"/>
      <c r="E238" s="93" t="s">
        <v>186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1329.31898920786</v>
      </c>
      <c r="B239" s="103" t="n">
        <f aca="false">B176</f>
        <v>0</v>
      </c>
      <c r="C239" s="186"/>
      <c r="D239" s="186"/>
      <c r="E239" s="103" t="n">
        <f aca="false">E176</f>
        <v>1329.31898920786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209</v>
      </c>
      <c r="B241" s="93" t="s">
        <v>210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24.3156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211</v>
      </c>
      <c r="B244" s="166" t="s">
        <v>73</v>
      </c>
      <c r="C244" s="93"/>
      <c r="D244" s="93"/>
      <c r="E244" s="166" t="s">
        <v>132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8.1052</v>
      </c>
      <c r="B245" s="103" t="n">
        <f aca="false">E242+A245</f>
        <v>32.4208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212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213</v>
      </c>
      <c r="B248" s="93" t="s">
        <v>199</v>
      </c>
      <c r="C248" s="93"/>
      <c r="D248" s="93"/>
      <c r="E248" s="166" t="s">
        <v>200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2000</v>
      </c>
      <c r="B249" s="103" t="n">
        <f aca="false">B197</f>
        <v>97.91665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201</v>
      </c>
      <c r="B251" s="166" t="s">
        <v>202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2197.90665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214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215</v>
      </c>
      <c r="B262" s="196" t="n">
        <f aca="false">B72</f>
        <v>0.065</v>
      </c>
      <c r="C262" s="197"/>
      <c r="D262" s="198" t="s">
        <v>216</v>
      </c>
      <c r="E262" s="198"/>
      <c r="F262" s="196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91" t="s">
        <v>217</v>
      </c>
      <c r="B263" s="200" t="n">
        <f aca="false">(E191-B191)-(B210-B191-A194)</f>
        <v>842.688881286413</v>
      </c>
      <c r="C263" s="197"/>
      <c r="D263" s="198" t="s">
        <v>218</v>
      </c>
      <c r="E263" s="198"/>
      <c r="F263" s="200" t="n">
        <f aca="false">F270+F276+F278+B279+B280</f>
        <v>117.49998</v>
      </c>
      <c r="G263" s="23"/>
      <c r="H263" s="33"/>
    </row>
    <row r="264" customFormat="false" ht="17.35" hidden="false" customHeight="false" outlineLevel="0" collapsed="false">
      <c r="A264" s="191" t="s">
        <v>219</v>
      </c>
      <c r="B264" s="200" t="n">
        <f aca="false">F271+B272</f>
        <v>99.99</v>
      </c>
      <c r="C264" s="197"/>
      <c r="D264" s="198" t="s">
        <v>220</v>
      </c>
      <c r="E264" s="198"/>
      <c r="F264" s="200" t="n">
        <f aca="false">(B263-F263)+B264</f>
        <v>825.178901286413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215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221</v>
      </c>
      <c r="B268" s="205" t="n">
        <f aca="false">B73</f>
        <v>0.05</v>
      </c>
      <c r="C268" s="32"/>
      <c r="D268" s="166" t="s">
        <v>222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216</v>
      </c>
      <c r="B269" s="209" t="n">
        <f aca="false">B92</f>
        <v>0.1255</v>
      </c>
      <c r="C269" s="43"/>
      <c r="D269" s="166" t="s">
        <v>217</v>
      </c>
      <c r="E269" s="166"/>
      <c r="F269" s="146" t="n">
        <f aca="false">(B98*B68)-(C98*B68)</f>
        <v>14622.5088812864</v>
      </c>
      <c r="G269" s="23"/>
      <c r="H269" s="33"/>
    </row>
    <row r="270" customFormat="false" ht="17.35" hidden="false" customHeight="false" outlineLevel="0" collapsed="false">
      <c r="A270" s="31" t="s">
        <v>223</v>
      </c>
      <c r="B270" s="209" t="n">
        <f aca="false">B76</f>
        <v>0.005</v>
      </c>
      <c r="C270" s="32"/>
      <c r="D270" s="166" t="s">
        <v>223</v>
      </c>
      <c r="E270" s="166"/>
      <c r="F270" s="151" t="n">
        <f aca="false">B77</f>
        <v>117.49998</v>
      </c>
      <c r="G270" s="23"/>
      <c r="H270" s="33"/>
    </row>
    <row r="271" customFormat="false" ht="17.35" hidden="false" customHeight="false" outlineLevel="0" collapsed="false">
      <c r="A271" s="31" t="s">
        <v>224</v>
      </c>
      <c r="B271" s="205" t="n">
        <f aca="false">A117</f>
        <v>0.2</v>
      </c>
      <c r="C271" s="32"/>
      <c r="D271" s="166" t="s">
        <v>224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225</v>
      </c>
      <c r="B272" s="146" t="n">
        <f aca="false">A252</f>
        <v>99.99</v>
      </c>
      <c r="C272" s="32"/>
      <c r="D272" s="39" t="s">
        <v>220</v>
      </c>
      <c r="E272" s="39"/>
      <c r="F272" s="146" t="n">
        <f aca="false">(B263-F263)+B264</f>
        <v>825.178901286413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226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227</v>
      </c>
      <c r="B275" s="151" t="n">
        <v>0</v>
      </c>
      <c r="C275" s="32"/>
      <c r="D275" s="210" t="s">
        <v>228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229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230</v>
      </c>
      <c r="B277" s="211" t="s">
        <v>4</v>
      </c>
      <c r="C277" s="32"/>
      <c r="D277" s="166" t="s">
        <v>231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232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233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234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79</v>
      </c>
      <c r="H36" s="64" t="s">
        <v>249</v>
      </c>
      <c r="I36" s="0"/>
      <c r="J36" s="44" t="s">
        <v>51</v>
      </c>
      <c r="K36" s="52" t="n">
        <f aca="false">K32-K34</f>
        <v>20100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83</v>
      </c>
      <c r="B51" s="251" t="s">
        <v>84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85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86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87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88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89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91</v>
      </c>
      <c r="B65" s="65" t="n">
        <f aca="false">(B89*B59)-B53</f>
        <v>16806.5358348192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93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94</v>
      </c>
      <c r="B68" s="65" t="n">
        <f aca="false">(G158*B67)</f>
        <v>220.3124625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95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96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98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99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100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101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102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104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105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106</v>
      </c>
      <c r="B81" s="27" t="n">
        <f aca="false">K36</f>
        <v>20100</v>
      </c>
      <c r="C81" s="93"/>
      <c r="D81" s="93"/>
      <c r="E81" s="113"/>
      <c r="F81" s="25" t="s">
        <v>106</v>
      </c>
      <c r="G81" s="27" t="n">
        <f aca="false">B81</f>
        <v>20100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107</v>
      </c>
      <c r="B82" s="33" t="n">
        <f aca="false">IF(A111="YES",D41,0)*1.2</f>
        <v>7200</v>
      </c>
      <c r="C82" s="93"/>
      <c r="D82" s="93"/>
      <c r="E82" s="113"/>
      <c r="F82" s="31" t="s">
        <v>107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0.115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109</v>
      </c>
      <c r="B84" s="92" t="n">
        <f aca="false">B83/12</f>
        <v>0.00958333333333333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32</v>
      </c>
      <c r="C85" s="93"/>
      <c r="D85" s="93"/>
      <c r="E85" s="113"/>
      <c r="F85" s="31" t="s">
        <v>110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111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112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113</v>
      </c>
      <c r="B88" s="33" t="n">
        <f aca="false">B81-B86</f>
        <v>14844.1760889046</v>
      </c>
      <c r="C88" s="93" t="n">
        <f aca="false">B81-B86</f>
        <v>14844.1760889046</v>
      </c>
      <c r="D88" s="93"/>
      <c r="E88" s="113"/>
      <c r="F88" s="31" t="s">
        <v>113</v>
      </c>
      <c r="G88" s="33" t="n">
        <f aca="false">G81-G86</f>
        <v>14075.6270487143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114</v>
      </c>
      <c r="B89" s="33" t="n">
        <f aca="false">(B88/B87)</f>
        <v>540.840608474464</v>
      </c>
      <c r="C89" s="93" t="n">
        <f aca="false">(B88/B87)</f>
        <v>540.840608474464</v>
      </c>
      <c r="D89" s="93"/>
      <c r="E89" s="113"/>
      <c r="F89" s="31" t="s">
        <v>114</v>
      </c>
      <c r="G89" s="33" t="n">
        <f aca="false">(G88/G87)</f>
        <v>480.272828124815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17306.8994711829</v>
      </c>
      <c r="C90" s="93"/>
      <c r="D90" s="93"/>
      <c r="E90" s="113"/>
      <c r="F90" s="31" t="s">
        <v>115</v>
      </c>
      <c r="G90" s="33" t="n">
        <f aca="false">((G89*(G85))+G77)</f>
        <v>15368.7304999941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117</v>
      </c>
      <c r="B92" s="65" t="n">
        <f aca="false">(B90+B91)</f>
        <v>17306.8994711829</v>
      </c>
      <c r="C92" s="93"/>
      <c r="D92" s="93"/>
      <c r="E92" s="113"/>
      <c r="F92" s="56" t="s">
        <v>117</v>
      </c>
      <c r="G92" s="65" t="n">
        <f aca="false">(G90+G91)</f>
        <v>15368.7304999941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118</v>
      </c>
      <c r="B94" s="94" t="n">
        <f aca="false">IF(B38="YES",((H36/B85)*(1+A108)*1.2),"0")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119</v>
      </c>
      <c r="B95" s="96" t="n">
        <f aca="false">B92/(B85)</f>
        <v>540.840608474464</v>
      </c>
      <c r="C95" s="93"/>
      <c r="D95" s="93"/>
      <c r="E95" s="113"/>
      <c r="F95" s="95" t="s">
        <v>119</v>
      </c>
      <c r="G95" s="96" t="n">
        <f aca="false">G92/(G85)</f>
        <v>480.272828124815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120</v>
      </c>
      <c r="B96" s="98" t="n">
        <f aca="false">B94+B95</f>
        <v>540.840608474464</v>
      </c>
      <c r="C96" s="93"/>
      <c r="D96" s="93"/>
      <c r="E96" s="113"/>
      <c r="F96" s="97" t="s">
        <v>120</v>
      </c>
      <c r="G96" s="98" t="n">
        <f aca="false">G94+G95</f>
        <v>480.272828124815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124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121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143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151</v>
      </c>
      <c r="B121" s="120" t="n">
        <f aca="false">E19</f>
        <v>21099.996</v>
      </c>
      <c r="C121" s="121" t="n">
        <v>19583.33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155</v>
      </c>
      <c r="B125" s="132" t="n">
        <f aca="false">B121-B124</f>
        <v>21099.996</v>
      </c>
      <c r="C125" s="133" t="n">
        <f aca="false">C121-C124</f>
        <v>19583.33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E21</f>
        <v>17583.33</v>
      </c>
      <c r="H135" s="153" t="n">
        <f aca="false">C125+E125+G125+H128</f>
        <v>19583.33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3516.666</v>
      </c>
      <c r="H137" s="33" t="n">
        <f aca="false">(H135+H136)*20%</f>
        <v>3916.666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21099.996</v>
      </c>
      <c r="H141" s="157" t="n">
        <f aca="false">(H135+H136+H139+H140+H137)-H138</f>
        <v>23499.996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164" t="n">
        <f aca="false">G141-((G144*1.2)+(G145*1.2)+(G146*1.2)+(G142*1.2))</f>
        <v>21099.996</v>
      </c>
      <c r="H147" s="164" t="n">
        <f aca="false">H141-((H144*1.2)+(H145*1.2)+(H146*1.2)+(H142*1.2))</f>
        <v>23499.996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-15083.3333333333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23499.996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540.840608474464</v>
      </c>
      <c r="B167" s="177" t="n">
        <f aca="false">B94</f>
        <v>0</v>
      </c>
      <c r="C167" s="174"/>
      <c r="D167" s="174"/>
      <c r="E167" s="177" t="n">
        <f aca="false">B96</f>
        <v>540.840608474464</v>
      </c>
      <c r="F167" s="23"/>
      <c r="G167" s="23" t="n">
        <f aca="false">ROUND(G95, 2)</f>
        <v>480.27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19583.33</v>
      </c>
      <c r="B173" s="103" t="n">
        <f aca="false">H137</f>
        <v>3916.666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23499.996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23499.996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1006.90347118286</v>
      </c>
      <c r="B182" s="103" t="str">
        <f aca="false">B114</f>
        <v>239.99</v>
      </c>
      <c r="C182" s="103"/>
      <c r="D182" s="23"/>
      <c r="E182" s="103" t="n">
        <f aca="false">E179+A182+B182+A185</f>
        <v>24756.8894711829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183.59371875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283.585385416667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540.840608474464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-931.356000000003</v>
      </c>
      <c r="B201" s="186" t="n">
        <f aca="false">E179+A201+B182+A185</f>
        <v>22818.63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207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540.840608474464</v>
      </c>
      <c r="B212" s="177" t="n">
        <f aca="false">B167</f>
        <v>0</v>
      </c>
      <c r="C212" s="174"/>
      <c r="D212" s="174"/>
      <c r="E212" s="177" t="n">
        <f aca="false">E167</f>
        <v>540.840608474464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19583.33</v>
      </c>
      <c r="B215" s="103" t="n">
        <f aca="false">B173</f>
        <v>3916.666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23499.996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23499.996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1006.90347118286</v>
      </c>
      <c r="B224" s="103" t="str">
        <f aca="false">B182</f>
        <v>239.99</v>
      </c>
      <c r="C224" s="103"/>
      <c r="D224" s="113"/>
      <c r="E224" s="103" t="n">
        <f aca="false">E182</f>
        <v>24756.8894711829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540.840608474464</v>
      </c>
      <c r="B230" s="103" t="n">
        <f aca="false">B167</f>
        <v>0</v>
      </c>
      <c r="C230" s="186"/>
      <c r="D230" s="186"/>
      <c r="E230" s="103" t="n">
        <f aca="false">E167</f>
        <v>540.840608474464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209</v>
      </c>
      <c r="B232" s="93" t="s">
        <v>210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211</v>
      </c>
      <c r="B235" s="166" t="s">
        <v>73</v>
      </c>
      <c r="C235" s="93"/>
      <c r="D235" s="93"/>
      <c r="E235" s="166" t="s">
        <v>132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9.72624</v>
      </c>
      <c r="B236" s="103" t="n">
        <f aca="false">E233+A236</f>
        <v>38.90496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183.59371875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2283.58538541667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B63</f>
        <v>0.065</v>
      </c>
      <c r="C253" s="197"/>
      <c r="D253" s="198" t="s">
        <v>216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1948.25947118286</v>
      </c>
      <c r="C254" s="197"/>
      <c r="D254" s="198" t="s">
        <v>218</v>
      </c>
      <c r="E254" s="198"/>
      <c r="F254" s="200" t="n">
        <f aca="false">F261+F267+F269+B270+B271</f>
        <v>220.3124625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99.9916666666667</v>
      </c>
      <c r="C255" s="197"/>
      <c r="D255" s="198" t="s">
        <v>220</v>
      </c>
      <c r="E255" s="198"/>
      <c r="F255" s="200" t="n">
        <f aca="false">(B254-F254)+B255</f>
        <v>1827.93867534953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0.115</v>
      </c>
      <c r="C260" s="43"/>
      <c r="D260" s="166" t="s">
        <v>217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0.009375</v>
      </c>
      <c r="C261" s="32"/>
      <c r="D261" s="166" t="s">
        <v>223</v>
      </c>
      <c r="E261" s="166"/>
      <c r="F261" s="151" t="n">
        <f aca="false">B68</f>
        <v>220.3124625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99.9916666666667</v>
      </c>
      <c r="C263" s="32"/>
      <c r="D263" s="39" t="s">
        <v>220</v>
      </c>
      <c r="E263" s="39"/>
      <c r="F263" s="146" t="n">
        <f aca="false">(B254-F254)+B255</f>
        <v>1827.93867534953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79</v>
      </c>
      <c r="H36" s="64" t="n">
        <v>0</v>
      </c>
      <c r="I36" s="0"/>
      <c r="J36" s="44" t="s">
        <v>51</v>
      </c>
      <c r="K36" s="52" t="n">
        <f aca="false">K32-K34</f>
        <v>20100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83</v>
      </c>
      <c r="B51" s="251" t="s">
        <v>84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85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86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87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88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89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90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91</v>
      </c>
      <c r="B65" s="65" t="n">
        <f aca="false">(B89*B59)-B53</f>
        <v>14425.4239070671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93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94</v>
      </c>
      <c r="B68" s="65" t="n">
        <f aca="false">(G158*B67)</f>
        <v>117.49998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95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96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98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99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100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101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102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104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105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106</v>
      </c>
      <c r="B81" s="27" t="n">
        <f aca="false">K36</f>
        <v>20100</v>
      </c>
      <c r="C81" s="93"/>
      <c r="D81" s="93"/>
      <c r="E81" s="113"/>
      <c r="F81" s="25" t="s">
        <v>106</v>
      </c>
      <c r="G81" s="27" t="n">
        <f aca="false">B81</f>
        <v>20100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107</v>
      </c>
      <c r="B82" s="33" t="n">
        <f aca="false">IF(A111="YES",D41,0)*1.2</f>
        <v>7200</v>
      </c>
      <c r="C82" s="93"/>
      <c r="D82" s="93"/>
      <c r="E82" s="113"/>
      <c r="F82" s="31" t="s">
        <v>107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0.1475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109</v>
      </c>
      <c r="B84" s="92" t="n">
        <f aca="false">B83/12</f>
        <v>0.0122916666666667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11</v>
      </c>
      <c r="C85" s="93"/>
      <c r="D85" s="93"/>
      <c r="E85" s="113"/>
      <c r="F85" s="31" t="s">
        <v>110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6218.19813516518</v>
      </c>
      <c r="C86" s="93" t="n">
        <f aca="false">(B82/((1+B84)^(B85+1)))</f>
        <v>6218.19813516518</v>
      </c>
      <c r="D86" s="93"/>
      <c r="E86" s="113"/>
      <c r="F86" s="31" t="s">
        <v>111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10.2301677524304</v>
      </c>
      <c r="C87" s="93" t="n">
        <f aca="false">((1-(1/((1+B84)^B85)))/B84)</f>
        <v>10.2301677524304</v>
      </c>
      <c r="D87" s="93"/>
      <c r="E87" s="113"/>
      <c r="F87" s="31" t="s">
        <v>112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113</v>
      </c>
      <c r="B88" s="33" t="n">
        <f aca="false">B81-B86</f>
        <v>13881.8018648348</v>
      </c>
      <c r="C88" s="93" t="n">
        <f aca="false">B81-B86</f>
        <v>13881.8018648348</v>
      </c>
      <c r="D88" s="93"/>
      <c r="E88" s="113"/>
      <c r="F88" s="31" t="s">
        <v>113</v>
      </c>
      <c r="G88" s="33" t="n">
        <f aca="false">G81-G86</f>
        <v>13351.930698559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114</v>
      </c>
      <c r="B89" s="33" t="n">
        <f aca="false">(B88/B87)</f>
        <v>1356.94762791519</v>
      </c>
      <c r="C89" s="93" t="n">
        <f aca="false">(B88/B87)</f>
        <v>1356.94762791519</v>
      </c>
      <c r="D89" s="93"/>
      <c r="E89" s="113"/>
      <c r="F89" s="31" t="s">
        <v>114</v>
      </c>
      <c r="G89" s="33" t="n">
        <f aca="false">(G88/G87)</f>
        <v>1253.61592148113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14926.4239070671</v>
      </c>
      <c r="C90" s="93"/>
      <c r="D90" s="93"/>
      <c r="E90" s="113"/>
      <c r="F90" s="31" t="s">
        <v>115</v>
      </c>
      <c r="G90" s="33" t="n">
        <f aca="false">((G89*(G85))+G77)</f>
        <v>13789.7751362925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117</v>
      </c>
      <c r="B92" s="65" t="n">
        <f aca="false">(B90+B91)</f>
        <v>14926.4239070671</v>
      </c>
      <c r="C92" s="93"/>
      <c r="D92" s="93"/>
      <c r="E92" s="113"/>
      <c r="F92" s="56" t="s">
        <v>117</v>
      </c>
      <c r="G92" s="65" t="n">
        <f aca="false">(G90+G91)</f>
        <v>13789.7751362925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118</v>
      </c>
      <c r="B94" s="94" t="str">
        <f aca="false">IF(B38="YES",((H36/B85)*(1+A108)),"0")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119</v>
      </c>
      <c r="B95" s="96" t="n">
        <f aca="false">B92/(B85)</f>
        <v>1356.94762791519</v>
      </c>
      <c r="C95" s="93"/>
      <c r="D95" s="93"/>
      <c r="E95" s="113"/>
      <c r="F95" s="95" t="s">
        <v>119</v>
      </c>
      <c r="G95" s="96" t="n">
        <f aca="false">G92/(G85)</f>
        <v>1253.61592148113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120</v>
      </c>
      <c r="B96" s="98" t="n">
        <f aca="false">B94+B95</f>
        <v>1356.94762791519</v>
      </c>
      <c r="C96" s="93"/>
      <c r="D96" s="93"/>
      <c r="E96" s="113"/>
      <c r="F96" s="97" t="s">
        <v>120</v>
      </c>
      <c r="G96" s="98" t="n">
        <f aca="false">G94+G95</f>
        <v>1253.61592148113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124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n">
        <v>0</v>
      </c>
      <c r="C108" s="107"/>
      <c r="D108" s="107" t="n">
        <v>0</v>
      </c>
      <c r="E108" s="108" t="n">
        <f aca="false">B83</f>
        <v>0.1475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151</v>
      </c>
      <c r="B121" s="120" t="n">
        <f aca="false">E19</f>
        <v>21099.996</v>
      </c>
      <c r="C121" s="121" t="n">
        <v>19583.33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155</v>
      </c>
      <c r="B125" s="132" t="n">
        <f aca="false">B121-B124</f>
        <v>21099.996</v>
      </c>
      <c r="C125" s="133" t="n">
        <f aca="false">C121-C124</f>
        <v>19583.33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E21</f>
        <v>17583.33</v>
      </c>
      <c r="H135" s="153" t="n">
        <f aca="false">C125+E125+G125+H128</f>
        <v>19583.33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3516.666</v>
      </c>
      <c r="H137" s="33" t="n">
        <f aca="false">(H135+H136)*20%</f>
        <v>3916.666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21099.996</v>
      </c>
      <c r="H141" s="157" t="n">
        <f aca="false">(H135+H136+H139+H140+H137)-H138</f>
        <v>23499.996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164" t="n">
        <f aca="false">G141-((G144*1.2)+(G145*1.2)+(G146*1.2)+(G142*1.2))</f>
        <v>21099.996</v>
      </c>
      <c r="H147" s="164" t="n">
        <f aca="false">H141-((H144*1.2)+(H145*1.2)+(H146*1.2)+(H142*1.2))</f>
        <v>23499.996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-15083.3333333333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23499.996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1356.94762791519</v>
      </c>
      <c r="B167" s="177" t="str">
        <f aca="false">B94</f>
        <v>0</v>
      </c>
      <c r="C167" s="174"/>
      <c r="D167" s="174"/>
      <c r="E167" s="177" t="n">
        <f aca="false">B96</f>
        <v>1356.94762791519</v>
      </c>
      <c r="F167" s="23"/>
      <c r="G167" s="23" t="n">
        <f aca="false">ROUND(G95, 2)</f>
        <v>1253.62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19583.33</v>
      </c>
      <c r="B173" s="103" t="n">
        <f aca="false">H137</f>
        <v>3916.666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23499.996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23499.996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-1373.57209293293</v>
      </c>
      <c r="B182" s="103" t="str">
        <f aca="false">B114</f>
        <v>199.99</v>
      </c>
      <c r="C182" s="103"/>
      <c r="D182" s="23"/>
      <c r="E182" s="103" t="n">
        <f aca="false">E179+A182+(B182*1.2)+A185</f>
        <v>22376.4119070671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97.91665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197.90665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1356.94762791519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-2510.176</v>
      </c>
      <c r="B201" s="186" t="n">
        <f aca="false">E179+A201+(B182*1.2)+A185</f>
        <v>21239.808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207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1356.94762791519</v>
      </c>
      <c r="B212" s="177" t="str">
        <f aca="false">B167</f>
        <v>0</v>
      </c>
      <c r="C212" s="174"/>
      <c r="D212" s="174"/>
      <c r="E212" s="177" t="n">
        <f aca="false">E167</f>
        <v>1356.94762791519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19583.33</v>
      </c>
      <c r="B215" s="103" t="n">
        <f aca="false">B173</f>
        <v>3916.666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23499.996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23499.996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-1373.57209293293</v>
      </c>
      <c r="B224" s="103" t="str">
        <f aca="false">B182</f>
        <v>199.99</v>
      </c>
      <c r="C224" s="103"/>
      <c r="D224" s="113"/>
      <c r="E224" s="103" t="n">
        <f aca="false">E182</f>
        <v>22376.4119070671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1356.94762791519</v>
      </c>
      <c r="B230" s="103" t="str">
        <f aca="false">B167</f>
        <v>0</v>
      </c>
      <c r="C230" s="186"/>
      <c r="D230" s="186"/>
      <c r="E230" s="103" t="n">
        <f aca="false">E167</f>
        <v>1356.94762791519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209</v>
      </c>
      <c r="B232" s="93" t="s">
        <v>210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211</v>
      </c>
      <c r="B235" s="166" t="s">
        <v>73</v>
      </c>
      <c r="C235" s="93"/>
      <c r="D235" s="93"/>
      <c r="E235" s="166" t="s">
        <v>132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97.91665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2197.90665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B63</f>
        <v>0.065</v>
      </c>
      <c r="C253" s="197"/>
      <c r="D253" s="198" t="s">
        <v>216</v>
      </c>
      <c r="E253" s="198"/>
      <c r="F253" s="196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200" t="n">
        <f aca="false">(E182-B182)-(B201-B182-A185)</f>
        <v>1146.60390706707</v>
      </c>
      <c r="C254" s="197"/>
      <c r="D254" s="198" t="s">
        <v>218</v>
      </c>
      <c r="E254" s="198"/>
      <c r="F254" s="200" t="n">
        <f aca="false">F261+F267+F269+B270+B271</f>
        <v>117.49998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</v>
      </c>
      <c r="C255" s="197"/>
      <c r="D255" s="198" t="s">
        <v>220</v>
      </c>
      <c r="E255" s="198"/>
      <c r="F255" s="200" t="n">
        <f aca="false">(B254-F254)+B255</f>
        <v>1129.09392706707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0.072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0.1475</v>
      </c>
      <c r="C260" s="43"/>
      <c r="D260" s="166" t="s">
        <v>217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0.005</v>
      </c>
      <c r="C261" s="32"/>
      <c r="D261" s="166" t="s">
        <v>223</v>
      </c>
      <c r="E261" s="166"/>
      <c r="F261" s="151" t="n">
        <f aca="false">B68</f>
        <v>117.49998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</v>
      </c>
      <c r="C263" s="32"/>
      <c r="D263" s="39" t="s">
        <v>220</v>
      </c>
      <c r="E263" s="39"/>
      <c r="F263" s="146" t="n">
        <f aca="false">(B254-F254)+B255</f>
        <v>1129.09392706707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79</v>
      </c>
      <c r="H36" s="64" t="n">
        <v>0</v>
      </c>
      <c r="I36" s="0"/>
      <c r="J36" s="44" t="s">
        <v>51</v>
      </c>
      <c r="K36" s="52" t="n">
        <f aca="false">K32-K34</f>
        <v>20100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83</v>
      </c>
      <c r="B51" s="251" t="s">
        <v>84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85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86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87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88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89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91</v>
      </c>
      <c r="B65" s="65" t="n">
        <f aca="false">(B89*B59)-B53</f>
        <v>14121.5131366378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93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94</v>
      </c>
      <c r="B68" s="65" t="n">
        <f aca="false">(G158*B67)</f>
        <v>117.49998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95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96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98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99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100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101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102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104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105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106</v>
      </c>
      <c r="B81" s="27" t="n">
        <f aca="false">K36</f>
        <v>20100</v>
      </c>
      <c r="C81" s="93"/>
      <c r="D81" s="93"/>
      <c r="E81" s="113"/>
      <c r="F81" s="25" t="s">
        <v>106</v>
      </c>
      <c r="G81" s="27" t="n">
        <f aca="false">B81</f>
        <v>20100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107</v>
      </c>
      <c r="B82" s="33" t="n">
        <f aca="false">IF(A111="YES",D41,0)*1.2</f>
        <v>7200</v>
      </c>
      <c r="C82" s="93"/>
      <c r="D82" s="93"/>
      <c r="E82" s="113"/>
      <c r="F82" s="31" t="s">
        <v>107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0.1255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109</v>
      </c>
      <c r="B84" s="92" t="n">
        <f aca="false">B83/12</f>
        <v>0.0104583333333333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11</v>
      </c>
      <c r="C85" s="93"/>
      <c r="D85" s="93"/>
      <c r="E85" s="113"/>
      <c r="F85" s="31" t="s">
        <v>110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111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112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113</v>
      </c>
      <c r="B88" s="33" t="n">
        <f aca="false">B81-B86</f>
        <v>13745.0582001204</v>
      </c>
      <c r="C88" s="93" t="n">
        <f aca="false">B81-B86</f>
        <v>13745.0582001204</v>
      </c>
      <c r="D88" s="93"/>
      <c r="E88" s="113"/>
      <c r="F88" s="31" t="s">
        <v>113</v>
      </c>
      <c r="G88" s="33" t="n">
        <f aca="false">G81-G86</f>
        <v>13351.930698559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114</v>
      </c>
      <c r="B89" s="33" t="n">
        <f aca="false">(B88/B87)</f>
        <v>1329.31937605798</v>
      </c>
      <c r="C89" s="93" t="n">
        <f aca="false">(B88/B87)</f>
        <v>1329.31937605798</v>
      </c>
      <c r="D89" s="93"/>
      <c r="E89" s="113"/>
      <c r="F89" s="31" t="s">
        <v>114</v>
      </c>
      <c r="G89" s="33" t="n">
        <f aca="false">(G88/G87)</f>
        <v>1253.61592148113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14622.5131366378</v>
      </c>
      <c r="C90" s="93"/>
      <c r="D90" s="93"/>
      <c r="E90" s="113"/>
      <c r="F90" s="31" t="s">
        <v>115</v>
      </c>
      <c r="G90" s="33" t="n">
        <f aca="false">((G89*(G85))+G77)</f>
        <v>13789.7751362925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117</v>
      </c>
      <c r="B92" s="65" t="n">
        <f aca="false">(B90+B91)</f>
        <v>14622.5131366378</v>
      </c>
      <c r="C92" s="93"/>
      <c r="D92" s="93"/>
      <c r="E92" s="113"/>
      <c r="F92" s="56" t="s">
        <v>117</v>
      </c>
      <c r="G92" s="65" t="n">
        <f aca="false">(G90+G91)</f>
        <v>13789.7751362925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118</v>
      </c>
      <c r="B94" s="94" t="str">
        <f aca="false">IF(B38="YES",((H36/B85)*(1+A108)*1.2),"0")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119</v>
      </c>
      <c r="B95" s="96" t="n">
        <f aca="false">B92/(B85)</f>
        <v>1329.31937605798</v>
      </c>
      <c r="C95" s="93"/>
      <c r="D95" s="93"/>
      <c r="E95" s="113"/>
      <c r="F95" s="95" t="s">
        <v>119</v>
      </c>
      <c r="G95" s="96" t="n">
        <f aca="false">G92/(G85)</f>
        <v>1253.61592148113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120</v>
      </c>
      <c r="B96" s="98" t="n">
        <f aca="false">B94+B95</f>
        <v>1329.31937605798</v>
      </c>
      <c r="C96" s="93"/>
      <c r="D96" s="93"/>
      <c r="E96" s="113"/>
      <c r="F96" s="97" t="s">
        <v>120</v>
      </c>
      <c r="G96" s="98" t="n">
        <f aca="false">G94+G95</f>
        <v>1253.61592148113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272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143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151</v>
      </c>
      <c r="B121" s="120" t="n">
        <f aca="false">E19</f>
        <v>21099.996</v>
      </c>
      <c r="C121" s="121" t="n">
        <v>19583.33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155</v>
      </c>
      <c r="B125" s="132" t="n">
        <f aca="false">B121-B124</f>
        <v>21099.996</v>
      </c>
      <c r="C125" s="133" t="n">
        <f aca="false">C121-C124</f>
        <v>19583.33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E21</f>
        <v>17583.33</v>
      </c>
      <c r="H135" s="153" t="n">
        <f aca="false">C125+E125+G125+H128</f>
        <v>19583.33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3516.666</v>
      </c>
      <c r="H137" s="33" t="n">
        <f aca="false">(H135+H136)*20%</f>
        <v>3916.666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21099.996</v>
      </c>
      <c r="H141" s="157" t="n">
        <f aca="false">(H135+H136+H139+H140+H137)-H138</f>
        <v>23499.996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164" t="n">
        <f aca="false">G141-((G144*1.2)+(G145*1.2)+(G146*1.2)+(G142*1.2))</f>
        <v>21099.996</v>
      </c>
      <c r="H147" s="164" t="n">
        <f aca="false">H141-((H144*1.2)+(H145*1.2)+(H146*1.2)+(H142*1.2))</f>
        <v>23499.996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-15083.3333333333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23499.996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1329.31937605798</v>
      </c>
      <c r="B167" s="177" t="str">
        <f aca="false">B94</f>
        <v>0</v>
      </c>
      <c r="C167" s="174"/>
      <c r="D167" s="174"/>
      <c r="E167" s="177" t="n">
        <f aca="false">B96</f>
        <v>1329.31937605798</v>
      </c>
      <c r="F167" s="23"/>
      <c r="G167" s="23" t="n">
        <f aca="false">ROUND(G95, 2)</f>
        <v>1253.62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19583.33</v>
      </c>
      <c r="B173" s="103" t="n">
        <f aca="false">H137</f>
        <v>3916.666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23499.996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23499.996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-1677.4828633622</v>
      </c>
      <c r="B182" s="103" t="str">
        <f aca="false">B114</f>
        <v>239.99</v>
      </c>
      <c r="C182" s="103"/>
      <c r="D182" s="23"/>
      <c r="E182" s="103" t="n">
        <f aca="false">E179+A182+B182+A185</f>
        <v>22072.5031366378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97.91665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197.908316666667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1329.31937605798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-2510.176</v>
      </c>
      <c r="B201" s="186" t="n">
        <f aca="false">E179+A201+B182+A185</f>
        <v>21239.81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1329.31937605798</v>
      </c>
      <c r="B212" s="177" t="str">
        <f aca="false">B167</f>
        <v>0</v>
      </c>
      <c r="C212" s="174"/>
      <c r="D212" s="174"/>
      <c r="E212" s="177" t="n">
        <f aca="false">E167</f>
        <v>1329.31937605798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19583.33</v>
      </c>
      <c r="B215" s="103" t="n">
        <f aca="false">B173</f>
        <v>3916.666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23499.996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23499.996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-1677.4828633622</v>
      </c>
      <c r="B224" s="103" t="str">
        <f aca="false">B182</f>
        <v>239.99</v>
      </c>
      <c r="C224" s="103"/>
      <c r="D224" s="113"/>
      <c r="E224" s="103" t="n">
        <f aca="false">E182</f>
        <v>22072.5031366378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1329.31937605798</v>
      </c>
      <c r="B230" s="103" t="str">
        <f aca="false">B167</f>
        <v>0</v>
      </c>
      <c r="C230" s="186"/>
      <c r="D230" s="186"/>
      <c r="E230" s="103" t="n">
        <f aca="false">E167</f>
        <v>1329.31937605798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188</v>
      </c>
      <c r="B232" s="93" t="s">
        <v>210</v>
      </c>
      <c r="C232" s="93"/>
      <c r="D232" s="93"/>
      <c r="E232" s="93" t="s">
        <v>211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132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97.91665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2197.90831666667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B63</f>
        <v>0.065</v>
      </c>
      <c r="C253" s="197"/>
      <c r="D253" s="198" t="s">
        <v>216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842.693136637805</v>
      </c>
      <c r="C254" s="197"/>
      <c r="D254" s="198" t="s">
        <v>218</v>
      </c>
      <c r="E254" s="198"/>
      <c r="F254" s="200" t="n">
        <f aca="false">F261+F267+F269+B270+B271</f>
        <v>117.49998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99.9916666666667</v>
      </c>
      <c r="C255" s="197"/>
      <c r="D255" s="198" t="s">
        <v>220</v>
      </c>
      <c r="E255" s="198"/>
      <c r="F255" s="200" t="n">
        <f aca="false">(B254-F254)+B255</f>
        <v>825.184823304472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0.1255</v>
      </c>
      <c r="C260" s="43"/>
      <c r="D260" s="166" t="s">
        <v>217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0.005</v>
      </c>
      <c r="C261" s="32"/>
      <c r="D261" s="166" t="s">
        <v>223</v>
      </c>
      <c r="E261" s="166"/>
      <c r="F261" s="151" t="n">
        <f aca="false">B68</f>
        <v>117.49998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99.9916666666667</v>
      </c>
      <c r="C263" s="32"/>
      <c r="D263" s="39" t="s">
        <v>220</v>
      </c>
      <c r="E263" s="39"/>
      <c r="F263" s="146" t="n">
        <f aca="false">(B254-F254)+B255</f>
        <v>825.184823304472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263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79</v>
      </c>
      <c r="H36" s="64" t="n">
        <v>0</v>
      </c>
      <c r="I36" s="0"/>
      <c r="J36" s="44" t="s">
        <v>51</v>
      </c>
      <c r="K36" s="52" t="n">
        <f aca="false">K32-K34</f>
        <v>20100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83</v>
      </c>
      <c r="B51" s="251" t="s">
        <v>84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85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86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87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88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89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91</v>
      </c>
      <c r="B65" s="65" t="n">
        <f aca="false">(B89*B59)-B53</f>
        <v>14121.5131366378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93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94</v>
      </c>
      <c r="B68" s="65" t="n">
        <f aca="false">(G158*B67)</f>
        <v>117.49998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95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96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98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99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100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101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102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104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105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106</v>
      </c>
      <c r="B81" s="27" t="n">
        <f aca="false">K36</f>
        <v>20100</v>
      </c>
      <c r="C81" s="93"/>
      <c r="D81" s="93"/>
      <c r="E81" s="113"/>
      <c r="F81" s="25" t="s">
        <v>106</v>
      </c>
      <c r="G81" s="27" t="n">
        <f aca="false">B81</f>
        <v>20100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107</v>
      </c>
      <c r="B82" s="33" t="n">
        <f aca="false">IF(A111="YES",D41,0)*1.2</f>
        <v>7200</v>
      </c>
      <c r="C82" s="93"/>
      <c r="D82" s="93"/>
      <c r="E82" s="113"/>
      <c r="F82" s="31" t="s">
        <v>107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0.1255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109</v>
      </c>
      <c r="B84" s="92" t="n">
        <f aca="false">B83/12</f>
        <v>0.0104583333333333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11</v>
      </c>
      <c r="C85" s="93"/>
      <c r="D85" s="93"/>
      <c r="E85" s="113"/>
      <c r="F85" s="31" t="s">
        <v>110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111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112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113</v>
      </c>
      <c r="B88" s="33" t="n">
        <f aca="false">B81-B86</f>
        <v>13745.0582001204</v>
      </c>
      <c r="C88" s="93" t="n">
        <f aca="false">B81-B86</f>
        <v>13745.0582001204</v>
      </c>
      <c r="D88" s="93"/>
      <c r="E88" s="113"/>
      <c r="F88" s="31" t="s">
        <v>113</v>
      </c>
      <c r="G88" s="33" t="n">
        <f aca="false">G81-G86</f>
        <v>13351.930698559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114</v>
      </c>
      <c r="B89" s="33" t="n">
        <f aca="false">(B88/B87)</f>
        <v>1329.31937605798</v>
      </c>
      <c r="C89" s="93" t="n">
        <f aca="false">(B88/B87)</f>
        <v>1329.31937605798</v>
      </c>
      <c r="D89" s="93"/>
      <c r="E89" s="113"/>
      <c r="F89" s="31" t="s">
        <v>114</v>
      </c>
      <c r="G89" s="33" t="n">
        <f aca="false">(G88/G87)</f>
        <v>1253.61592148113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14622.5131366378</v>
      </c>
      <c r="C90" s="93"/>
      <c r="D90" s="93"/>
      <c r="E90" s="113"/>
      <c r="F90" s="31" t="s">
        <v>115</v>
      </c>
      <c r="G90" s="33" t="n">
        <f aca="false">((G89*(G85))+G77)</f>
        <v>13789.7751362925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117</v>
      </c>
      <c r="B92" s="65" t="n">
        <f aca="false">(B90+B91)</f>
        <v>14622.5131366378</v>
      </c>
      <c r="C92" s="93"/>
      <c r="D92" s="93"/>
      <c r="E92" s="113"/>
      <c r="F92" s="56" t="s">
        <v>117</v>
      </c>
      <c r="G92" s="65" t="n">
        <f aca="false">(G90+G91)</f>
        <v>13789.7751362925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118</v>
      </c>
      <c r="B94" s="94" t="str">
        <f aca="false">IF(B38="YES",((H36/B85)*(1+A108)),"0")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119</v>
      </c>
      <c r="B95" s="96" t="n">
        <f aca="false">B92/(B85)</f>
        <v>1329.31937605798</v>
      </c>
      <c r="C95" s="93"/>
      <c r="D95" s="93"/>
      <c r="E95" s="113"/>
      <c r="F95" s="95" t="s">
        <v>119</v>
      </c>
      <c r="G95" s="96" t="n">
        <f aca="false">G92/(G85)</f>
        <v>1253.61592148113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120</v>
      </c>
      <c r="B96" s="98" t="n">
        <f aca="false">B94+B95</f>
        <v>1329.31937605798</v>
      </c>
      <c r="C96" s="93"/>
      <c r="D96" s="93"/>
      <c r="E96" s="113"/>
      <c r="F96" s="97" t="s">
        <v>120</v>
      </c>
      <c r="G96" s="98" t="n">
        <f aca="false">G94+G95</f>
        <v>1253.61592148113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121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151</v>
      </c>
      <c r="B121" s="120" t="n">
        <f aca="false">E19</f>
        <v>21099.996</v>
      </c>
      <c r="C121" s="121" t="n">
        <v>19583.33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155</v>
      </c>
      <c r="B125" s="132" t="n">
        <f aca="false">B121-B124</f>
        <v>21099.996</v>
      </c>
      <c r="C125" s="133" t="n">
        <f aca="false">C121-C124</f>
        <v>19583.33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E21</f>
        <v>17583.33</v>
      </c>
      <c r="H135" s="153" t="n">
        <f aca="false">C125+E125+G125+H128</f>
        <v>19583.33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3516.666</v>
      </c>
      <c r="H137" s="33" t="n">
        <f aca="false">(H135+H136)*20%</f>
        <v>3916.666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21099.996</v>
      </c>
      <c r="H141" s="157" t="n">
        <f aca="false">(H135+H136+H139+H140+H137)-H138</f>
        <v>23499.996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164" t="n">
        <f aca="false">G141-((G144*1.2)+(G145*1.2)+(G146*1.2)+(G142*1.2))</f>
        <v>21099.996</v>
      </c>
      <c r="H147" s="164" t="n">
        <f aca="false">H141-((H144*1.2)+(H145*1.2)+(H146*1.2)+(H142*1.2))</f>
        <v>23499.996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-15083.3333333333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23499.996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1329.31937605798</v>
      </c>
      <c r="B167" s="177" t="str">
        <f aca="false">B94</f>
        <v>0</v>
      </c>
      <c r="C167" s="174"/>
      <c r="D167" s="174"/>
      <c r="E167" s="177" t="n">
        <f aca="false">B96</f>
        <v>1329.31937605798</v>
      </c>
      <c r="F167" s="23"/>
      <c r="G167" s="23" t="n">
        <f aca="false">ROUND(G95, 2)</f>
        <v>1253.62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19583.33</v>
      </c>
      <c r="B173" s="103" t="n">
        <f aca="false">H137</f>
        <v>3916.666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23499.996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23499.996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-1677.4828633622</v>
      </c>
      <c r="B182" s="103" t="str">
        <f aca="false">B114</f>
        <v>199.99</v>
      </c>
      <c r="C182" s="103"/>
      <c r="D182" s="23"/>
      <c r="E182" s="103" t="n">
        <f aca="false">E179+A182+(B182*1.2)+A185</f>
        <v>22072.5011366378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97.91665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197.90665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1329.31937605798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-2510.176</v>
      </c>
      <c r="B201" s="186" t="n">
        <f aca="false">E179+A201+(B182*1.2)+A185</f>
        <v>21239.808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1329.31937605798</v>
      </c>
      <c r="B212" s="177" t="str">
        <f aca="false">B167</f>
        <v>0</v>
      </c>
      <c r="C212" s="174"/>
      <c r="D212" s="174"/>
      <c r="E212" s="177" t="n">
        <f aca="false">E167</f>
        <v>1329.31937605798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19583.33</v>
      </c>
      <c r="B215" s="103" t="n">
        <f aca="false">B173</f>
        <v>3916.666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23499.996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23499.996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-1677.4828633622</v>
      </c>
      <c r="B224" s="103" t="str">
        <f aca="false">B182</f>
        <v>199.99</v>
      </c>
      <c r="C224" s="103"/>
      <c r="D224" s="113"/>
      <c r="E224" s="103" t="n">
        <f aca="false">E182</f>
        <v>22072.5011366378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1329.31937605798</v>
      </c>
      <c r="B230" s="103" t="str">
        <f aca="false">B167</f>
        <v>0</v>
      </c>
      <c r="C230" s="186"/>
      <c r="D230" s="186"/>
      <c r="E230" s="103" t="n">
        <f aca="false">E167</f>
        <v>1329.31937605798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188</v>
      </c>
      <c r="B232" s="93" t="s">
        <v>210</v>
      </c>
      <c r="C232" s="93"/>
      <c r="D232" s="93"/>
      <c r="E232" s="93" t="s">
        <v>211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132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97.91665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2197.90665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B63</f>
        <v>0.065</v>
      </c>
      <c r="C253" s="197"/>
      <c r="D253" s="198" t="s">
        <v>216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200" t="n">
        <f aca="false">(E182-B182)-(B201-B182-A185)</f>
        <v>842.693136637805</v>
      </c>
      <c r="C254" s="197"/>
      <c r="D254" s="198" t="s">
        <v>218</v>
      </c>
      <c r="E254" s="198"/>
      <c r="F254" s="200" t="n">
        <f aca="false">F261+F267+F269+B270+B271</f>
        <v>117.49998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</v>
      </c>
      <c r="C255" s="197"/>
      <c r="D255" s="198" t="s">
        <v>220</v>
      </c>
      <c r="E255" s="198"/>
      <c r="F255" s="200" t="n">
        <f aca="false">(B254-F254)+B255</f>
        <v>825.183156637805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0.1255</v>
      </c>
      <c r="C260" s="43"/>
      <c r="D260" s="166" t="s">
        <v>217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0.005</v>
      </c>
      <c r="C261" s="32"/>
      <c r="D261" s="166" t="s">
        <v>223</v>
      </c>
      <c r="E261" s="166"/>
      <c r="F261" s="151" t="n">
        <f aca="false">B68</f>
        <v>117.49998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</v>
      </c>
      <c r="C263" s="32"/>
      <c r="D263" s="39" t="s">
        <v>220</v>
      </c>
      <c r="E263" s="39"/>
      <c r="F263" s="146" t="n">
        <f aca="false">(B254-F254)+B255</f>
        <v>825.183156637805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141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85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275</v>
      </c>
      <c r="D58" s="215"/>
      <c r="E58" s="216"/>
      <c r="F58" s="63"/>
      <c r="G58" s="214" t="s">
        <v>86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21099.996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B60*B63</f>
        <v>1476.99972</v>
      </c>
      <c r="C64" s="215" t="n">
        <v>10000</v>
      </c>
      <c r="D64" s="291" t="n">
        <f aca="false">B64</f>
        <v>1476.99972</v>
      </c>
      <c r="E64" s="216"/>
      <c r="F64" s="63"/>
      <c r="G64" s="285" t="s">
        <v>91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0.01</v>
      </c>
      <c r="C65" s="215"/>
      <c r="D65" s="215"/>
      <c r="E65" s="216"/>
      <c r="F65" s="63"/>
      <c r="G65" s="292" t="s">
        <v>92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93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B60*B66</f>
        <v>210.99996</v>
      </c>
      <c r="C67" s="215"/>
      <c r="D67" s="291"/>
      <c r="E67" s="216"/>
      <c r="F67" s="63"/>
      <c r="G67" s="285" t="s">
        <v>94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215"/>
      <c r="D68" s="215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297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200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5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100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 t="n">
        <f aca="false">IF(G18&gt;40000, 325, 0)</f>
        <v>325</v>
      </c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101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102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2803.66638666667</v>
      </c>
      <c r="C81" s="215"/>
      <c r="D81" s="215"/>
      <c r="E81" s="216"/>
      <c r="F81" s="63"/>
      <c r="G81" s="303" t="s">
        <v>103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233.638865555556</v>
      </c>
      <c r="C82" s="215"/>
      <c r="D82" s="215"/>
      <c r="E82" s="216"/>
      <c r="F82" s="63"/>
      <c r="G82" s="214" t="s">
        <v>104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H46</f>
        <v>501</v>
      </c>
      <c r="C83" s="215"/>
      <c r="D83" s="215"/>
      <c r="E83" s="216"/>
      <c r="F83" s="63"/>
      <c r="G83" s="305" t="s">
        <v>105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((B83*(H29)+B81))*1.2</f>
        <v>10578.799664</v>
      </c>
      <c r="C85" s="215"/>
      <c r="D85" s="215"/>
      <c r="E85" s="216"/>
      <c r="F85" s="63"/>
      <c r="G85" s="288" t="s">
        <v>115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(((B83*(H29))+B81)/(1-B70))*B70</f>
        <v>74.6789004114563</v>
      </c>
      <c r="C86" s="215"/>
      <c r="D86" s="215"/>
      <c r="E86" s="216"/>
      <c r="F86" s="63"/>
      <c r="G86" s="214" t="s">
        <v>116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IF(B110="YES",((B85+B86)-E114),((B85+B86)))</f>
        <v>10653.4785644115</v>
      </c>
      <c r="C87" s="215"/>
      <c r="D87" s="215"/>
      <c r="E87" s="216"/>
      <c r="F87" s="63"/>
      <c r="G87" s="285" t="s">
        <v>117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7" t="n">
        <f aca="false">IF(B99=Z102,(((H44*B35)+(H44*B35)*(B105/100))/(B58))*1.2,(((H44*B35)+(H44*B35)*(B105/100))/(B57+B58))*1.2)</f>
        <v>78</v>
      </c>
      <c r="C89" s="215"/>
      <c r="D89" s="215"/>
      <c r="E89" s="216"/>
      <c r="F89" s="63"/>
      <c r="G89" s="303" t="s">
        <v>118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IF(B99=Z102, (B87-D105)/(B58), B87/(B57+B58))</f>
        <v>887.789880367621</v>
      </c>
      <c r="C90" s="215"/>
      <c r="D90" s="215"/>
      <c r="E90" s="216"/>
      <c r="F90" s="63"/>
      <c r="G90" s="308" t="s">
        <v>119</v>
      </c>
      <c r="H90" s="309" t="n">
        <f aca="false">IF(H99=AE98, (H87-J105)/(H58), H87/(H57+H58))</f>
        <v>1049.32179292726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965.789880367621</v>
      </c>
      <c r="C91" s="215"/>
      <c r="D91" s="215"/>
      <c r="E91" s="216"/>
      <c r="F91" s="63"/>
      <c r="G91" s="310" t="s">
        <v>120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130</v>
      </c>
      <c r="C99" s="312"/>
      <c r="D99" s="107" t="n">
        <v>1000</v>
      </c>
      <c r="E99" s="107"/>
      <c r="F99" s="63"/>
      <c r="G99" s="220" t="s">
        <v>286</v>
      </c>
      <c r="H99" s="312" t="s">
        <v>130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289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130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30</v>
      </c>
      <c r="C105" s="312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290</v>
      </c>
      <c r="B108" s="217" t="n">
        <v>0</v>
      </c>
      <c r="C108" s="217"/>
      <c r="D108" s="217" t="n">
        <v>0</v>
      </c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291</v>
      </c>
      <c r="B110" s="222" t="s">
        <v>19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0</v>
      </c>
      <c r="E112" s="107" t="n">
        <v>6000</v>
      </c>
      <c r="F112" s="63"/>
      <c r="G112" s="214" t="s">
        <v>176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177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178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-6000</v>
      </c>
      <c r="E115" s="216"/>
      <c r="F115" s="63"/>
      <c r="G115" s="214" t="s">
        <v>179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f aca="false">D99</f>
        <v>1000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(E118+E117)-D115</f>
        <v>7239.988</v>
      </c>
      <c r="F119" s="63"/>
      <c r="G119" s="315" t="s">
        <v>292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83</v>
      </c>
      <c r="H126" s="215" t="s">
        <v>84</v>
      </c>
      <c r="I126" s="215"/>
      <c r="J126" s="215" t="s">
        <v>86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887.789880367621</v>
      </c>
      <c r="B128" s="321" t="n">
        <f aca="false">IF(A105="YES", B89, 0)</f>
        <v>78</v>
      </c>
      <c r="C128" s="326"/>
      <c r="D128" s="321" t="n">
        <f aca="false">B91</f>
        <v>965.789880367621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296</v>
      </c>
      <c r="H129" s="328" t="s">
        <v>297</v>
      </c>
      <c r="I129" s="328"/>
      <c r="J129" s="328" t="s">
        <v>298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887.789880367621</v>
      </c>
      <c r="C131" s="317"/>
      <c r="D131" s="38" t="n">
        <f aca="false">IF(A105="YES", B89*B57, 0)</f>
        <v>78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965.789880367621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887.789880367621</v>
      </c>
      <c r="B137" s="38" t="n">
        <f aca="false">IF(A105="YES", B89, 0)</f>
        <v>78</v>
      </c>
      <c r="C137" s="317"/>
      <c r="D137" s="38" t="n">
        <f aca="false">B91</f>
        <v>965.789880367621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210.99996</v>
      </c>
      <c r="B148" s="38" t="n">
        <f aca="false">B102</f>
        <v>400</v>
      </c>
      <c r="C148" s="38"/>
      <c r="D148" s="38" t="n">
        <f aca="false">IF(A105="YES", (A41*B105)*B125, 0)*0.001</f>
        <v>18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728.98996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965.789880367621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293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127</v>
      </c>
      <c r="B167" s="354" t="s">
        <v>39</v>
      </c>
      <c r="C167" s="355"/>
      <c r="D167" s="354" t="s">
        <v>84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119</v>
      </c>
      <c r="B170" s="354" t="s">
        <v>294</v>
      </c>
      <c r="C170" s="355"/>
      <c r="D170" s="354" t="s">
        <v>295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887.789880367621</v>
      </c>
      <c r="B171" s="355" t="n">
        <f aca="false">IF(A105="YES", B89, 0)</f>
        <v>78</v>
      </c>
      <c r="C171" s="358"/>
      <c r="D171" s="355" t="n">
        <f aca="false">B91</f>
        <v>965.789880367621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299</v>
      </c>
      <c r="C173" s="230"/>
      <c r="D173" s="359" t="s">
        <v>300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887.789880367621</v>
      </c>
      <c r="C174" s="353"/>
      <c r="D174" s="103" t="n">
        <f aca="false">IF(A105="YES", B89*B57, 0)</f>
        <v>78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304</v>
      </c>
      <c r="B176" s="166" t="s">
        <v>305</v>
      </c>
      <c r="C176" s="360"/>
      <c r="D176" s="241" t="s">
        <v>208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965.789880367621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119</v>
      </c>
      <c r="B179" s="363" t="s">
        <v>294</v>
      </c>
      <c r="C179" s="353"/>
      <c r="D179" s="353" t="s">
        <v>295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887.789880367621</v>
      </c>
      <c r="B180" s="103" t="n">
        <f aca="false">IF(A105="YES", B89, 0)</f>
        <v>78</v>
      </c>
      <c r="C180" s="353"/>
      <c r="D180" s="103" t="n">
        <f aca="false">B91</f>
        <v>965.789880367621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312</v>
      </c>
      <c r="C182" s="103"/>
      <c r="D182" s="364" t="s">
        <v>73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316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319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320</v>
      </c>
      <c r="B190" s="353" t="s">
        <v>321</v>
      </c>
      <c r="C190" s="353"/>
      <c r="D190" s="353" t="s">
        <v>322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210.99996</v>
      </c>
      <c r="B191" s="103" t="n">
        <f aca="false">B102</f>
        <v>400</v>
      </c>
      <c r="C191" s="103"/>
      <c r="D191" s="103" t="n">
        <f aca="false">IF(A105="YES", (A38/100*B105)*B125, 0)*0.001</f>
        <v>18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324</v>
      </c>
      <c r="B193" s="353" t="s">
        <v>318</v>
      </c>
      <c r="C193" s="353"/>
      <c r="D193" s="353" t="s">
        <v>315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728.98996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325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214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215</v>
      </c>
      <c r="B203" s="369" t="n">
        <f aca="false">B209</f>
        <v>0.065</v>
      </c>
      <c r="C203" s="321" t="s">
        <v>217</v>
      </c>
      <c r="D203" s="370" t="n">
        <f aca="false">D64</f>
        <v>1476.99972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218</v>
      </c>
      <c r="B205" s="321" t="n">
        <f aca="false">B213</f>
        <v>210.99996</v>
      </c>
      <c r="C205" s="320" t="s">
        <v>219</v>
      </c>
      <c r="D205" s="370" t="n">
        <f aca="false">B219+E215+B215+B217</f>
        <v>519.99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220</v>
      </c>
      <c r="B207" s="321" t="n">
        <f aca="false">E217</f>
        <v>1785.98976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215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217</v>
      </c>
      <c r="B211" s="104" t="n">
        <f aca="false">D64</f>
        <v>1476.99972</v>
      </c>
      <c r="C211" s="375" t="s">
        <v>223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223</v>
      </c>
      <c r="B213" s="104" t="n">
        <f aca="false">B67</f>
        <v>210.99996</v>
      </c>
      <c r="C213" s="336" t="s">
        <v>326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326</v>
      </c>
      <c r="B215" s="241" t="n">
        <f aca="false">B191*E213*100</f>
        <v>40</v>
      </c>
      <c r="C215" s="336" t="s">
        <v>225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327</v>
      </c>
      <c r="B217" s="241" t="n">
        <f aca="false">B78-(B78*(E213*100))</f>
        <v>200</v>
      </c>
      <c r="C217" s="336" t="s">
        <v>220</v>
      </c>
      <c r="D217" s="317"/>
      <c r="E217" s="33" t="n">
        <f aca="false">(B211-B205+D205)</f>
        <v>1785.98976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328</v>
      </c>
      <c r="B219" s="341" t="n">
        <f aca="false">D191/0.1</f>
        <v>180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329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227</v>
      </c>
      <c r="B223" s="104" t="n">
        <f aca="false">B71</f>
        <v>200</v>
      </c>
      <c r="C223" s="336" t="s">
        <v>228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229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230</v>
      </c>
      <c r="B225" s="381" t="n">
        <f aca="false">B68</f>
        <v>0.0075</v>
      </c>
      <c r="C225" s="336" t="s">
        <v>231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232</v>
      </c>
      <c r="D226" s="343"/>
      <c r="E226" s="33" t="n">
        <f aca="false">B86</f>
        <v>74.6789004114563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233</v>
      </c>
      <c r="B227" s="104" t="n">
        <f aca="false">B79</f>
        <v>200</v>
      </c>
      <c r="C227" s="382" t="s">
        <v>330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234</v>
      </c>
      <c r="B229" s="104" t="n">
        <f aca="false">B80</f>
        <v>200</v>
      </c>
      <c r="C229" s="386" t="s">
        <v>331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18500</v>
      </c>
      <c r="C2" s="4" t="s">
        <v>2</v>
      </c>
      <c r="D2" s="5" t="n">
        <f aca="false">C9</f>
        <v>3700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22200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18500</v>
      </c>
      <c r="C9" s="14" t="n">
        <f aca="false">B9*0.2</f>
        <v>3700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18500</v>
      </c>
      <c r="C15" s="14" t="n">
        <f aca="false">SUM(C9:C13)</f>
        <v>3700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22200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141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85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275</v>
      </c>
      <c r="D58" s="215"/>
      <c r="E58" s="216"/>
      <c r="F58" s="63"/>
      <c r="G58" s="214" t="s">
        <v>86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22200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B60*B63</f>
        <v>1554</v>
      </c>
      <c r="C64" s="215" t="n">
        <v>10000</v>
      </c>
      <c r="D64" s="291" t="n">
        <f aca="false">B64</f>
        <v>1554</v>
      </c>
      <c r="E64" s="216"/>
      <c r="F64" s="63"/>
      <c r="G64" s="285" t="s">
        <v>91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0.01</v>
      </c>
      <c r="C65" s="215"/>
      <c r="D65" s="215"/>
      <c r="E65" s="216"/>
      <c r="F65" s="63"/>
      <c r="G65" s="292" t="s">
        <v>92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93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B60*B66</f>
        <v>222</v>
      </c>
      <c r="C67" s="215"/>
      <c r="D67" s="291"/>
      <c r="E67" s="216"/>
      <c r="F67" s="63"/>
      <c r="G67" s="285" t="s">
        <v>94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215"/>
      <c r="D68" s="215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297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200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5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100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101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102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2880.66666666667</v>
      </c>
      <c r="C81" s="215"/>
      <c r="D81" s="215"/>
      <c r="E81" s="216"/>
      <c r="F81" s="63"/>
      <c r="G81" s="303" t="s">
        <v>103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240.055555555556</v>
      </c>
      <c r="C82" s="215"/>
      <c r="D82" s="215"/>
      <c r="E82" s="216"/>
      <c r="F82" s="63"/>
      <c r="G82" s="214" t="s">
        <v>104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H46</f>
        <v>501</v>
      </c>
      <c r="C83" s="215"/>
      <c r="D83" s="215"/>
      <c r="E83" s="216"/>
      <c r="F83" s="63"/>
      <c r="G83" s="305" t="s">
        <v>105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((B83*(H29)+B81))</f>
        <v>8892.66666666667</v>
      </c>
      <c r="C85" s="215"/>
      <c r="D85" s="215"/>
      <c r="E85" s="216"/>
      <c r="F85" s="63"/>
      <c r="G85" s="288" t="s">
        <v>115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(B85/(1-B70))*B70</f>
        <v>75.3311819281969</v>
      </c>
      <c r="C86" s="215"/>
      <c r="D86" s="215"/>
      <c r="E86" s="216"/>
      <c r="F86" s="63"/>
      <c r="G86" s="214" t="s">
        <v>116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IF(B110="YES",((B85+B86)-E114),((B85+B86)))</f>
        <v>8967.99784859486</v>
      </c>
      <c r="C87" s="215"/>
      <c r="D87" s="215"/>
      <c r="E87" s="216"/>
      <c r="F87" s="63"/>
      <c r="G87" s="285" t="s">
        <v>117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7" t="n">
        <f aca="false">IF(B99=Z102,(((H44*B35)+(H44*B35)*(B105/100))/(B58)),(((H44*B35)+(H44*B35)*(B105/100))/(B57+B58)))</f>
        <v>65</v>
      </c>
      <c r="C89" s="215" t="s">
        <v>4</v>
      </c>
      <c r="D89" s="215"/>
      <c r="E89" s="216"/>
      <c r="F89" s="63"/>
      <c r="G89" s="303" t="s">
        <v>118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IF(B99=Z102, (B87-D105)/(B58), B87/(B57+B58))</f>
        <v>747.333154049572</v>
      </c>
      <c r="C90" s="215"/>
      <c r="D90" s="215"/>
      <c r="E90" s="216"/>
      <c r="F90" s="63"/>
      <c r="G90" s="308" t="s">
        <v>119</v>
      </c>
      <c r="H90" s="309" t="n">
        <f aca="false">IF(H99=AE98, (H87-J105)/(H58), H87/(H57+H58))</f>
        <v>1049.32179292726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812.333154049572</v>
      </c>
      <c r="C91" s="215"/>
      <c r="D91" s="215"/>
      <c r="E91" s="216"/>
      <c r="F91" s="63"/>
      <c r="G91" s="310" t="s">
        <v>120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130</v>
      </c>
      <c r="C99" s="312"/>
      <c r="D99" s="107" t="n">
        <v>1000</v>
      </c>
      <c r="E99" s="107"/>
      <c r="F99" s="63"/>
      <c r="G99" s="220" t="s">
        <v>286</v>
      </c>
      <c r="H99" s="312" t="s">
        <v>130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289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130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30</v>
      </c>
      <c r="C105" s="312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290</v>
      </c>
      <c r="B108" s="217" t="n">
        <v>0</v>
      </c>
      <c r="C108" s="217"/>
      <c r="D108" s="217" t="n">
        <v>0</v>
      </c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291</v>
      </c>
      <c r="B110" s="222" t="s">
        <v>19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0</v>
      </c>
      <c r="E112" s="107" t="n">
        <v>6000</v>
      </c>
      <c r="F112" s="63"/>
      <c r="G112" s="214" t="s">
        <v>176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177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178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-6000</v>
      </c>
      <c r="E115" s="216"/>
      <c r="F115" s="63"/>
      <c r="G115" s="214" t="s">
        <v>179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f aca="false">D99</f>
        <v>1000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((E118*1.2)+E117)-D115</f>
        <v>7239.988</v>
      </c>
      <c r="F119" s="63"/>
      <c r="G119" s="315" t="s">
        <v>292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83</v>
      </c>
      <c r="H126" s="215" t="s">
        <v>84</v>
      </c>
      <c r="I126" s="215"/>
      <c r="J126" s="215" t="s">
        <v>86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747.333154049572</v>
      </c>
      <c r="B128" s="321" t="n">
        <f aca="false">IF(A105="YES", B89, 0)</f>
        <v>65</v>
      </c>
      <c r="C128" s="326"/>
      <c r="D128" s="321" t="n">
        <f aca="false">B91</f>
        <v>812.333154049572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296</v>
      </c>
      <c r="H129" s="328" t="s">
        <v>297</v>
      </c>
      <c r="I129" s="328"/>
      <c r="J129" s="328" t="s">
        <v>298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747.333154049572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812.333154049572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747.333154049572</v>
      </c>
      <c r="B137" s="38" t="n">
        <f aca="false">IF(A105="YES", B89, 0)</f>
        <v>65</v>
      </c>
      <c r="C137" s="317"/>
      <c r="D137" s="38" t="n">
        <f aca="false">B91</f>
        <v>812.333154049572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222</v>
      </c>
      <c r="B148" s="38" t="n">
        <f aca="false">B102</f>
        <v>400</v>
      </c>
      <c r="C148" s="38"/>
      <c r="D148" s="38" t="n">
        <f aca="false">IF(A105="YES", (A41*B105)*B125, 0)*0.001</f>
        <v>18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739.99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812.333154049572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293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127</v>
      </c>
      <c r="B167" s="354" t="s">
        <v>39</v>
      </c>
      <c r="C167" s="355"/>
      <c r="D167" s="354" t="s">
        <v>84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119</v>
      </c>
      <c r="B170" s="354" t="s">
        <v>294</v>
      </c>
      <c r="C170" s="355"/>
      <c r="D170" s="354" t="s">
        <v>295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747.333154049572</v>
      </c>
      <c r="B171" s="355" t="n">
        <f aca="false">IF(A105="YES", B89, 0)</f>
        <v>65</v>
      </c>
      <c r="C171" s="358"/>
      <c r="D171" s="355" t="n">
        <f aca="false">B91</f>
        <v>812.333154049572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299</v>
      </c>
      <c r="C173" s="230"/>
      <c r="D173" s="359" t="s">
        <v>300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747.333154049572</v>
      </c>
      <c r="C174" s="353"/>
      <c r="D174" s="103" t="n">
        <f aca="false">IF(A105="YES", B89*B57, 0)</f>
        <v>65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304</v>
      </c>
      <c r="B176" s="166" t="s">
        <v>305</v>
      </c>
      <c r="C176" s="360"/>
      <c r="D176" s="241" t="s">
        <v>208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812.333154049572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119</v>
      </c>
      <c r="B179" s="363" t="s">
        <v>294</v>
      </c>
      <c r="C179" s="353"/>
      <c r="D179" s="353" t="s">
        <v>295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747.333154049572</v>
      </c>
      <c r="B180" s="103" t="n">
        <f aca="false">IF(A105="YES", B89, 0)</f>
        <v>65</v>
      </c>
      <c r="C180" s="353"/>
      <c r="D180" s="103" t="n">
        <f aca="false">B91</f>
        <v>812.333154049572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312</v>
      </c>
      <c r="C182" s="103"/>
      <c r="D182" s="364" t="s">
        <v>73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316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319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320</v>
      </c>
      <c r="B190" s="353" t="s">
        <v>321</v>
      </c>
      <c r="C190" s="353"/>
      <c r="D190" s="353" t="s">
        <v>322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222</v>
      </c>
      <c r="B191" s="103" t="n">
        <f aca="false">B102</f>
        <v>400</v>
      </c>
      <c r="C191" s="103"/>
      <c r="D191" s="103" t="n">
        <f aca="false">IF(A105="YES", (A38/100*B105)*B125, 0)*0.001</f>
        <v>18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324</v>
      </c>
      <c r="B193" s="353" t="s">
        <v>318</v>
      </c>
      <c r="C193" s="353"/>
      <c r="D193" s="353" t="s">
        <v>315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739.99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325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214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215</v>
      </c>
      <c r="B203" s="369" t="n">
        <f aca="false">H29</f>
        <v>12</v>
      </c>
      <c r="C203" s="321" t="s">
        <v>217</v>
      </c>
      <c r="D203" s="370" t="n">
        <f aca="false">D64</f>
        <v>1554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218</v>
      </c>
      <c r="B205" s="321" t="n">
        <f aca="false">B213</f>
        <v>222</v>
      </c>
      <c r="C205" s="320" t="s">
        <v>219</v>
      </c>
      <c r="D205" s="370" t="n">
        <f aca="false">B219+E215+B215+B217</f>
        <v>519.99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220</v>
      </c>
      <c r="B207" s="321" t="n">
        <f aca="false">E217</f>
        <v>1851.99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215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217</v>
      </c>
      <c r="B211" s="104" t="n">
        <f aca="false">D64</f>
        <v>1554</v>
      </c>
      <c r="C211" s="375" t="s">
        <v>223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223</v>
      </c>
      <c r="B213" s="104" t="n">
        <f aca="false">B67</f>
        <v>222</v>
      </c>
      <c r="C213" s="336" t="s">
        <v>326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326</v>
      </c>
      <c r="B215" s="241" t="n">
        <f aca="false">B191*E213*100</f>
        <v>40</v>
      </c>
      <c r="C215" s="336" t="s">
        <v>225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327</v>
      </c>
      <c r="B217" s="241" t="n">
        <f aca="false">B78-(B78*(E213*100))</f>
        <v>200</v>
      </c>
      <c r="C217" s="336" t="s">
        <v>220</v>
      </c>
      <c r="D217" s="317"/>
      <c r="E217" s="33" t="n">
        <f aca="false">(B211-B205+D205)</f>
        <v>1851.99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328</v>
      </c>
      <c r="B219" s="341" t="n">
        <f aca="false">D191/0.1</f>
        <v>180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329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227</v>
      </c>
      <c r="B223" s="104" t="n">
        <f aca="false">B71</f>
        <v>200</v>
      </c>
      <c r="C223" s="336" t="s">
        <v>228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229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230</v>
      </c>
      <c r="B225" s="381" t="n">
        <f aca="false">B68</f>
        <v>0.0075</v>
      </c>
      <c r="C225" s="336" t="s">
        <v>231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232</v>
      </c>
      <c r="D226" s="343"/>
      <c r="E226" s="33" t="n">
        <f aca="false">B86</f>
        <v>75.3311819281969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233</v>
      </c>
      <c r="B227" s="104" t="n">
        <f aca="false">B79</f>
        <v>200</v>
      </c>
      <c r="C227" s="382" t="s">
        <v>330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234</v>
      </c>
      <c r="B229" s="104" t="n">
        <f aca="false">B80</f>
        <v>200</v>
      </c>
      <c r="C229" s="386" t="s">
        <v>331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3" colorId="64" zoomScale="85" zoomScaleNormal="85" zoomScalePageLayoutView="100" workbookViewId="0">
      <selection pane="topLeft" activeCell="A36" activeCellId="0" sqref="A3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45302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333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E19</f>
        <v>21099.996</v>
      </c>
      <c r="B35" s="223" t="s">
        <v>45</v>
      </c>
      <c r="C35" s="223"/>
      <c r="D35" s="279" t="n">
        <f aca="false">A35-B35</f>
        <v>20099.996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3516.666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334</v>
      </c>
      <c r="B41" s="104" t="s">
        <v>335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118</v>
      </c>
      <c r="B43" s="240" t="s">
        <v>67</v>
      </c>
      <c r="C43" s="230" t="s">
        <v>335</v>
      </c>
      <c r="D43" s="240" t="s">
        <v>211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</v>
      </c>
      <c r="B44" s="104" t="s">
        <v>336</v>
      </c>
      <c r="C44" s="104"/>
      <c r="D44" s="104" t="n">
        <v>0</v>
      </c>
      <c r="E44" s="104"/>
      <c r="F44" s="388"/>
      <c r="G44" s="2" t="s">
        <v>65</v>
      </c>
      <c r="H44" s="2" t="n">
        <f aca="false">((H40-(((H42/(1.2))*0.2)))/(H43))</f>
        <v>209.722166666667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290.277833333333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337</v>
      </c>
      <c r="B46" s="230" t="s">
        <v>338</v>
      </c>
      <c r="C46" s="230" t="s">
        <v>4</v>
      </c>
      <c r="D46" s="230"/>
      <c r="E46" s="243"/>
      <c r="F46" s="388" t="n">
        <v>0</v>
      </c>
      <c r="G46" s="2" t="s">
        <v>71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337</v>
      </c>
      <c r="B47" s="230"/>
      <c r="C47" s="230"/>
      <c r="D47" s="230"/>
      <c r="E47" s="243"/>
      <c r="F47" s="388"/>
      <c r="G47" s="2" t="s">
        <v>72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74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75</v>
      </c>
      <c r="H49" s="2" t="n">
        <f aca="false">H45+H48+H47</f>
        <v>292.9445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30"/>
      <c r="E50" s="243"/>
      <c r="F50" s="388"/>
      <c r="G50" s="2" t="s">
        <v>339</v>
      </c>
      <c r="H50" s="2" t="n">
        <f aca="false">H49-H41</f>
        <v>292.9445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292.9445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337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292.9445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85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85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85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86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86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86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21099.996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91</v>
      </c>
      <c r="B70" s="133" t="n">
        <f aca="false">B67*B69</f>
        <v>2836.82</v>
      </c>
      <c r="C70" s="317" t="n">
        <v>10000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91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91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92</v>
      </c>
      <c r="B71" s="293" t="n">
        <v>0.01</v>
      </c>
      <c r="C71" s="317"/>
      <c r="D71" s="317"/>
      <c r="E71" s="318"/>
      <c r="F71" s="388"/>
      <c r="G71" s="399" t="s">
        <v>92</v>
      </c>
      <c r="H71" s="400" t="n">
        <v>0.005</v>
      </c>
      <c r="I71" s="317"/>
      <c r="J71" s="317"/>
      <c r="K71" s="318"/>
      <c r="L71" s="388"/>
      <c r="M71" s="399" t="s">
        <v>92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93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93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94</v>
      </c>
      <c r="B73" s="133" t="n">
        <f aca="false">B66*B72</f>
        <v>210.99996</v>
      </c>
      <c r="C73" s="317"/>
      <c r="D73" s="32"/>
      <c r="E73" s="318"/>
      <c r="F73" s="388"/>
      <c r="G73" s="366" t="s">
        <v>94</v>
      </c>
      <c r="H73" s="65" t="n">
        <f aca="false">H67*H72</f>
        <v>202.63</v>
      </c>
      <c r="I73" s="317"/>
      <c r="J73" s="32"/>
      <c r="K73" s="318"/>
      <c r="L73" s="388"/>
      <c r="M73" s="366" t="s">
        <v>94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95</v>
      </c>
      <c r="B74" s="400" t="n">
        <v>0.0075</v>
      </c>
      <c r="C74" s="317"/>
      <c r="D74" s="317"/>
      <c r="E74" s="318"/>
      <c r="F74" s="388"/>
      <c r="G74" s="399" t="s">
        <v>95</v>
      </c>
      <c r="H74" s="400" t="n">
        <v>0.0075</v>
      </c>
      <c r="I74" s="317"/>
      <c r="J74" s="317"/>
      <c r="K74" s="318"/>
      <c r="L74" s="388"/>
      <c r="M74" s="399" t="s">
        <v>95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96</v>
      </c>
      <c r="B75" s="402" t="n">
        <v>0.12</v>
      </c>
      <c r="C75" s="317"/>
      <c r="D75" s="317"/>
      <c r="E75" s="318"/>
      <c r="F75" s="388"/>
      <c r="G75" s="401" t="s">
        <v>96</v>
      </c>
      <c r="H75" s="402" t="n">
        <v>0.12</v>
      </c>
      <c r="I75" s="317"/>
      <c r="J75" s="317"/>
      <c r="K75" s="318"/>
      <c r="L75" s="388"/>
      <c r="M75" s="401" t="s">
        <v>96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97</v>
      </c>
      <c r="B76" s="403" t="n">
        <f aca="false">B74*(1+B75)</f>
        <v>0.0084</v>
      </c>
      <c r="C76" s="317"/>
      <c r="D76" s="317"/>
      <c r="E76" s="318"/>
      <c r="F76" s="388"/>
      <c r="G76" s="366" t="s">
        <v>97</v>
      </c>
      <c r="H76" s="403" t="n">
        <f aca="false">H74*(1+H75)</f>
        <v>0.0084</v>
      </c>
      <c r="I76" s="317"/>
      <c r="J76" s="317"/>
      <c r="K76" s="318"/>
      <c r="L76" s="388"/>
      <c r="M76" s="366" t="s">
        <v>97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98</v>
      </c>
      <c r="B77" s="86" t="n">
        <v>200</v>
      </c>
      <c r="C77" s="317"/>
      <c r="D77" s="317"/>
      <c r="E77" s="318"/>
      <c r="F77" s="388"/>
      <c r="G77" s="399" t="s">
        <v>98</v>
      </c>
      <c r="H77" s="86" t="n">
        <v>160</v>
      </c>
      <c r="I77" s="317"/>
      <c r="J77" s="317"/>
      <c r="K77" s="318"/>
      <c r="L77" s="388"/>
      <c r="M77" s="399" t="s">
        <v>98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99</v>
      </c>
      <c r="B78" s="77" t="n">
        <v>5</v>
      </c>
      <c r="C78" s="317"/>
      <c r="D78" s="317"/>
      <c r="E78" s="318"/>
      <c r="F78" s="388"/>
      <c r="G78" s="401" t="s">
        <v>99</v>
      </c>
      <c r="H78" s="77" t="n">
        <v>4.5</v>
      </c>
      <c r="I78" s="317"/>
      <c r="J78" s="317"/>
      <c r="K78" s="318"/>
      <c r="L78" s="388"/>
      <c r="M78" s="401" t="s">
        <v>99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100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100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100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275</v>
      </c>
      <c r="C80" s="317"/>
      <c r="D80" s="317"/>
      <c r="E80" s="404" t="n">
        <f aca="false">E79+D82</f>
        <v>957.916666666667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79.8263888888889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297.916666666667</v>
      </c>
      <c r="C82" s="317"/>
      <c r="D82" s="32" t="n">
        <f aca="false">IF(A50="YES", 0, B82)</f>
        <v>297.916666666667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340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101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101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101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102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102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102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103</v>
      </c>
      <c r="B87" s="413" t="n">
        <f aca="false">SUM(D70:D86)</f>
        <v>4461.40333333333</v>
      </c>
      <c r="C87" s="317"/>
      <c r="D87" s="317"/>
      <c r="E87" s="318"/>
      <c r="F87" s="388"/>
      <c r="G87" s="412" t="s">
        <v>103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103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104</v>
      </c>
      <c r="B88" s="33" t="n">
        <f aca="false">B87/H29</f>
        <v>371.783611111111</v>
      </c>
      <c r="C88" s="317"/>
      <c r="D88" s="317"/>
      <c r="E88" s="318"/>
      <c r="F88" s="388"/>
      <c r="G88" s="316" t="s">
        <v>104</v>
      </c>
      <c r="H88" s="33" t="n">
        <f aca="false">H87/H29</f>
        <v>499.200277777778</v>
      </c>
      <c r="I88" s="317"/>
      <c r="J88" s="317"/>
      <c r="K88" s="318"/>
      <c r="L88" s="388"/>
      <c r="M88" s="316" t="s">
        <v>104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105</v>
      </c>
      <c r="B89" s="59" t="n">
        <f aca="false">H50</f>
        <v>292.9445</v>
      </c>
      <c r="C89" s="317"/>
      <c r="D89" s="317"/>
      <c r="E89" s="318"/>
      <c r="F89" s="388"/>
      <c r="G89" s="414" t="s">
        <v>105</v>
      </c>
      <c r="H89" s="59" t="n">
        <f aca="false">H46</f>
        <v>0</v>
      </c>
      <c r="I89" s="317"/>
      <c r="J89" s="317"/>
      <c r="K89" s="318"/>
      <c r="L89" s="388"/>
      <c r="M89" s="414" t="s">
        <v>105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115</v>
      </c>
      <c r="B91" s="27" t="n">
        <f aca="false">((B89*H29)+B87)*1.2</f>
        <v>9572.0848</v>
      </c>
      <c r="C91" s="317"/>
      <c r="D91" s="317"/>
      <c r="E91" s="318"/>
      <c r="F91" s="388"/>
      <c r="G91" s="396" t="s">
        <v>115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115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116</v>
      </c>
      <c r="B92" s="33" t="n">
        <f aca="false">(((B89*H29)+B87)/(1-B76))*B76</f>
        <v>67.5722000806777</v>
      </c>
      <c r="C92" s="317"/>
      <c r="D92" s="317"/>
      <c r="E92" s="415"/>
      <c r="F92" s="388"/>
      <c r="G92" s="316" t="s">
        <v>116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116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117</v>
      </c>
      <c r="B93" s="65" t="n">
        <f aca="false">IF(B116="YES",((B91+B92)-E120),(B91+B92))</f>
        <v>9639.65700008068</v>
      </c>
      <c r="C93" s="317"/>
      <c r="D93" s="317"/>
      <c r="E93" s="318"/>
      <c r="F93" s="388"/>
      <c r="G93" s="366" t="s">
        <v>117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117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118</v>
      </c>
      <c r="B95" s="413" t="n">
        <f aca="false">IF(B105=Z104,(((H41*A32)+(H41*A32)*(B111/100))/(B64)),(((H41*A32)+(H41*A32)*(B111/100))/(B63+B64)))*1.2</f>
        <v>0</v>
      </c>
      <c r="C95" s="317"/>
      <c r="D95" s="317"/>
      <c r="E95" s="318"/>
      <c r="F95" s="388"/>
      <c r="G95" s="412" t="s">
        <v>118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118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119</v>
      </c>
      <c r="B96" s="417" t="n">
        <f aca="false">IF(B105=Z104, (B93-D111)/(B64), B93/(B63+B64))</f>
        <v>803.304750006723</v>
      </c>
      <c r="C96" s="317"/>
      <c r="D96" s="317"/>
      <c r="E96" s="318"/>
      <c r="F96" s="388"/>
      <c r="G96" s="416" t="s">
        <v>119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119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120</v>
      </c>
      <c r="B97" s="419" t="n">
        <f aca="false">IF(A111="YES", B96+B95, B96)</f>
        <v>803.304750006723</v>
      </c>
      <c r="C97" s="317"/>
      <c r="D97" s="420"/>
      <c r="E97" s="318"/>
      <c r="F97" s="388"/>
      <c r="G97" s="418" t="s">
        <v>120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120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332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341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388"/>
      <c r="G102" s="217" t="s">
        <v>126</v>
      </c>
      <c r="H102" s="217"/>
      <c r="I102" s="217"/>
      <c r="J102" s="217"/>
      <c r="K102" s="217"/>
      <c r="L102" s="388"/>
      <c r="M102" s="217" t="s">
        <v>126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130</v>
      </c>
    </row>
    <row r="104" customFormat="false" ht="18.75" hidden="false" customHeight="true" outlineLevel="0" collapsed="false">
      <c r="A104" s="316" t="s">
        <v>127</v>
      </c>
      <c r="B104" s="317" t="s">
        <v>23</v>
      </c>
      <c r="C104" s="317"/>
      <c r="D104" s="317" t="s">
        <v>285</v>
      </c>
      <c r="E104" s="318"/>
      <c r="F104" s="388"/>
      <c r="G104" s="316" t="s">
        <v>127</v>
      </c>
      <c r="H104" s="317" t="s">
        <v>23</v>
      </c>
      <c r="I104" s="317"/>
      <c r="J104" s="317" t="s">
        <v>285</v>
      </c>
      <c r="K104" s="318"/>
      <c r="L104" s="388"/>
      <c r="M104" s="316" t="s">
        <v>127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130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287</v>
      </c>
      <c r="B107" s="317" t="s">
        <v>288</v>
      </c>
      <c r="C107" s="317"/>
      <c r="D107" s="317" t="s">
        <v>289</v>
      </c>
      <c r="E107" s="318"/>
      <c r="F107" s="388"/>
      <c r="G107" s="316" t="s">
        <v>287</v>
      </c>
      <c r="H107" s="317" t="s">
        <v>288</v>
      </c>
      <c r="I107" s="317"/>
      <c r="J107" s="317" t="s">
        <v>289</v>
      </c>
      <c r="K107" s="318"/>
      <c r="L107" s="388"/>
      <c r="M107" s="316" t="s">
        <v>287</v>
      </c>
      <c r="N107" s="317" t="s">
        <v>288</v>
      </c>
      <c r="O107" s="317"/>
      <c r="P107" s="317" t="s">
        <v>289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128</v>
      </c>
      <c r="B110" s="388" t="s">
        <v>131</v>
      </c>
      <c r="C110" s="317"/>
      <c r="D110" s="317" t="s">
        <v>142</v>
      </c>
      <c r="E110" s="318"/>
      <c r="F110" s="388"/>
      <c r="G110" s="374" t="s">
        <v>128</v>
      </c>
      <c r="H110" s="388" t="s">
        <v>131</v>
      </c>
      <c r="I110" s="317"/>
      <c r="J110" s="317" t="s">
        <v>142</v>
      </c>
      <c r="K110" s="318"/>
      <c r="L110" s="388"/>
      <c r="M110" s="374" t="s">
        <v>128</v>
      </c>
      <c r="N110" s="388" t="s">
        <v>131</v>
      </c>
      <c r="O110" s="317"/>
      <c r="P110" s="317" t="s">
        <v>142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19</v>
      </c>
      <c r="B111" s="312" t="n">
        <v>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342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388"/>
      <c r="G114" s="217" t="s">
        <v>290</v>
      </c>
      <c r="H114" s="217"/>
      <c r="I114" s="217"/>
      <c r="J114" s="217"/>
      <c r="K114" s="217"/>
      <c r="L114" s="388"/>
      <c r="M114" s="217" t="s">
        <v>290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291</v>
      </c>
      <c r="B116" s="389" t="s">
        <v>19</v>
      </c>
      <c r="C116" s="317"/>
      <c r="D116" s="317"/>
      <c r="E116" s="318"/>
      <c r="F116" s="388"/>
      <c r="G116" s="316" t="s">
        <v>291</v>
      </c>
      <c r="H116" s="389" t="s">
        <v>18</v>
      </c>
      <c r="I116" s="317"/>
      <c r="J116" s="317"/>
      <c r="K116" s="318"/>
      <c r="L116" s="388"/>
      <c r="M116" s="316" t="s">
        <v>291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176</v>
      </c>
      <c r="B118" s="317"/>
      <c r="C118" s="317"/>
      <c r="D118" s="313" t="n">
        <v>0</v>
      </c>
      <c r="E118" s="107" t="n">
        <v>6000</v>
      </c>
      <c r="F118" s="388"/>
      <c r="G118" s="316" t="s">
        <v>176</v>
      </c>
      <c r="H118" s="317"/>
      <c r="I118" s="317"/>
      <c r="J118" s="313" t="n">
        <v>10000</v>
      </c>
      <c r="K118" s="107" t="n">
        <v>5000</v>
      </c>
      <c r="L118" s="388"/>
      <c r="M118" s="316" t="s">
        <v>176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177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177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177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178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178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178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179</v>
      </c>
      <c r="B121" s="317"/>
      <c r="C121" s="317"/>
      <c r="D121" s="39" t="n">
        <f aca="false">D120-E120</f>
        <v>-6000</v>
      </c>
      <c r="E121" s="318"/>
      <c r="F121" s="388"/>
      <c r="G121" s="316" t="s">
        <v>179</v>
      </c>
      <c r="H121" s="317"/>
      <c r="I121" s="317"/>
      <c r="J121" s="39" t="n">
        <f aca="false">J120-K120</f>
        <v>5000</v>
      </c>
      <c r="K121" s="318"/>
      <c r="L121" s="388"/>
      <c r="M121" s="316" t="s">
        <v>179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138</v>
      </c>
      <c r="B123" s="397"/>
      <c r="C123" s="397"/>
      <c r="D123" s="397"/>
      <c r="E123" s="27" t="n">
        <f aca="false">D105</f>
        <v>1000</v>
      </c>
      <c r="F123" s="388"/>
      <c r="G123" s="396" t="s">
        <v>138</v>
      </c>
      <c r="H123" s="397"/>
      <c r="I123" s="397"/>
      <c r="J123" s="397"/>
      <c r="K123" s="27" t="n">
        <f aca="false">J105</f>
        <v>5000</v>
      </c>
      <c r="L123" s="388"/>
      <c r="M123" s="396" t="s">
        <v>138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292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292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292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388"/>
      <c r="G128" s="217" t="s">
        <v>293</v>
      </c>
      <c r="H128" s="217"/>
      <c r="I128" s="217"/>
      <c r="J128" s="217"/>
      <c r="K128" s="217"/>
      <c r="L128" s="388"/>
      <c r="M128" s="217" t="s">
        <v>293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127</v>
      </c>
      <c r="B130" s="320" t="n">
        <v>0</v>
      </c>
      <c r="C130" s="321"/>
      <c r="D130" s="320" t="s">
        <v>84</v>
      </c>
      <c r="E130" s="322"/>
      <c r="F130" s="388"/>
      <c r="G130" s="316" t="s">
        <v>183</v>
      </c>
      <c r="H130" s="172" t="n">
        <v>0</v>
      </c>
      <c r="I130" s="172"/>
      <c r="J130" s="317"/>
      <c r="K130" s="318"/>
      <c r="L130" s="388"/>
      <c r="M130" s="316" t="s">
        <v>183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83</v>
      </c>
      <c r="H132" s="317" t="s">
        <v>84</v>
      </c>
      <c r="I132" s="317"/>
      <c r="J132" s="317" t="s">
        <v>86</v>
      </c>
      <c r="K132" s="318"/>
      <c r="L132" s="388"/>
      <c r="M132" s="316" t="s">
        <v>83</v>
      </c>
      <c r="N132" s="317" t="s">
        <v>84</v>
      </c>
      <c r="O132" s="317"/>
      <c r="P132" s="317" t="s">
        <v>86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803.304750006723</v>
      </c>
      <c r="B134" s="321" t="n">
        <f aca="false">IF(A111="YES", B95, 0)</f>
        <v>0</v>
      </c>
      <c r="C134" s="325"/>
      <c r="D134" s="321" t="n">
        <f aca="false">B97</f>
        <v>803.304750006723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296</v>
      </c>
      <c r="H135" s="424" t="s">
        <v>297</v>
      </c>
      <c r="I135" s="424"/>
      <c r="J135" s="424" t="s">
        <v>298</v>
      </c>
      <c r="K135" s="318"/>
      <c r="L135" s="388"/>
      <c r="M135" s="423" t="s">
        <v>343</v>
      </c>
      <c r="N135" s="424" t="s">
        <v>252</v>
      </c>
      <c r="O135" s="424"/>
      <c r="P135" s="424" t="s">
        <v>120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803.304750006723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301</v>
      </c>
      <c r="H138" s="317" t="s">
        <v>302</v>
      </c>
      <c r="I138" s="317"/>
      <c r="J138" s="317" t="s">
        <v>303</v>
      </c>
      <c r="K138" s="318"/>
      <c r="L138" s="388"/>
      <c r="M138" s="316" t="s">
        <v>344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803.304750006723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306</v>
      </c>
      <c r="H141" s="317" t="s">
        <v>307</v>
      </c>
      <c r="I141" s="317"/>
      <c r="J141" s="317" t="s">
        <v>308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803.304750006723</v>
      </c>
      <c r="B143" s="38" t="n">
        <f aca="false">IF(A111="YES", B95, 0)</f>
        <v>0</v>
      </c>
      <c r="C143" s="317"/>
      <c r="D143" s="38" t="n">
        <f aca="false">B97</f>
        <v>803.304750006723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309</v>
      </c>
      <c r="H144" s="317" t="s">
        <v>310</v>
      </c>
      <c r="I144" s="317"/>
      <c r="J144" s="317" t="s">
        <v>311</v>
      </c>
      <c r="K144" s="318"/>
      <c r="L144" s="388"/>
      <c r="M144" s="316" t="s">
        <v>141</v>
      </c>
      <c r="N144" s="317" t="s">
        <v>310</v>
      </c>
      <c r="O144" s="317"/>
      <c r="P144" s="317" t="s">
        <v>311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313</v>
      </c>
      <c r="H147" s="317" t="s">
        <v>314</v>
      </c>
      <c r="I147" s="317"/>
      <c r="J147" s="317" t="s">
        <v>315</v>
      </c>
      <c r="K147" s="318"/>
      <c r="L147" s="388"/>
      <c r="M147" s="316" t="s">
        <v>313</v>
      </c>
      <c r="N147" s="317" t="s">
        <v>314</v>
      </c>
      <c r="O147" s="317"/>
      <c r="P147" s="317" t="s">
        <v>315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317</v>
      </c>
      <c r="H150" s="317" t="s">
        <v>318</v>
      </c>
      <c r="I150" s="317"/>
      <c r="J150" s="317"/>
      <c r="K150" s="318"/>
      <c r="L150" s="388"/>
      <c r="M150" s="316" t="s">
        <v>317</v>
      </c>
      <c r="N150" s="317" t="s">
        <v>318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345</v>
      </c>
      <c r="N153" s="39" t="s">
        <v>346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210.99996</v>
      </c>
      <c r="B154" s="38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323</v>
      </c>
      <c r="H154" s="317"/>
      <c r="I154" s="317"/>
      <c r="J154" s="349"/>
      <c r="K154" s="350"/>
      <c r="L154" s="388"/>
      <c r="M154" s="425" t="n">
        <f aca="false">H40</f>
        <v>3516.666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388"/>
      <c r="G156" s="250" t="s">
        <v>83</v>
      </c>
      <c r="H156" s="251" t="s">
        <v>84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710.991626666667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323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83</v>
      </c>
      <c r="N159" s="251" t="s">
        <v>84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803.304750006723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803.304750006723</v>
      </c>
      <c r="B177" s="355" t="n">
        <f aca="false">IF(A111="YES", B95, 0)</f>
        <v>0</v>
      </c>
      <c r="C177" s="357"/>
      <c r="D177" s="355" t="n">
        <f aca="false">A177+B177</f>
        <v>803.304750006723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803.304750006723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803.304750006723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803.304750006723</v>
      </c>
      <c r="B186" s="103" t="n">
        <f aca="false">IF(A111="YES", B95, 0)</f>
        <v>0</v>
      </c>
      <c r="C186" s="353"/>
      <c r="D186" s="103" t="n">
        <f aca="false">B97</f>
        <v>803.304750006723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210.99996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710.991626666667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215</v>
      </c>
      <c r="B209" s="369" t="n">
        <f aca="false">H35</f>
        <v>0.065</v>
      </c>
      <c r="C209" s="321" t="s">
        <v>217</v>
      </c>
      <c r="D209" s="370" t="n">
        <f aca="false">D70</f>
        <v>2836.82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218</v>
      </c>
      <c r="B211" s="321" t="n">
        <f aca="false">B219</f>
        <v>210.99996</v>
      </c>
      <c r="C211" s="320" t="s">
        <v>219</v>
      </c>
      <c r="D211" s="370" t="n">
        <f aca="false">B225+E221+B221+B223</f>
        <v>339.991666666667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220</v>
      </c>
      <c r="B213" s="321" t="n">
        <f aca="false">E223</f>
        <v>2965.81170666667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217</v>
      </c>
      <c r="B217" s="104" t="n">
        <f aca="false">D70</f>
        <v>2836.82</v>
      </c>
      <c r="C217" s="375" t="s">
        <v>223</v>
      </c>
      <c r="D217" s="317"/>
      <c r="E217" s="376" t="n">
        <f aca="false">B72</f>
        <v>0.01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223</v>
      </c>
      <c r="B219" s="104" t="n">
        <f aca="false">B73</f>
        <v>210.99996</v>
      </c>
      <c r="C219" s="336" t="s">
        <v>326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2965.81170666667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67.5722000806777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275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4" colorId="64" zoomScale="85" zoomScaleNormal="85" zoomScalePageLayoutView="100" workbookViewId="0">
      <selection pane="topLeft" activeCell="A36" activeCellId="0" sqref="A3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45302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347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E19</f>
        <v>21099.996</v>
      </c>
      <c r="B35" s="223" t="s">
        <v>45</v>
      </c>
      <c r="C35" s="223"/>
      <c r="D35" s="279" t="n">
        <f aca="false">A35-B35</f>
        <v>20099.996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3516.666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334</v>
      </c>
      <c r="B41" s="104" t="s">
        <v>335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118</v>
      </c>
      <c r="B43" s="240" t="s">
        <v>67</v>
      </c>
      <c r="C43" s="230" t="s">
        <v>4</v>
      </c>
      <c r="D43" s="240" t="s">
        <v>211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70</v>
      </c>
      <c r="B44" s="104" t="s">
        <v>336</v>
      </c>
      <c r="C44" s="104"/>
      <c r="D44" s="104" t="s">
        <v>336</v>
      </c>
      <c r="E44" s="104"/>
      <c r="F44" s="388"/>
      <c r="G44" s="2" t="s">
        <v>65</v>
      </c>
      <c r="H44" s="2" t="n">
        <f aca="false">((H40-(((H42/(1.2))*0.2)))/(H43))</f>
        <v>209.722166666667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340.277833333333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337</v>
      </c>
      <c r="B46" s="230" t="s">
        <v>338</v>
      </c>
      <c r="C46" s="230" t="s">
        <v>4</v>
      </c>
      <c r="D46" s="230"/>
      <c r="E46" s="243"/>
      <c r="F46" s="388" t="n">
        <v>0</v>
      </c>
      <c r="G46" s="2" t="s">
        <v>71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337</v>
      </c>
      <c r="B47" s="230"/>
      <c r="C47" s="230"/>
      <c r="D47" s="230"/>
      <c r="E47" s="243"/>
      <c r="F47" s="388"/>
      <c r="G47" s="2" t="s">
        <v>72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74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75</v>
      </c>
      <c r="H49" s="2" t="n">
        <f aca="false">H45+H48+H47</f>
        <v>342.9445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339</v>
      </c>
      <c r="H50" s="2" t="n">
        <f aca="false">H49-H41</f>
        <v>292.9445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337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342.9445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85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85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85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86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 t="s">
        <v>4</v>
      </c>
      <c r="D64" s="317"/>
      <c r="E64" s="318"/>
      <c r="F64" s="388"/>
      <c r="G64" s="316" t="s">
        <v>86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86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21099.996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91</v>
      </c>
      <c r="B70" s="133" t="n">
        <f aca="false">B67*B69</f>
        <v>2836.82</v>
      </c>
      <c r="C70" s="317" t="n">
        <v>10000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91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91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92</v>
      </c>
      <c r="B71" s="293" t="n">
        <v>0.01</v>
      </c>
      <c r="C71" s="317"/>
      <c r="D71" s="317"/>
      <c r="E71" s="318"/>
      <c r="F71" s="388"/>
      <c r="G71" s="399" t="s">
        <v>92</v>
      </c>
      <c r="H71" s="400" t="n">
        <v>0.005</v>
      </c>
      <c r="I71" s="317"/>
      <c r="J71" s="317"/>
      <c r="K71" s="318"/>
      <c r="L71" s="388"/>
      <c r="M71" s="399" t="s">
        <v>92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93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93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94</v>
      </c>
      <c r="B73" s="133" t="n">
        <f aca="false">B66*B72</f>
        <v>210.99996</v>
      </c>
      <c r="C73" s="317"/>
      <c r="D73" s="32"/>
      <c r="E73" s="318"/>
      <c r="F73" s="388"/>
      <c r="G73" s="366" t="s">
        <v>94</v>
      </c>
      <c r="H73" s="65" t="n">
        <f aca="false">H67*H72</f>
        <v>202.63</v>
      </c>
      <c r="I73" s="317"/>
      <c r="J73" s="32"/>
      <c r="K73" s="318"/>
      <c r="L73" s="388"/>
      <c r="M73" s="366" t="s">
        <v>94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95</v>
      </c>
      <c r="B74" s="400" t="n">
        <v>0.0075</v>
      </c>
      <c r="C74" s="317"/>
      <c r="D74" s="317"/>
      <c r="E74" s="318"/>
      <c r="F74" s="388"/>
      <c r="G74" s="399" t="s">
        <v>95</v>
      </c>
      <c r="H74" s="400" t="n">
        <v>0.0075</v>
      </c>
      <c r="I74" s="317"/>
      <c r="J74" s="317"/>
      <c r="K74" s="318"/>
      <c r="L74" s="388"/>
      <c r="M74" s="399" t="s">
        <v>95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96</v>
      </c>
      <c r="B75" s="402" t="n">
        <v>0.12</v>
      </c>
      <c r="C75" s="317"/>
      <c r="D75" s="317"/>
      <c r="E75" s="318"/>
      <c r="F75" s="388"/>
      <c r="G75" s="401" t="s">
        <v>96</v>
      </c>
      <c r="H75" s="402" t="n">
        <v>0.12</v>
      </c>
      <c r="I75" s="317"/>
      <c r="J75" s="317"/>
      <c r="K75" s="318"/>
      <c r="L75" s="388"/>
      <c r="M75" s="401" t="s">
        <v>96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97</v>
      </c>
      <c r="B76" s="403" t="n">
        <f aca="false">B74*(1+B75)</f>
        <v>0.0084</v>
      </c>
      <c r="C76" s="317"/>
      <c r="D76" s="317"/>
      <c r="E76" s="318"/>
      <c r="F76" s="388"/>
      <c r="G76" s="366" t="s">
        <v>97</v>
      </c>
      <c r="H76" s="403" t="n">
        <f aca="false">H74*(1+H75)</f>
        <v>0.0084</v>
      </c>
      <c r="I76" s="317"/>
      <c r="J76" s="317"/>
      <c r="K76" s="318"/>
      <c r="L76" s="388"/>
      <c r="M76" s="366" t="s">
        <v>97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98</v>
      </c>
      <c r="B77" s="86" t="n">
        <v>200</v>
      </c>
      <c r="C77" s="317"/>
      <c r="D77" s="317"/>
      <c r="E77" s="318"/>
      <c r="F77" s="388"/>
      <c r="G77" s="399" t="s">
        <v>98</v>
      </c>
      <c r="H77" s="86" t="n">
        <v>160</v>
      </c>
      <c r="I77" s="317"/>
      <c r="J77" s="317"/>
      <c r="K77" s="318"/>
      <c r="L77" s="388"/>
      <c r="M77" s="399" t="s">
        <v>98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99</v>
      </c>
      <c r="B78" s="77" t="n">
        <v>5</v>
      </c>
      <c r="C78" s="317"/>
      <c r="D78" s="317"/>
      <c r="E78" s="318"/>
      <c r="F78" s="388"/>
      <c r="G78" s="401" t="s">
        <v>99</v>
      </c>
      <c r="H78" s="77" t="n">
        <v>4.5</v>
      </c>
      <c r="I78" s="317"/>
      <c r="J78" s="317"/>
      <c r="K78" s="318"/>
      <c r="L78" s="388"/>
      <c r="M78" s="401" t="s">
        <v>99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100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100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100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275</v>
      </c>
      <c r="C80" s="317"/>
      <c r="D80" s="317"/>
      <c r="E80" s="404" t="n">
        <f aca="false">E79+D82</f>
        <v>957.916666666667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79.8263888888889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297.916666666667</v>
      </c>
      <c r="C82" s="317"/>
      <c r="D82" s="32" t="n">
        <f aca="false">IF(A50="YES", 0, B82)</f>
        <v>297.916666666667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340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101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101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101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102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102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102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103</v>
      </c>
      <c r="B87" s="413" t="n">
        <f aca="false">SUM(D70:D86)</f>
        <v>4461.40333333333</v>
      </c>
      <c r="C87" s="317"/>
      <c r="D87" s="317"/>
      <c r="E87" s="318"/>
      <c r="F87" s="388"/>
      <c r="G87" s="412" t="s">
        <v>103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103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104</v>
      </c>
      <c r="B88" s="33" t="n">
        <f aca="false">B87/H29</f>
        <v>371.783611111111</v>
      </c>
      <c r="C88" s="317"/>
      <c r="D88" s="317"/>
      <c r="E88" s="318"/>
      <c r="F88" s="388"/>
      <c r="G88" s="316" t="s">
        <v>104</v>
      </c>
      <c r="H88" s="33" t="n">
        <f aca="false">H87/H29</f>
        <v>499.200277777778</v>
      </c>
      <c r="I88" s="317"/>
      <c r="J88" s="317"/>
      <c r="K88" s="318"/>
      <c r="L88" s="388"/>
      <c r="M88" s="316" t="s">
        <v>104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105</v>
      </c>
      <c r="B89" s="59" t="n">
        <f aca="false">H50</f>
        <v>292.9445</v>
      </c>
      <c r="C89" s="317"/>
      <c r="D89" s="317"/>
      <c r="E89" s="318"/>
      <c r="F89" s="388"/>
      <c r="G89" s="414" t="s">
        <v>105</v>
      </c>
      <c r="H89" s="59" t="n">
        <f aca="false">H46</f>
        <v>0</v>
      </c>
      <c r="I89" s="317"/>
      <c r="J89" s="317"/>
      <c r="K89" s="318"/>
      <c r="L89" s="388"/>
      <c r="M89" s="414" t="s">
        <v>105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115</v>
      </c>
      <c r="B91" s="27" t="n">
        <f aca="false">((B89*H29)+B87)</f>
        <v>7976.73733333333</v>
      </c>
      <c r="C91" s="317"/>
      <c r="D91" s="317"/>
      <c r="E91" s="318"/>
      <c r="F91" s="388"/>
      <c r="G91" s="396" t="s">
        <v>115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115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116</v>
      </c>
      <c r="B92" s="33" t="n">
        <f aca="false">(((B89*H29)+B87)/(1-B76))*B76</f>
        <v>67.5722000806777</v>
      </c>
      <c r="C92" s="317"/>
      <c r="D92" s="317"/>
      <c r="E92" s="415"/>
      <c r="F92" s="388"/>
      <c r="G92" s="316" t="s">
        <v>116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116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117</v>
      </c>
      <c r="B93" s="65" t="n">
        <f aca="false">IF(B116="YES",((B91+B92)-E120),(B91+B92))</f>
        <v>8044.30953341401</v>
      </c>
      <c r="C93" s="317"/>
      <c r="D93" s="317"/>
      <c r="E93" s="318"/>
      <c r="F93" s="388"/>
      <c r="G93" s="366" t="s">
        <v>117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117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118</v>
      </c>
      <c r="B95" s="413" t="n">
        <f aca="false">IF(B105=Z104,(((H41*A32)+(H41*A32)*(B111/100))/(B64)),(((H41*A32)+(H41*A32)*(B111/100))/(B63+B64)))</f>
        <v>65</v>
      </c>
      <c r="C95" s="317"/>
      <c r="D95" s="317"/>
      <c r="E95" s="318"/>
      <c r="F95" s="388"/>
      <c r="G95" s="412" t="s">
        <v>118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118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119</v>
      </c>
      <c r="B96" s="417" t="n">
        <f aca="false">IF(B105=Z104, (B93-D111)/(B64), B93/(B63+B64))</f>
        <v>670.359127784501</v>
      </c>
      <c r="C96" s="317" t="s">
        <v>4</v>
      </c>
      <c r="D96" s="317"/>
      <c r="E96" s="318"/>
      <c r="F96" s="388"/>
      <c r="G96" s="416" t="s">
        <v>119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119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120</v>
      </c>
      <c r="B97" s="419" t="n">
        <f aca="false">IF(A111="YES", B96+B95, B96)</f>
        <v>735.359127784501</v>
      </c>
      <c r="C97" s="317"/>
      <c r="D97" s="420"/>
      <c r="E97" s="318"/>
      <c r="F97" s="388"/>
      <c r="G97" s="418" t="s">
        <v>120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120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332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341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388"/>
      <c r="G102" s="217" t="s">
        <v>126</v>
      </c>
      <c r="H102" s="217"/>
      <c r="I102" s="217"/>
      <c r="J102" s="217"/>
      <c r="K102" s="217"/>
      <c r="L102" s="388"/>
      <c r="M102" s="217" t="s">
        <v>126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130</v>
      </c>
    </row>
    <row r="104" customFormat="false" ht="18.75" hidden="false" customHeight="true" outlineLevel="0" collapsed="false">
      <c r="A104" s="316" t="s">
        <v>127</v>
      </c>
      <c r="B104" s="317" t="s">
        <v>23</v>
      </c>
      <c r="C104" s="317"/>
      <c r="D104" s="317" t="s">
        <v>285</v>
      </c>
      <c r="E104" s="318"/>
      <c r="F104" s="388"/>
      <c r="G104" s="316" t="s">
        <v>127</v>
      </c>
      <c r="H104" s="317" t="s">
        <v>23</v>
      </c>
      <c r="I104" s="317"/>
      <c r="J104" s="317" t="s">
        <v>285</v>
      </c>
      <c r="K104" s="318"/>
      <c r="L104" s="388"/>
      <c r="M104" s="316" t="s">
        <v>127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130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287</v>
      </c>
      <c r="B107" s="317" t="s">
        <v>288</v>
      </c>
      <c r="C107" s="317"/>
      <c r="D107" s="317" t="s">
        <v>289</v>
      </c>
      <c r="E107" s="318"/>
      <c r="F107" s="388"/>
      <c r="G107" s="316" t="s">
        <v>287</v>
      </c>
      <c r="H107" s="317" t="s">
        <v>288</v>
      </c>
      <c r="I107" s="317"/>
      <c r="J107" s="317" t="s">
        <v>289</v>
      </c>
      <c r="K107" s="318"/>
      <c r="L107" s="388"/>
      <c r="M107" s="316" t="s">
        <v>287</v>
      </c>
      <c r="N107" s="317" t="s">
        <v>288</v>
      </c>
      <c r="O107" s="317"/>
      <c r="P107" s="317" t="s">
        <v>289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128</v>
      </c>
      <c r="B110" s="388" t="s">
        <v>131</v>
      </c>
      <c r="C110" s="317"/>
      <c r="D110" s="317" t="s">
        <v>142</v>
      </c>
      <c r="E110" s="318"/>
      <c r="F110" s="388"/>
      <c r="G110" s="374" t="s">
        <v>128</v>
      </c>
      <c r="H110" s="388" t="s">
        <v>131</v>
      </c>
      <c r="I110" s="317"/>
      <c r="J110" s="317" t="s">
        <v>142</v>
      </c>
      <c r="K110" s="318"/>
      <c r="L110" s="388"/>
      <c r="M110" s="374" t="s">
        <v>128</v>
      </c>
      <c r="N110" s="388" t="s">
        <v>131</v>
      </c>
      <c r="O110" s="317"/>
      <c r="P110" s="317" t="s">
        <v>142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342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388"/>
      <c r="G114" s="217" t="s">
        <v>290</v>
      </c>
      <c r="H114" s="217"/>
      <c r="I114" s="217"/>
      <c r="J114" s="217"/>
      <c r="K114" s="217"/>
      <c r="L114" s="388"/>
      <c r="M114" s="217" t="s">
        <v>290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291</v>
      </c>
      <c r="B116" s="389" t="s">
        <v>19</v>
      </c>
      <c r="C116" s="317"/>
      <c r="D116" s="317"/>
      <c r="E116" s="318"/>
      <c r="F116" s="388"/>
      <c r="G116" s="316" t="s">
        <v>291</v>
      </c>
      <c r="H116" s="389" t="s">
        <v>18</v>
      </c>
      <c r="I116" s="317"/>
      <c r="J116" s="317"/>
      <c r="K116" s="318"/>
      <c r="L116" s="388"/>
      <c r="M116" s="316" t="s">
        <v>291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176</v>
      </c>
      <c r="B118" s="317"/>
      <c r="C118" s="317"/>
      <c r="D118" s="313" t="n">
        <v>0</v>
      </c>
      <c r="E118" s="107" t="n">
        <v>6000</v>
      </c>
      <c r="F118" s="388"/>
      <c r="G118" s="316" t="s">
        <v>176</v>
      </c>
      <c r="H118" s="317"/>
      <c r="I118" s="317"/>
      <c r="J118" s="313" t="n">
        <v>10000</v>
      </c>
      <c r="K118" s="107" t="n">
        <v>5000</v>
      </c>
      <c r="L118" s="388"/>
      <c r="M118" s="316" t="s">
        <v>176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177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177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177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178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178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178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179</v>
      </c>
      <c r="B121" s="317"/>
      <c r="C121" s="317"/>
      <c r="D121" s="39" t="n">
        <f aca="false">D120-E120</f>
        <v>-6000</v>
      </c>
      <c r="E121" s="318"/>
      <c r="F121" s="388"/>
      <c r="G121" s="316" t="s">
        <v>179</v>
      </c>
      <c r="H121" s="317"/>
      <c r="I121" s="317"/>
      <c r="J121" s="39" t="n">
        <f aca="false">J120-K120</f>
        <v>5000</v>
      </c>
      <c r="K121" s="318"/>
      <c r="L121" s="388"/>
      <c r="M121" s="316" t="s">
        <v>179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138</v>
      </c>
      <c r="B123" s="397"/>
      <c r="C123" s="397"/>
      <c r="D123" s="397"/>
      <c r="E123" s="27" t="n">
        <f aca="false">D105</f>
        <v>1000</v>
      </c>
      <c r="F123" s="388"/>
      <c r="G123" s="396" t="s">
        <v>138</v>
      </c>
      <c r="H123" s="397"/>
      <c r="I123" s="397"/>
      <c r="J123" s="397"/>
      <c r="K123" s="27" t="n">
        <f aca="false">J105</f>
        <v>5000</v>
      </c>
      <c r="L123" s="388"/>
      <c r="M123" s="396" t="s">
        <v>138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292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292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292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388"/>
      <c r="G128" s="217" t="s">
        <v>293</v>
      </c>
      <c r="H128" s="217"/>
      <c r="I128" s="217"/>
      <c r="J128" s="217"/>
      <c r="K128" s="217"/>
      <c r="L128" s="388"/>
      <c r="M128" s="217" t="s">
        <v>293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127</v>
      </c>
      <c r="B130" s="320" t="n">
        <v>0</v>
      </c>
      <c r="C130" s="321"/>
      <c r="D130" s="320" t="s">
        <v>84</v>
      </c>
      <c r="E130" s="322"/>
      <c r="F130" s="388"/>
      <c r="G130" s="316" t="s">
        <v>183</v>
      </c>
      <c r="H130" s="172" t="n">
        <v>0</v>
      </c>
      <c r="I130" s="172"/>
      <c r="J130" s="317"/>
      <c r="K130" s="318"/>
      <c r="L130" s="388"/>
      <c r="M130" s="316" t="s">
        <v>183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83</v>
      </c>
      <c r="H132" s="317" t="s">
        <v>84</v>
      </c>
      <c r="I132" s="317"/>
      <c r="J132" s="317" t="s">
        <v>86</v>
      </c>
      <c r="K132" s="318"/>
      <c r="L132" s="388"/>
      <c r="M132" s="316" t="s">
        <v>83</v>
      </c>
      <c r="N132" s="317" t="s">
        <v>84</v>
      </c>
      <c r="O132" s="317"/>
      <c r="P132" s="317" t="s">
        <v>86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670.359127784501</v>
      </c>
      <c r="B134" s="321" t="n">
        <f aca="false">IF(A111="YES", B95, 0)</f>
        <v>65</v>
      </c>
      <c r="C134" s="326"/>
      <c r="D134" s="321" t="n">
        <f aca="false">B97</f>
        <v>735.359127784501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296</v>
      </c>
      <c r="H135" s="424" t="s">
        <v>297</v>
      </c>
      <c r="I135" s="424"/>
      <c r="J135" s="424" t="s">
        <v>298</v>
      </c>
      <c r="K135" s="318"/>
      <c r="L135" s="388"/>
      <c r="M135" s="423" t="s">
        <v>343</v>
      </c>
      <c r="N135" s="424" t="s">
        <v>252</v>
      </c>
      <c r="O135" s="424"/>
      <c r="P135" s="424" t="s">
        <v>120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670.359127784501</v>
      </c>
      <c r="C137" s="317"/>
      <c r="D137" s="38" t="n">
        <f aca="false">IF(A111="YES", B95*B63, 0)</f>
        <v>65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301</v>
      </c>
      <c r="H138" s="317" t="s">
        <v>302</v>
      </c>
      <c r="I138" s="317"/>
      <c r="J138" s="317" t="s">
        <v>303</v>
      </c>
      <c r="K138" s="318"/>
      <c r="L138" s="388"/>
      <c r="M138" s="316" t="s">
        <v>344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735.359127784501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306</v>
      </c>
      <c r="H141" s="317" t="s">
        <v>307</v>
      </c>
      <c r="I141" s="317"/>
      <c r="J141" s="317" t="s">
        <v>308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670.359127784501</v>
      </c>
      <c r="B143" s="38" t="n">
        <f aca="false">IF(A111="YES", B95, 0)</f>
        <v>65</v>
      </c>
      <c r="C143" s="317"/>
      <c r="D143" s="38" t="n">
        <f aca="false">B97</f>
        <v>735.359127784501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309</v>
      </c>
      <c r="H144" s="317" t="s">
        <v>310</v>
      </c>
      <c r="I144" s="317"/>
      <c r="J144" s="317" t="s">
        <v>311</v>
      </c>
      <c r="K144" s="318"/>
      <c r="L144" s="388"/>
      <c r="M144" s="316" t="s">
        <v>141</v>
      </c>
      <c r="N144" s="317" t="s">
        <v>310</v>
      </c>
      <c r="O144" s="317"/>
      <c r="P144" s="317" t="s">
        <v>311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313</v>
      </c>
      <c r="H147" s="317" t="s">
        <v>314</v>
      </c>
      <c r="I147" s="317"/>
      <c r="J147" s="317" t="s">
        <v>315</v>
      </c>
      <c r="K147" s="318"/>
      <c r="L147" s="388"/>
      <c r="M147" s="316" t="s">
        <v>313</v>
      </c>
      <c r="N147" s="317" t="s">
        <v>314</v>
      </c>
      <c r="O147" s="317"/>
      <c r="P147" s="317" t="s">
        <v>315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317</v>
      </c>
      <c r="H150" s="317" t="s">
        <v>318</v>
      </c>
      <c r="I150" s="317"/>
      <c r="J150" s="317"/>
      <c r="K150" s="318"/>
      <c r="L150" s="388"/>
      <c r="M150" s="316" t="s">
        <v>317</v>
      </c>
      <c r="N150" s="317" t="s">
        <v>318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345</v>
      </c>
      <c r="N153" s="39" t="s">
        <v>346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210.99996</v>
      </c>
      <c r="B154" s="103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323</v>
      </c>
      <c r="H154" s="317"/>
      <c r="I154" s="317"/>
      <c r="J154" s="349"/>
      <c r="K154" s="350"/>
      <c r="L154" s="388"/>
      <c r="M154" s="425" t="n">
        <f aca="false">H40</f>
        <v>3516.666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388"/>
      <c r="G156" s="250" t="s">
        <v>83</v>
      </c>
      <c r="H156" s="251" t="s">
        <v>84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728.98996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323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83</v>
      </c>
      <c r="N159" s="251" t="s">
        <v>84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735.359127784501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670.359127784501</v>
      </c>
      <c r="B177" s="355" t="n">
        <f aca="false">IF(A111="YES", B95, 0)</f>
        <v>65</v>
      </c>
      <c r="C177" s="358"/>
      <c r="D177" s="355" t="n">
        <f aca="false">B91</f>
        <v>7976.73733333333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670.359127784501</v>
      </c>
      <c r="C180" s="353"/>
      <c r="D180" s="103" t="n">
        <f aca="false">IF(A111="YES", B95*B63, 0)</f>
        <v>65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735.359127784501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670.359127784501</v>
      </c>
      <c r="B186" s="103" t="n">
        <f aca="false">IF(A111="YES", B95, 0)</f>
        <v>65</v>
      </c>
      <c r="C186" s="353"/>
      <c r="D186" s="103" t="n">
        <f aca="false">B97</f>
        <v>735.359127784501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210.99996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728.98996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215</v>
      </c>
      <c r="B209" s="369" t="n">
        <f aca="false">H35</f>
        <v>0.065</v>
      </c>
      <c r="C209" s="321" t="s">
        <v>217</v>
      </c>
      <c r="D209" s="370" t="n">
        <f aca="false">D70</f>
        <v>2836.82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218</v>
      </c>
      <c r="B211" s="321" t="n">
        <f aca="false">B219</f>
        <v>210.99996</v>
      </c>
      <c r="C211" s="320" t="s">
        <v>219</v>
      </c>
      <c r="D211" s="370" t="n">
        <f aca="false">B225+E221+B221+B223</f>
        <v>519.99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220</v>
      </c>
      <c r="B213" s="321" t="n">
        <f aca="false">E223</f>
        <v>3145.81004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217</v>
      </c>
      <c r="B217" s="104" t="n">
        <f aca="false">D70</f>
        <v>2836.82</v>
      </c>
      <c r="C217" s="375" t="s">
        <v>223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223</v>
      </c>
      <c r="B219" s="104" t="n">
        <f aca="false">B73</f>
        <v>210.99996</v>
      </c>
      <c r="C219" s="336" t="s">
        <v>326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3145.81004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328</v>
      </c>
      <c r="B225" s="341" t="n">
        <f aca="false">D197/0.1</f>
        <v>180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67.5722000806777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275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37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348</v>
      </c>
      <c r="B41" s="241" t="str">
        <f aca="false">IF(B38="YES", D38+A41, D38)</f>
        <v>500</v>
      </c>
      <c r="C41" s="241"/>
      <c r="D41" s="104" t="s">
        <v>334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336</v>
      </c>
      <c r="C44" s="104"/>
      <c r="D44" s="104" t="s">
        <v>348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349</v>
      </c>
      <c r="C47" s="429"/>
      <c r="D47" s="104" t="s">
        <v>349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338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21099.996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B66*B69</f>
        <v>1476.99972</v>
      </c>
      <c r="C70" s="215" t="n">
        <v>10000</v>
      </c>
      <c r="D70" s="291" t="n">
        <f aca="false">B70-A149</f>
        <v>1476.99972</v>
      </c>
      <c r="E70" s="216" t="n">
        <f aca="false">D70/12</f>
        <v>123.08331</v>
      </c>
      <c r="F70" s="63"/>
      <c r="G70" s="285" t="s">
        <v>91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91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B66*B72</f>
        <v>210.99996</v>
      </c>
      <c r="C73" s="215"/>
      <c r="D73" s="291"/>
      <c r="E73" s="216"/>
      <c r="F73" s="63"/>
      <c r="G73" s="285" t="s">
        <v>94</v>
      </c>
      <c r="H73" s="133" t="n">
        <f aca="false">H67*H72</f>
        <v>202.63</v>
      </c>
      <c r="I73" s="215"/>
      <c r="J73" s="291"/>
      <c r="K73" s="216"/>
      <c r="L73" s="63"/>
      <c r="M73" s="285" t="s">
        <v>94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2803.66638666667</v>
      </c>
      <c r="C87" s="215"/>
      <c r="D87" s="215"/>
      <c r="E87" s="216"/>
      <c r="F87" s="63"/>
      <c r="G87" s="303" t="s">
        <v>103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103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233.638865555556</v>
      </c>
      <c r="C88" s="215"/>
      <c r="D88" s="215"/>
      <c r="E88" s="216"/>
      <c r="F88" s="63"/>
      <c r="G88" s="214" t="s">
        <v>104</v>
      </c>
      <c r="H88" s="300" t="n">
        <f aca="false">H87/H29</f>
        <v>499.200277777778</v>
      </c>
      <c r="I88" s="215"/>
      <c r="J88" s="215"/>
      <c r="K88" s="216"/>
      <c r="L88" s="63"/>
      <c r="M88" s="214" t="s">
        <v>104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</f>
        <v>8815.66638666667</v>
      </c>
      <c r="C91" s="215"/>
      <c r="D91" s="215"/>
      <c r="E91" s="216"/>
      <c r="F91" s="63"/>
      <c r="G91" s="288" t="s">
        <v>115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115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74.6789004114563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116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8890.34528707812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740.86210725651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740.86210725651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350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351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4" t="n">
        <v>0</v>
      </c>
      <c r="C111" s="314"/>
      <c r="D111" s="107" t="s">
        <v>352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19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</v>
      </c>
      <c r="E118" s="107" t="n">
        <v>6000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740.86210725651</v>
      </c>
      <c r="B134" s="321" t="n">
        <f aca="false">IF(A111="YES", B95, 0)</f>
        <v>0</v>
      </c>
      <c r="C134" s="326"/>
      <c r="D134" s="321" t="n">
        <f aca="false">B97</f>
        <v>740.86210725651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6667.75896530859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6667.75896530859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740.86210725651</v>
      </c>
      <c r="B143" s="38" t="n">
        <f aca="false">IF(A111="YES", B95, 0)</f>
        <v>0</v>
      </c>
      <c r="C143" s="317"/>
      <c r="D143" s="38" t="n">
        <f aca="false">B97</f>
        <v>740.86210725651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210.99996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710.98996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740.86210725651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740.86210725651</v>
      </c>
      <c r="B177" s="355" t="n">
        <f aca="false">IF(A111="YES", B95, 0)</f>
        <v>0</v>
      </c>
      <c r="C177" s="358"/>
      <c r="D177" s="355" t="n">
        <f aca="false">B91</f>
        <v>8815.66638666667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6667.75896530859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6667.75896530859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740.86210725651</v>
      </c>
      <c r="B186" s="103" t="n">
        <f aca="false">IF(A111="YES", B95, 0)</f>
        <v>0</v>
      </c>
      <c r="C186" s="353"/>
      <c r="D186" s="103" t="n">
        <f aca="false">B97</f>
        <v>740.86210725651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210.99996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710.98996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1476.99972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210.99996</v>
      </c>
      <c r="C211" s="320" t="s">
        <v>219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1605.98976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1476.99972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210.99996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1605.98976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74.6789004114563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70</v>
      </c>
      <c r="B41" s="241" t="n">
        <f aca="false">IF(B38="YES", D38+A41, D38)</f>
        <v>550</v>
      </c>
      <c r="C41" s="241"/>
      <c r="D41" s="104" t="s">
        <v>334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336</v>
      </c>
      <c r="C44" s="104"/>
      <c r="D44" s="104" t="s">
        <v>349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349</v>
      </c>
      <c r="C47" s="429"/>
      <c r="D47" s="104" t="s">
        <v>349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21099.996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B66*B69</f>
        <v>1476.99972</v>
      </c>
      <c r="C70" s="215" t="n">
        <v>10000</v>
      </c>
      <c r="D70" s="291" t="n">
        <f aca="false">B70-A149</f>
        <v>1476.99972</v>
      </c>
      <c r="E70" s="216" t="n">
        <f aca="false">D70/12</f>
        <v>123.08331</v>
      </c>
      <c r="F70" s="63"/>
      <c r="G70" s="285" t="s">
        <v>91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91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B66*B72</f>
        <v>210.99996</v>
      </c>
      <c r="C73" s="215"/>
      <c r="D73" s="291"/>
      <c r="E73" s="216"/>
      <c r="F73" s="63"/>
      <c r="G73" s="285" t="s">
        <v>94</v>
      </c>
      <c r="H73" s="133" t="n">
        <f aca="false">H67*H72</f>
        <v>202.63</v>
      </c>
      <c r="I73" s="215"/>
      <c r="J73" s="291"/>
      <c r="K73" s="216"/>
      <c r="L73" s="63"/>
      <c r="M73" s="285" t="s">
        <v>94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3101.58305333333</v>
      </c>
      <c r="C87" s="215"/>
      <c r="D87" s="215"/>
      <c r="E87" s="216"/>
      <c r="F87" s="63"/>
      <c r="G87" s="303" t="s">
        <v>103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103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258.465254444444</v>
      </c>
      <c r="C88" s="215"/>
      <c r="D88" s="215"/>
      <c r="E88" s="216"/>
      <c r="F88" s="63"/>
      <c r="G88" s="214" t="s">
        <v>104</v>
      </c>
      <c r="H88" s="300" t="n">
        <f aca="false">H87/H29</f>
        <v>499.200277777778</v>
      </c>
      <c r="I88" s="215"/>
      <c r="J88" s="215"/>
      <c r="K88" s="216"/>
      <c r="L88" s="63"/>
      <c r="M88" s="214" t="s">
        <v>104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((B89*H29)+B87)*1.2</f>
        <v>10936.299664</v>
      </c>
      <c r="C91" s="215"/>
      <c r="D91" s="215"/>
      <c r="E91" s="216"/>
      <c r="F91" s="63"/>
      <c r="G91" s="288" t="s">
        <v>115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115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77.2025994836628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116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11013.5022634837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IF(B105=Z104,(((H44*B35)+(H44*B35)*(B111/100))/(B64)),(((H44*B35)+(H44*B35)*(B111/100))/(B63+B64)))*1.2</f>
        <v>78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917.791855290305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995.791855290305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130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19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</v>
      </c>
      <c r="E118" s="107" t="n">
        <v>6000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917.791855290305</v>
      </c>
      <c r="B134" s="321" t="n">
        <f aca="false">IF(A111="YES", B95, 0)</f>
        <v>78</v>
      </c>
      <c r="C134" s="326"/>
      <c r="D134" s="321" t="n">
        <f aca="false">B97</f>
        <v>995.791855290305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917.791855290305</v>
      </c>
      <c r="C137" s="317"/>
      <c r="D137" s="38" t="n">
        <f aca="false">IF(A111="YES", B95*B63, 0)</f>
        <v>78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995.791855290305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917.791855290305</v>
      </c>
      <c r="B143" s="38" t="n">
        <f aca="false">IF(A111="YES", B95, 0)</f>
        <v>78</v>
      </c>
      <c r="C143" s="317"/>
      <c r="D143" s="38" t="n">
        <f aca="false">B97</f>
        <v>995.791855290305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1400.84633333333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1360.84833333333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210.99996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728.991626666667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995.791855290305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917.791855290305</v>
      </c>
      <c r="B177" s="355" t="n">
        <f aca="false">IF(A111="YES", B95, 0)</f>
        <v>78</v>
      </c>
      <c r="C177" s="358"/>
      <c r="D177" s="355" t="n">
        <f aca="false">B97</f>
        <v>995.791855290305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917.791855290305</v>
      </c>
      <c r="C180" s="353"/>
      <c r="D180" s="103" t="n">
        <f aca="false">IF(A111="YES", B95*B63, 0)</f>
        <v>78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995.791855290305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917.791855290305</v>
      </c>
      <c r="B186" s="103" t="n">
        <f aca="false">IF(A111="YES", B95, 0)</f>
        <v>78</v>
      </c>
      <c r="C186" s="353"/>
      <c r="D186" s="103" t="n">
        <f aca="false">B97</f>
        <v>995.791855290305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210.99996</v>
      </c>
      <c r="B197" s="103" t="n">
        <f aca="false">B108</f>
        <v>400</v>
      </c>
      <c r="C197" s="103"/>
      <c r="D197" s="103" t="n">
        <f aca="false">IF(A111="YES", (A41/100*B111)*B131, 0)*0.1</f>
        <v>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728.991626666667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1476.99972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210.99996</v>
      </c>
      <c r="C211" s="320" t="s">
        <v>219</v>
      </c>
      <c r="D211" s="370" t="n">
        <f aca="false">B225+E221+B221+B223</f>
        <v>519.991666666667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1785.99142666667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1476.99972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210.99996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1785.99142666667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180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77.2025994836628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70</v>
      </c>
      <c r="B41" s="241" t="n">
        <f aca="false">IF(B38="YES", D38+A41, D38)</f>
        <v>550</v>
      </c>
      <c r="C41" s="241"/>
      <c r="D41" s="104" t="s">
        <v>334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336</v>
      </c>
      <c r="C44" s="104"/>
      <c r="D44" s="104" t="s">
        <v>349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349</v>
      </c>
      <c r="C47" s="429"/>
      <c r="D47" s="104" t="s">
        <v>349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21099.996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B66*B69</f>
        <v>1476.99972</v>
      </c>
      <c r="C70" s="215" t="n">
        <v>10000</v>
      </c>
      <c r="D70" s="291" t="n">
        <f aca="false">B70-A149</f>
        <v>1476.99972</v>
      </c>
      <c r="E70" s="216" t="n">
        <f aca="false">D70/12</f>
        <v>123.08331</v>
      </c>
      <c r="F70" s="63"/>
      <c r="G70" s="285" t="s">
        <v>91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91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B66*B72</f>
        <v>210.99996</v>
      </c>
      <c r="C73" s="215"/>
      <c r="D73" s="291"/>
      <c r="E73" s="216"/>
      <c r="F73" s="63"/>
      <c r="G73" s="285" t="s">
        <v>94</v>
      </c>
      <c r="H73" s="133" t="n">
        <f aca="false">H67*H72</f>
        <v>202.63</v>
      </c>
      <c r="I73" s="215"/>
      <c r="J73" s="291"/>
      <c r="K73" s="216"/>
      <c r="L73" s="63"/>
      <c r="M73" s="285" t="s">
        <v>94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3101.58305333333</v>
      </c>
      <c r="C87" s="215"/>
      <c r="D87" s="215"/>
      <c r="E87" s="216"/>
      <c r="F87" s="63"/>
      <c r="G87" s="303" t="s">
        <v>103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103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258.465254444444</v>
      </c>
      <c r="C88" s="215"/>
      <c r="D88" s="215"/>
      <c r="E88" s="216"/>
      <c r="F88" s="63"/>
      <c r="G88" s="214" t="s">
        <v>104</v>
      </c>
      <c r="H88" s="300" t="n">
        <f aca="false">H87/H29</f>
        <v>499.200277777778</v>
      </c>
      <c r="I88" s="215"/>
      <c r="J88" s="215"/>
      <c r="K88" s="216"/>
      <c r="L88" s="63"/>
      <c r="M88" s="214" t="s">
        <v>104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</f>
        <v>9113.58305333333</v>
      </c>
      <c r="C91" s="215"/>
      <c r="D91" s="215"/>
      <c r="E91" s="216"/>
      <c r="F91" s="63"/>
      <c r="G91" s="288" t="s">
        <v>115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115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77.2025994836628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116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9190.785652817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</f>
        <v>65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765.898804401416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830.898804401416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130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19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</v>
      </c>
      <c r="E118" s="107" t="n">
        <v>6000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765.898804401416</v>
      </c>
      <c r="B134" s="321" t="n">
        <f aca="false">IF(A111="YES", B95, 0)</f>
        <v>65</v>
      </c>
      <c r="C134" s="326"/>
      <c r="D134" s="321" t="n">
        <f aca="false">B97</f>
        <v>830.898804401416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765.898804401416</v>
      </c>
      <c r="C137" s="317"/>
      <c r="D137" s="38" t="n">
        <f aca="false">IF(A111="YES", B95*B63, 0)</f>
        <v>65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830.898804401416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765.898804401416</v>
      </c>
      <c r="B143" s="38" t="n">
        <f aca="false">IF(A111="YES", B95, 0)</f>
        <v>65</v>
      </c>
      <c r="C143" s="317"/>
      <c r="D143" s="38" t="n">
        <f aca="false">B97</f>
        <v>830.898804401416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1400.84633333333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1360.84833333333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210.99996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728.98996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830.898804401416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765.898804401416</v>
      </c>
      <c r="B177" s="355" t="n">
        <f aca="false">IF(A111="YES", B95, 0)</f>
        <v>65</v>
      </c>
      <c r="C177" s="358"/>
      <c r="D177" s="355" t="n">
        <f aca="false">B91</f>
        <v>9113.58305333333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765.898804401416</v>
      </c>
      <c r="C180" s="353"/>
      <c r="D180" s="103" t="n">
        <f aca="false">IF(A111="YES", B95*B63,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830.898804401416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765.898804401416</v>
      </c>
      <c r="B186" s="103" t="n">
        <f aca="false">IF(A111="YES", B95, 0)</f>
        <v>65</v>
      </c>
      <c r="C186" s="353"/>
      <c r="D186" s="103" t="n">
        <f aca="false">B97</f>
        <v>830.898804401416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210.99996</v>
      </c>
      <c r="B197" s="103" t="n">
        <f aca="false">B154</f>
        <v>400</v>
      </c>
      <c r="C197" s="103"/>
      <c r="D197" s="103" t="n">
        <f aca="false">IF(A111="YES", (A41/100*B111)*B131, 0)*0.1</f>
        <v>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728.98996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1476.99972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210.99996</v>
      </c>
      <c r="C211" s="320" t="s">
        <v>219</v>
      </c>
      <c r="D211" s="370" t="n">
        <f aca="false">B225+E221+B221+B223</f>
        <v>519.99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1785.98976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1476.99972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210.99996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1785.98976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180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77.2025994836628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21099.996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B66*B69</f>
        <v>1476.99972</v>
      </c>
      <c r="C70" s="215" t="n">
        <v>10000</v>
      </c>
      <c r="D70" s="291" t="n">
        <f aca="false">B70-A149</f>
        <v>1476.99972</v>
      </c>
      <c r="E70" s="216" t="n">
        <f aca="false">D70/12</f>
        <v>123.08331</v>
      </c>
      <c r="F70" s="63"/>
      <c r="G70" s="285" t="s">
        <v>91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91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B66*B72</f>
        <v>210.99996</v>
      </c>
      <c r="C73" s="215"/>
      <c r="D73" s="291"/>
      <c r="E73" s="216"/>
      <c r="F73" s="63"/>
      <c r="G73" s="285" t="s">
        <v>94</v>
      </c>
      <c r="H73" s="133" t="n">
        <f aca="false">H67*H72</f>
        <v>202.63</v>
      </c>
      <c r="I73" s="215"/>
      <c r="J73" s="291"/>
      <c r="K73" s="216"/>
      <c r="L73" s="63"/>
      <c r="M73" s="285" t="s">
        <v>94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2803.66638666667</v>
      </c>
      <c r="C87" s="215"/>
      <c r="D87" s="215"/>
      <c r="E87" s="216"/>
      <c r="F87" s="63"/>
      <c r="G87" s="303" t="s">
        <v>103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103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233.638865555556</v>
      </c>
      <c r="C88" s="215"/>
      <c r="D88" s="215"/>
      <c r="E88" s="216"/>
      <c r="F88" s="63"/>
      <c r="G88" s="214" t="s">
        <v>104</v>
      </c>
      <c r="H88" s="300" t="n">
        <f aca="false">H87/H29</f>
        <v>499.200277777778</v>
      </c>
      <c r="I88" s="215"/>
      <c r="J88" s="215"/>
      <c r="K88" s="216"/>
      <c r="L88" s="63"/>
      <c r="M88" s="214" t="s">
        <v>104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</f>
        <v>8815.66638666667</v>
      </c>
      <c r="C91" s="215"/>
      <c r="D91" s="215"/>
      <c r="E91" s="216"/>
      <c r="F91" s="63"/>
      <c r="G91" s="288" t="s">
        <v>115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115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74.6789004114563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116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8890.34528707812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740.86210725651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740.86210725651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351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352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19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</v>
      </c>
      <c r="E118" s="107" t="n">
        <v>6000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740.86210725651</v>
      </c>
      <c r="B134" s="321" t="n">
        <f aca="false">IF(A111="YES", B95, 0)</f>
        <v>0</v>
      </c>
      <c r="C134" s="326"/>
      <c r="D134" s="321" t="n">
        <f aca="false">B97</f>
        <v>740.86210725651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6667.75896530859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6667.75896530859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740.86210725651</v>
      </c>
      <c r="B143" s="38" t="n">
        <f aca="false">IF(A111="YES", B95, 0)</f>
        <v>0</v>
      </c>
      <c r="C143" s="317"/>
      <c r="D143" s="38" t="n">
        <f aca="false">B97</f>
        <v>740.86210725651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210.99996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710.98996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740.86210725651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740.86210725651</v>
      </c>
      <c r="B177" s="355" t="n">
        <f aca="false">IF(A111="YES", B95, 0)</f>
        <v>0</v>
      </c>
      <c r="C177" s="358"/>
      <c r="D177" s="355" t="n">
        <f aca="false">B91</f>
        <v>8815.66638666667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6667.75896530859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6667.75896530859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740.86210725651</v>
      </c>
      <c r="B186" s="103" t="n">
        <f aca="false">IF(A111="YES", B95, 0)</f>
        <v>0</v>
      </c>
      <c r="C186" s="353"/>
      <c r="D186" s="103" t="n">
        <f aca="false">B97</f>
        <v>740.86210725651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210.99996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710.98996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1476.99972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210.99996</v>
      </c>
      <c r="C211" s="320" t="s">
        <v>219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1605.98976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1476.99972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210.99996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1605.98976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74.6789004114563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21099.996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B66*B69</f>
        <v>1476.99972</v>
      </c>
      <c r="C70" s="215" t="n">
        <v>10000</v>
      </c>
      <c r="D70" s="291" t="n">
        <f aca="false">B70-A149</f>
        <v>1476.99972</v>
      </c>
      <c r="E70" s="216" t="n">
        <f aca="false">D70/12</f>
        <v>123.08331</v>
      </c>
      <c r="F70" s="63"/>
      <c r="G70" s="285" t="s">
        <v>91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91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B66*B72</f>
        <v>210.99996</v>
      </c>
      <c r="C73" s="215"/>
      <c r="D73" s="291"/>
      <c r="E73" s="216"/>
      <c r="F73" s="63"/>
      <c r="G73" s="285" t="s">
        <v>94</v>
      </c>
      <c r="H73" s="133" t="n">
        <f aca="false">H67*H72</f>
        <v>202.63</v>
      </c>
      <c r="I73" s="215"/>
      <c r="J73" s="291"/>
      <c r="K73" s="216"/>
      <c r="L73" s="63"/>
      <c r="M73" s="285" t="s">
        <v>94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2434.91638666667</v>
      </c>
      <c r="C87" s="215"/>
      <c r="D87" s="215"/>
      <c r="E87" s="216"/>
      <c r="F87" s="63"/>
      <c r="G87" s="303" t="s">
        <v>103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103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202.909698888889</v>
      </c>
      <c r="C88" s="215"/>
      <c r="D88" s="215"/>
      <c r="E88" s="216"/>
      <c r="F88" s="63"/>
      <c r="G88" s="214" t="s">
        <v>104</v>
      </c>
      <c r="H88" s="300" t="n">
        <f aca="false">H87/H29</f>
        <v>499.200277777778</v>
      </c>
      <c r="I88" s="215"/>
      <c r="J88" s="215"/>
      <c r="K88" s="216"/>
      <c r="L88" s="63"/>
      <c r="M88" s="214" t="s">
        <v>104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((B89*H29)+B87)*1.2</f>
        <v>10136.299664</v>
      </c>
      <c r="C91" s="215"/>
      <c r="D91" s="215"/>
      <c r="E91" s="216"/>
      <c r="F91" s="63"/>
      <c r="G91" s="288" t="s">
        <v>115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115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71.5551610004034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116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10207.8548250004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850.654568750034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850.654568750034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130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19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</v>
      </c>
      <c r="E118" s="107" t="n">
        <v>6000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850.654568750034</v>
      </c>
      <c r="B134" s="321" t="n">
        <f aca="false">IF(A111="YES", B95, 0)</f>
        <v>0</v>
      </c>
      <c r="C134" s="326"/>
      <c r="D134" s="321" t="n">
        <f aca="false">B97</f>
        <v>850.654568750034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850.654568750034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850.654568750034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850.654568750034</v>
      </c>
      <c r="B143" s="38" t="n">
        <f aca="false">IF(A111="YES", B95, 0)</f>
        <v>0</v>
      </c>
      <c r="C143" s="317"/>
      <c r="D143" s="38" t="n">
        <f aca="false">B97</f>
        <v>850.654568750034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210.99996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310.991626666667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850.654568750034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850.654568750034</v>
      </c>
      <c r="B177" s="355" t="n">
        <f aca="false">IF(A111="YES", B95, 0)</f>
        <v>0</v>
      </c>
      <c r="C177" s="358"/>
      <c r="D177" s="355" t="n">
        <f aca="false">B91</f>
        <v>10136.299664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850.654568750034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850.654568750034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850.654568750034</v>
      </c>
      <c r="B186" s="103" t="n">
        <f aca="false">IF(A111="YES", B95, 0)</f>
        <v>0</v>
      </c>
      <c r="C186" s="353"/>
      <c r="D186" s="103" t="n">
        <f aca="false">B97</f>
        <v>850.654568750034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210.99996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310.991626666667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1476.99972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210.99996</v>
      </c>
      <c r="C211" s="320" t="s">
        <v>219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1365.99142666667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1476.99972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210.99996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0</v>
      </c>
      <c r="C221" s="336" t="s">
        <v>225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0</v>
      </c>
      <c r="C223" s="336" t="s">
        <v>220</v>
      </c>
      <c r="D223" s="317"/>
      <c r="E223" s="33" t="n">
        <f aca="false">(B217-B211+D211)</f>
        <v>1365.99142666667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71.5551610004034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21099.996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B66*B69</f>
        <v>1476.99972</v>
      </c>
      <c r="C70" s="215" t="n">
        <v>10000</v>
      </c>
      <c r="D70" s="291" t="n">
        <f aca="false">B70-A149</f>
        <v>1476.99972</v>
      </c>
      <c r="E70" s="216" t="n">
        <f aca="false">D70/12</f>
        <v>123.08331</v>
      </c>
      <c r="F70" s="63"/>
      <c r="G70" s="285" t="s">
        <v>91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91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B66*B72</f>
        <v>210.99996</v>
      </c>
      <c r="C73" s="215"/>
      <c r="D73" s="291"/>
      <c r="E73" s="216"/>
      <c r="F73" s="63"/>
      <c r="G73" s="285" t="s">
        <v>94</v>
      </c>
      <c r="H73" s="133" t="n">
        <f aca="false">H67*H72</f>
        <v>202.63</v>
      </c>
      <c r="I73" s="215"/>
      <c r="J73" s="291"/>
      <c r="K73" s="216"/>
      <c r="L73" s="63"/>
      <c r="M73" s="285" t="s">
        <v>94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3101.58305333333</v>
      </c>
      <c r="C87" s="215"/>
      <c r="D87" s="215"/>
      <c r="E87" s="216"/>
      <c r="F87" s="63"/>
      <c r="G87" s="303" t="s">
        <v>103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103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258.465254444444</v>
      </c>
      <c r="C88" s="215"/>
      <c r="D88" s="215"/>
      <c r="E88" s="216"/>
      <c r="F88" s="63"/>
      <c r="G88" s="214" t="s">
        <v>104</v>
      </c>
      <c r="H88" s="300" t="n">
        <f aca="false">H87/H29</f>
        <v>499.200277777778</v>
      </c>
      <c r="I88" s="215"/>
      <c r="J88" s="215"/>
      <c r="K88" s="216"/>
      <c r="L88" s="63"/>
      <c r="M88" s="214" t="s">
        <v>104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</f>
        <v>9113.58305333333</v>
      </c>
      <c r="C91" s="215"/>
      <c r="D91" s="215"/>
      <c r="E91" s="216"/>
      <c r="F91" s="63"/>
      <c r="G91" s="288" t="s">
        <v>115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115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77.2025994836628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116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9190.785652817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765.898804401416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765.898804401416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351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352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19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</v>
      </c>
      <c r="E118" s="107" t="n">
        <v>6000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765.898804401416</v>
      </c>
      <c r="B134" s="321" t="n">
        <f aca="false">IF(A111="YES", B95, 0)</f>
        <v>0</v>
      </c>
      <c r="C134" s="326"/>
      <c r="D134" s="321" t="n">
        <f aca="false">B97</f>
        <v>765.898804401416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6893.08923961275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6893.08923961275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765.898804401416</v>
      </c>
      <c r="B143" s="38" t="n">
        <f aca="false">IF(A111="YES", B95, 0)</f>
        <v>0</v>
      </c>
      <c r="C143" s="317"/>
      <c r="D143" s="38" t="n">
        <f aca="false">B97</f>
        <v>765.898804401416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210.99996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710.98996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765.898804401416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765.898804401416</v>
      </c>
      <c r="B177" s="355" t="n">
        <f aca="false">IF(A111="YES", B95, 0)</f>
        <v>0</v>
      </c>
      <c r="C177" s="358"/>
      <c r="D177" s="355" t="n">
        <f aca="false">B91</f>
        <v>9113.58305333333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6893.08923961275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6893.08923961275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765.898804401416</v>
      </c>
      <c r="B186" s="103" t="n">
        <f aca="false">IF(A111="YES", B95, 0)</f>
        <v>0</v>
      </c>
      <c r="C186" s="353"/>
      <c r="D186" s="103" t="n">
        <f aca="false">B97</f>
        <v>765.898804401416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210.99996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710.98996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1476.99972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210.99996</v>
      </c>
      <c r="C211" s="320" t="s">
        <v>219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1605.98976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1476.99972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210.99996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1605.98976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77.2025994836628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128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126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83</v>
      </c>
      <c r="K29" s="448" t="n">
        <v>35</v>
      </c>
      <c r="P29" s="212"/>
    </row>
    <row r="30" customFormat="false" ht="17.9" hidden="false" customHeight="false" outlineLevel="0" collapsed="false">
      <c r="A30" s="31" t="s">
        <v>183</v>
      </c>
      <c r="B30" s="104" t="s">
        <v>348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0</v>
      </c>
      <c r="P31" s="212"/>
    </row>
    <row r="32" customFormat="false" ht="34.3" hidden="false" customHeight="false" outlineLevel="0" collapsed="false">
      <c r="A32" s="31" t="s">
        <v>83</v>
      </c>
      <c r="B32" s="93" t="s">
        <v>84</v>
      </c>
      <c r="C32" s="93"/>
      <c r="D32" s="93"/>
      <c r="E32" s="93" t="s">
        <v>354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552.861519485774</v>
      </c>
      <c r="F33" s="232"/>
      <c r="G33" s="232"/>
      <c r="H33" s="47"/>
      <c r="I33" s="2"/>
      <c r="J33" s="34" t="s">
        <v>355</v>
      </c>
      <c r="K33" s="48" t="n">
        <f aca="false">E21</f>
        <v>17583.33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552.861519485774</v>
      </c>
      <c r="B36" s="232" t="str">
        <f aca="false">IF(B26="YES", K42, "0.00")</f>
        <v>0.00</v>
      </c>
      <c r="C36" s="232"/>
      <c r="D36" s="232"/>
      <c r="E36" s="232" t="n">
        <f aca="false">K31</f>
        <v>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85</v>
      </c>
      <c r="K39" s="2" t="n">
        <f aca="false">K33</f>
        <v>17583.33</v>
      </c>
      <c r="L39" s="2" t="n">
        <f aca="false">(L47*K46)+K44</f>
        <v>25443.3768750692</v>
      </c>
      <c r="N39" s="1" t="n">
        <f aca="false">K39-L39</f>
        <v>-7860.04687506925</v>
      </c>
      <c r="P39" s="212"/>
    </row>
    <row r="40" customFormat="false" ht="17.35" hidden="false" customHeight="false" outlineLevel="0" collapsed="false">
      <c r="A40" s="107" t="n">
        <f aca="false">E36*A45/100</f>
        <v>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107</v>
      </c>
      <c r="K40" s="2" t="n">
        <f aca="false">(A40)/1.2</f>
        <v>0</v>
      </c>
      <c r="L40" s="2" t="n">
        <f aca="false">K39-L39</f>
        <v>-7860.04687506925</v>
      </c>
      <c r="N40" s="1" t="n">
        <f aca="false">N38-N39</f>
        <v>10771.7268750692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77</v>
      </c>
      <c r="B44" s="93"/>
      <c r="C44" s="291" t="s">
        <v>78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0</v>
      </c>
      <c r="L44" s="2"/>
      <c r="P44" s="212"/>
    </row>
    <row r="45" customFormat="false" ht="17.35" hidden="false" customHeight="false" outlineLevel="0" collapsed="false">
      <c r="A45" s="450" t="n">
        <v>30</v>
      </c>
      <c r="B45" s="93"/>
      <c r="C45" s="62" t="n">
        <v>100</v>
      </c>
      <c r="D45" s="62"/>
      <c r="E45" s="62"/>
      <c r="F45" s="93"/>
      <c r="G45" s="93"/>
      <c r="H45" s="33"/>
      <c r="J45" s="2" t="s">
        <v>366</v>
      </c>
      <c r="K45" s="2" t="n">
        <f aca="false">(K39-K44)</f>
        <v>17583.33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552.861519485774</v>
      </c>
      <c r="L47" s="2" t="n">
        <f aca="false">L49-K42</f>
        <v>800</v>
      </c>
      <c r="M47" s="1" t="n">
        <f aca="false">K47-L47</f>
        <v>-247.138480514226</v>
      </c>
      <c r="P47" s="212"/>
    </row>
    <row r="48" customFormat="false" ht="31.8" hidden="false" customHeight="false" outlineLevel="0" collapsed="false">
      <c r="A48" s="66" t="s">
        <v>82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552.861519485774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83</v>
      </c>
      <c r="B50" s="71" t="s">
        <v>84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552.861519485774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85</v>
      </c>
      <c r="B58" s="93" t="n">
        <v>1</v>
      </c>
      <c r="C58" s="93"/>
      <c r="D58" s="93"/>
      <c r="E58" s="113"/>
      <c r="F58" s="113"/>
      <c r="G58" s="113"/>
      <c r="H58" s="33"/>
      <c r="J58" s="31" t="s">
        <v>85</v>
      </c>
      <c r="K58" s="93" t="n">
        <v>1</v>
      </c>
      <c r="L58" s="93"/>
      <c r="M58" s="93"/>
      <c r="N58" s="113"/>
      <c r="O58" s="113"/>
      <c r="P58" s="113"/>
      <c r="Q58" s="33"/>
      <c r="S58" s="31" t="s">
        <v>85</v>
      </c>
      <c r="T58" s="93" t="n">
        <v>1</v>
      </c>
      <c r="U58" s="93"/>
      <c r="V58" s="93"/>
      <c r="W58" s="113"/>
      <c r="X58" s="113"/>
      <c r="Y58" s="113"/>
      <c r="Z58" s="33"/>
      <c r="AB58" s="31" t="s">
        <v>85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86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86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86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86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87</v>
      </c>
      <c r="B60" s="77" t="n">
        <v>10</v>
      </c>
      <c r="C60" s="93"/>
      <c r="D60" s="93"/>
      <c r="E60" s="113"/>
      <c r="F60" s="113"/>
      <c r="G60" s="113"/>
      <c r="H60" s="33"/>
      <c r="J60" s="76" t="s">
        <v>87</v>
      </c>
      <c r="K60" s="77" t="n">
        <v>20</v>
      </c>
      <c r="L60" s="93"/>
      <c r="M60" s="93"/>
      <c r="N60" s="113"/>
      <c r="O60" s="113"/>
      <c r="P60" s="113"/>
      <c r="Q60" s="33"/>
      <c r="S60" s="76" t="s">
        <v>87</v>
      </c>
      <c r="T60" s="77" t="n">
        <v>10</v>
      </c>
      <c r="U60" s="93"/>
      <c r="V60" s="93"/>
      <c r="W60" s="113"/>
      <c r="X60" s="113"/>
      <c r="Y60" s="113"/>
      <c r="Z60" s="33"/>
      <c r="AB60" s="76" t="s">
        <v>87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88</v>
      </c>
      <c r="B62" s="256" t="n">
        <v>0</v>
      </c>
      <c r="C62" s="93"/>
      <c r="D62" s="93"/>
      <c r="E62" s="113"/>
      <c r="F62" s="113"/>
      <c r="G62" s="113"/>
      <c r="H62" s="33"/>
      <c r="J62" s="78" t="s">
        <v>88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88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88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89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89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89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89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90</v>
      </c>
      <c r="K64" s="258" t="n">
        <v>0.1</v>
      </c>
      <c r="L64" s="93"/>
      <c r="M64" s="93"/>
      <c r="N64" s="113"/>
      <c r="O64" s="113"/>
      <c r="P64" s="113"/>
      <c r="Q64" s="33"/>
      <c r="S64" s="82" t="s">
        <v>90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90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91</v>
      </c>
      <c r="B65" s="65" t="n">
        <f aca="false">(B89*B59)-(K47*K29)</f>
        <v>5356.14215907465</v>
      </c>
      <c r="C65" s="93"/>
      <c r="D65" s="93"/>
      <c r="E65" s="113"/>
      <c r="F65" s="113"/>
      <c r="G65" s="113"/>
      <c r="H65" s="33"/>
      <c r="J65" s="56" t="s">
        <v>91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91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91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92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92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92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93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93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93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93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94</v>
      </c>
      <c r="B68" s="65" t="n">
        <f aca="false">(G158*B67)/1.2</f>
        <v>171.354134027778</v>
      </c>
      <c r="C68" s="93"/>
      <c r="D68" s="93"/>
      <c r="E68" s="113"/>
      <c r="F68" s="113"/>
      <c r="G68" s="113"/>
      <c r="H68" s="33"/>
      <c r="J68" s="56" t="s">
        <v>94</v>
      </c>
      <c r="K68" s="65" t="n">
        <f aca="false">K61*K67</f>
        <v>2997.23541666667</v>
      </c>
      <c r="L68" s="93"/>
      <c r="M68" s="93"/>
      <c r="N68" s="113"/>
      <c r="O68" s="113"/>
      <c r="P68" s="113"/>
      <c r="Q68" s="33"/>
      <c r="S68" s="56" t="s">
        <v>94</v>
      </c>
      <c r="T68" s="65" t="n">
        <f aca="false">T61*T67</f>
        <v>396.817083333333</v>
      </c>
      <c r="U68" s="93"/>
      <c r="V68" s="93"/>
      <c r="W68" s="113"/>
      <c r="X68" s="113"/>
      <c r="Y68" s="113"/>
      <c r="Z68" s="33"/>
      <c r="AB68" s="56" t="s">
        <v>94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95</v>
      </c>
      <c r="B69" s="256" t="n">
        <v>0</v>
      </c>
      <c r="C69" s="93"/>
      <c r="D69" s="93"/>
      <c r="E69" s="113"/>
      <c r="F69" s="113"/>
      <c r="G69" s="113"/>
      <c r="H69" s="33"/>
      <c r="J69" s="78" t="s">
        <v>95</v>
      </c>
      <c r="K69" s="256" t="n">
        <v>0</v>
      </c>
      <c r="L69" s="93"/>
      <c r="M69" s="93"/>
      <c r="N69" s="113"/>
      <c r="O69" s="113"/>
      <c r="P69" s="113"/>
      <c r="Q69" s="33"/>
      <c r="S69" s="78" t="s">
        <v>95</v>
      </c>
      <c r="T69" s="256" t="n">
        <v>0</v>
      </c>
      <c r="U69" s="93"/>
      <c r="V69" s="93"/>
      <c r="W69" s="113"/>
      <c r="X69" s="113"/>
      <c r="Y69" s="113"/>
      <c r="Z69" s="33"/>
      <c r="AB69" s="78" t="s">
        <v>95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96</v>
      </c>
      <c r="B70" s="257" t="n">
        <v>0</v>
      </c>
      <c r="C70" s="93"/>
      <c r="D70" s="93"/>
      <c r="E70" s="113"/>
      <c r="F70" s="113"/>
      <c r="G70" s="113"/>
      <c r="H70" s="33"/>
      <c r="J70" s="80" t="s">
        <v>96</v>
      </c>
      <c r="K70" s="257" t="n">
        <v>0</v>
      </c>
      <c r="L70" s="93"/>
      <c r="M70" s="93"/>
      <c r="N70" s="113"/>
      <c r="O70" s="113"/>
      <c r="P70" s="113"/>
      <c r="Q70" s="33"/>
      <c r="S70" s="80" t="s">
        <v>96</v>
      </c>
      <c r="T70" s="257" t="n">
        <v>0</v>
      </c>
      <c r="U70" s="93"/>
      <c r="V70" s="93"/>
      <c r="W70" s="113"/>
      <c r="X70" s="113"/>
      <c r="Y70" s="113"/>
      <c r="Z70" s="33"/>
      <c r="AB70" s="80" t="s">
        <v>96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97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97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97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98</v>
      </c>
      <c r="B72" s="86" t="n">
        <v>0</v>
      </c>
      <c r="C72" s="93"/>
      <c r="D72" s="93"/>
      <c r="E72" s="113"/>
      <c r="F72" s="113"/>
      <c r="G72" s="113"/>
      <c r="H72" s="33"/>
      <c r="J72" s="78" t="s">
        <v>98</v>
      </c>
      <c r="K72" s="86" t="n">
        <v>0</v>
      </c>
      <c r="L72" s="93"/>
      <c r="M72" s="93"/>
      <c r="N72" s="113"/>
      <c r="O72" s="113"/>
      <c r="P72" s="113"/>
      <c r="Q72" s="33"/>
      <c r="S72" s="78" t="s">
        <v>98</v>
      </c>
      <c r="T72" s="86" t="n">
        <v>0</v>
      </c>
      <c r="U72" s="93"/>
      <c r="V72" s="93"/>
      <c r="W72" s="113"/>
      <c r="X72" s="113"/>
      <c r="Y72" s="113"/>
      <c r="Z72" s="33"/>
      <c r="AB72" s="78" t="s">
        <v>98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99</v>
      </c>
      <c r="B73" s="77" t="n">
        <v>0</v>
      </c>
      <c r="C73" s="93"/>
      <c r="D73" s="93"/>
      <c r="E73" s="113"/>
      <c r="F73" s="113"/>
      <c r="G73" s="113"/>
      <c r="H73" s="33"/>
      <c r="J73" s="80" t="s">
        <v>99</v>
      </c>
      <c r="K73" s="77" t="n">
        <v>0</v>
      </c>
      <c r="L73" s="93"/>
      <c r="M73" s="93"/>
      <c r="N73" s="113"/>
      <c r="O73" s="113"/>
      <c r="P73" s="113"/>
      <c r="Q73" s="33"/>
      <c r="S73" s="80" t="s">
        <v>99</v>
      </c>
      <c r="T73" s="77" t="n">
        <v>0</v>
      </c>
      <c r="U73" s="93"/>
      <c r="V73" s="93"/>
      <c r="W73" s="113"/>
      <c r="X73" s="113"/>
      <c r="Y73" s="113"/>
      <c r="Z73" s="33"/>
      <c r="AB73" s="80" t="s">
        <v>99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100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100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100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100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101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101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101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101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102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102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102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102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103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103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103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104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104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104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104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105</v>
      </c>
      <c r="B79" s="59" t="n">
        <f aca="false">K47</f>
        <v>552.861519485774</v>
      </c>
      <c r="C79" s="93"/>
      <c r="D79" s="93"/>
      <c r="E79" s="113"/>
      <c r="F79" s="113"/>
      <c r="G79" s="113"/>
      <c r="H79" s="33"/>
      <c r="J79" s="90" t="s">
        <v>105</v>
      </c>
      <c r="K79" s="59" t="n">
        <f aca="false">K47</f>
        <v>552.861519485774</v>
      </c>
      <c r="L79" s="93"/>
      <c r="M79" s="93"/>
      <c r="N79" s="113"/>
      <c r="O79" s="113"/>
      <c r="P79" s="113"/>
      <c r="Q79" s="33"/>
      <c r="S79" s="90" t="s">
        <v>105</v>
      </c>
      <c r="T79" s="59" t="n">
        <f aca="false">B52</f>
        <v>552.861519485774</v>
      </c>
      <c r="U79" s="93"/>
      <c r="V79" s="93"/>
      <c r="W79" s="113"/>
      <c r="X79" s="113"/>
      <c r="Y79" s="113"/>
      <c r="Z79" s="33"/>
      <c r="AB79" s="90" t="s">
        <v>105</v>
      </c>
      <c r="AC79" s="59" t="n">
        <f aca="false">B52</f>
        <v>552.861519485774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106</v>
      </c>
      <c r="B81" s="27" t="n">
        <f aca="false">G158</f>
        <v>20999.996</v>
      </c>
      <c r="C81" s="93"/>
      <c r="D81" s="93"/>
      <c r="E81" s="113"/>
      <c r="F81" s="25" t="s">
        <v>106</v>
      </c>
      <c r="G81" s="27" t="n">
        <f aca="false">G158</f>
        <v>20999.996</v>
      </c>
      <c r="H81" s="33"/>
      <c r="J81" s="25" t="s">
        <v>106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106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106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107</v>
      </c>
      <c r="B82" s="33" t="n">
        <f aca="false">IF(A111="YES",A40,0)</f>
        <v>0</v>
      </c>
      <c r="C82" s="93"/>
      <c r="D82" s="93"/>
      <c r="E82" s="113"/>
      <c r="F82" s="31" t="s">
        <v>107</v>
      </c>
      <c r="G82" s="33" t="n">
        <f aca="false">IF(A111="YES",A40,0)</f>
        <v>0</v>
      </c>
      <c r="H82" s="33"/>
      <c r="J82" s="31" t="s">
        <v>107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107</v>
      </c>
      <c r="T82" s="33" t="n">
        <f aca="false">A40</f>
        <v>0</v>
      </c>
      <c r="U82" s="93"/>
      <c r="V82" s="93"/>
      <c r="W82" s="113"/>
      <c r="X82" s="113"/>
      <c r="Y82" s="113"/>
      <c r="Z82" s="33"/>
      <c r="AB82" s="31" t="s">
        <v>107</v>
      </c>
      <c r="AC82" s="33" t="n">
        <f aca="false">A40</f>
        <v>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0.115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31" t="s">
        <v>108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108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108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109</v>
      </c>
      <c r="B84" s="92" t="n">
        <f aca="false">B83/12</f>
        <v>0.00958333333333333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31" t="s">
        <v>109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109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109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110</v>
      </c>
      <c r="B85" s="33" t="n">
        <f aca="false">B59</f>
        <v>34</v>
      </c>
      <c r="C85" s="93"/>
      <c r="D85" s="93"/>
      <c r="E85" s="113"/>
      <c r="F85" s="31" t="s">
        <v>110</v>
      </c>
      <c r="G85" s="33" t="n">
        <f aca="false">IF(G82=0, (B59+B58), (B59))</f>
        <v>35</v>
      </c>
      <c r="H85" s="33"/>
      <c r="J85" s="31" t="s">
        <v>110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110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110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0</v>
      </c>
      <c r="C86" s="93"/>
      <c r="D86" s="93"/>
      <c r="E86" s="113"/>
      <c r="F86" s="31" t="s">
        <v>111</v>
      </c>
      <c r="G86" s="33" t="n">
        <f aca="false">(G82/((1+G84)^(G85+1)))</f>
        <v>0</v>
      </c>
      <c r="H86" s="33"/>
      <c r="J86" s="31" t="s">
        <v>111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111</v>
      </c>
      <c r="T86" s="33" t="n">
        <f aca="false">(T82/((1+T84)^(T85+1)))</f>
        <v>0</v>
      </c>
      <c r="U86" s="93"/>
      <c r="V86" s="93"/>
      <c r="W86" s="113"/>
      <c r="X86" s="113"/>
      <c r="Y86" s="113"/>
      <c r="Z86" s="33"/>
      <c r="AB86" s="31" t="s">
        <v>111</v>
      </c>
      <c r="AC86" s="33" t="n">
        <f aca="false">(AC82/((1+AC84)^(AC85+1)))</f>
        <v>0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28.8995114056174</v>
      </c>
      <c r="C87" s="93"/>
      <c r="D87" s="93"/>
      <c r="E87" s="113"/>
      <c r="F87" s="31" t="s">
        <v>112</v>
      </c>
      <c r="G87" s="33" t="n">
        <f aca="false">((1-(1/((1+G84)^G85)))/G84)</f>
        <v>31.8042210938366</v>
      </c>
      <c r="H87" s="33"/>
      <c r="J87" s="31" t="s">
        <v>112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112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112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113</v>
      </c>
      <c r="B88" s="33" t="n">
        <f aca="false">B81-B86</f>
        <v>20999.996</v>
      </c>
      <c r="C88" s="93"/>
      <c r="D88" s="93"/>
      <c r="E88" s="113"/>
      <c r="F88" s="31" t="s">
        <v>113</v>
      </c>
      <c r="G88" s="33" t="n">
        <f aca="false">G81-G86</f>
        <v>20999.996</v>
      </c>
      <c r="H88" s="33"/>
      <c r="J88" s="31" t="s">
        <v>113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113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113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114</v>
      </c>
      <c r="B89" s="33" t="n">
        <f aca="false">(B88/B87)</f>
        <v>726.655745325787</v>
      </c>
      <c r="C89" s="93"/>
      <c r="D89" s="93"/>
      <c r="E89" s="113"/>
      <c r="F89" s="31" t="s">
        <v>114</v>
      </c>
      <c r="G89" s="33" t="n">
        <f aca="false">(G88/G87)</f>
        <v>660.289586657089</v>
      </c>
      <c r="H89" s="33"/>
      <c r="J89" s="31" t="s">
        <v>114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114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114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24706.2953410768</v>
      </c>
      <c r="C90" s="93"/>
      <c r="D90" s="93"/>
      <c r="E90" s="113"/>
      <c r="F90" s="31" t="s">
        <v>115</v>
      </c>
      <c r="G90" s="33" t="n">
        <f aca="false">((G89*(G85))+G77)</f>
        <v>23110.1355329981</v>
      </c>
      <c r="H90" s="33"/>
      <c r="J90" s="31" t="s">
        <v>115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115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115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31" t="s">
        <v>116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116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116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117</v>
      </c>
      <c r="B92" s="65" t="n">
        <f aca="false">(B90+B91)</f>
        <v>24706.2953410768</v>
      </c>
      <c r="C92" s="93"/>
      <c r="D92" s="93"/>
      <c r="E92" s="113"/>
      <c r="F92" s="56" t="s">
        <v>117</v>
      </c>
      <c r="G92" s="65" t="n">
        <f aca="false">(G90+G91)</f>
        <v>23110.1355329981</v>
      </c>
      <c r="H92" s="33"/>
      <c r="J92" s="56" t="s">
        <v>117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117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117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118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88" t="s">
        <v>118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118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118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119</v>
      </c>
      <c r="B95" s="96" t="n">
        <f aca="false">(B92/B85)</f>
        <v>726.655745325787</v>
      </c>
      <c r="C95" s="93"/>
      <c r="D95" s="93"/>
      <c r="E95" s="113"/>
      <c r="F95" s="95" t="s">
        <v>119</v>
      </c>
      <c r="G95" s="96" t="n">
        <f aca="false">G92/(G85)</f>
        <v>660.289586657089</v>
      </c>
      <c r="H95" s="33"/>
      <c r="J95" s="95" t="s">
        <v>119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119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119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120</v>
      </c>
      <c r="B96" s="98" t="n">
        <f aca="false">B94+B95</f>
        <v>726.655745325787</v>
      </c>
      <c r="C96" s="93"/>
      <c r="D96" s="93"/>
      <c r="E96" s="113"/>
      <c r="F96" s="97" t="s">
        <v>120</v>
      </c>
      <c r="G96" s="98" t="n">
        <f aca="false">G94+G95</f>
        <v>660.289586657089</v>
      </c>
      <c r="H96" s="33"/>
      <c r="J96" s="97" t="s">
        <v>120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120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120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123</v>
      </c>
      <c r="K100" s="100"/>
      <c r="L100" s="100"/>
      <c r="M100" s="100"/>
      <c r="N100" s="100"/>
      <c r="O100" s="100"/>
      <c r="P100" s="100"/>
      <c r="Q100" s="100"/>
      <c r="S100" s="100" t="s">
        <v>124</v>
      </c>
      <c r="T100" s="100"/>
      <c r="U100" s="100"/>
      <c r="V100" s="100"/>
      <c r="W100" s="100"/>
      <c r="X100" s="100"/>
      <c r="Y100" s="100"/>
      <c r="Z100" s="100"/>
      <c r="AB100" s="100" t="s">
        <v>125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8" t="s">
        <v>126</v>
      </c>
      <c r="K102" s="28"/>
      <c r="L102" s="28"/>
      <c r="M102" s="28"/>
      <c r="N102" s="28"/>
      <c r="O102" s="28"/>
      <c r="P102" s="28"/>
      <c r="Q102" s="28"/>
      <c r="S102" s="28" t="s">
        <v>126</v>
      </c>
      <c r="T102" s="28"/>
      <c r="U102" s="28"/>
      <c r="V102" s="28"/>
      <c r="W102" s="28"/>
      <c r="X102" s="28"/>
      <c r="Y102" s="28"/>
      <c r="Z102" s="28"/>
      <c r="AB102" s="28" t="s">
        <v>126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31" t="s">
        <v>127</v>
      </c>
      <c r="K104" s="93" t="s">
        <v>23</v>
      </c>
      <c r="L104" s="93"/>
      <c r="M104" s="93"/>
      <c r="N104" s="93" t="s">
        <v>128</v>
      </c>
      <c r="O104" s="93"/>
      <c r="P104" s="93"/>
      <c r="Q104" s="33"/>
      <c r="S104" s="31" t="s">
        <v>127</v>
      </c>
      <c r="T104" s="93" t="s">
        <v>23</v>
      </c>
      <c r="U104" s="93"/>
      <c r="V104" s="93"/>
      <c r="W104" s="93" t="s">
        <v>128</v>
      </c>
      <c r="X104" s="93"/>
      <c r="Y104" s="93"/>
      <c r="Z104" s="33"/>
      <c r="AB104" s="31" t="s">
        <v>127</v>
      </c>
      <c r="AC104" s="93" t="s">
        <v>23</v>
      </c>
      <c r="AD104" s="93"/>
      <c r="AE104" s="93"/>
      <c r="AF104" s="93" t="s">
        <v>128</v>
      </c>
      <c r="AG104" s="93"/>
      <c r="AH104" s="93"/>
      <c r="AI104" s="33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451" t="s">
        <v>19</v>
      </c>
      <c r="F105" s="451"/>
      <c r="G105" s="451"/>
      <c r="H105" s="102"/>
      <c r="J105" s="36" t="s">
        <v>129</v>
      </c>
      <c r="K105" s="103" t="s">
        <v>130</v>
      </c>
      <c r="L105" s="103"/>
      <c r="M105" s="103"/>
      <c r="N105" s="104" t="s">
        <v>18</v>
      </c>
      <c r="O105" s="104"/>
      <c r="P105" s="104"/>
      <c r="Q105" s="102"/>
      <c r="S105" s="36" t="s">
        <v>129</v>
      </c>
      <c r="T105" s="103" t="s">
        <v>130</v>
      </c>
      <c r="U105" s="103"/>
      <c r="V105" s="103"/>
      <c r="W105" s="104" t="s">
        <v>18</v>
      </c>
      <c r="X105" s="104"/>
      <c r="Y105" s="104"/>
      <c r="Z105" s="102"/>
      <c r="AB105" s="36" t="s">
        <v>129</v>
      </c>
      <c r="AC105" s="103" t="s">
        <v>130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31" t="s">
        <v>131</v>
      </c>
      <c r="K107" s="93" t="s">
        <v>132</v>
      </c>
      <c r="L107" s="93"/>
      <c r="M107" s="113"/>
      <c r="N107" s="93" t="s">
        <v>133</v>
      </c>
      <c r="O107" s="93"/>
      <c r="P107" s="113"/>
      <c r="Q107" s="102"/>
      <c r="S107" s="31" t="s">
        <v>131</v>
      </c>
      <c r="T107" s="93" t="s">
        <v>132</v>
      </c>
      <c r="U107" s="93"/>
      <c r="V107" s="113"/>
      <c r="W107" s="93" t="s">
        <v>133</v>
      </c>
      <c r="X107" s="93"/>
      <c r="Y107" s="113"/>
      <c r="Z107" s="102"/>
      <c r="AB107" s="31" t="s">
        <v>131</v>
      </c>
      <c r="AC107" s="93" t="s">
        <v>132</v>
      </c>
      <c r="AD107" s="93"/>
      <c r="AE107" s="113"/>
      <c r="AF107" s="93" t="s">
        <v>133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106" t="n">
        <v>0.3</v>
      </c>
      <c r="K108" s="107" t="s">
        <v>134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135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135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31" t="s">
        <v>137</v>
      </c>
      <c r="K110" s="93" t="s">
        <v>138</v>
      </c>
      <c r="L110" s="93"/>
      <c r="M110" s="93"/>
      <c r="N110" s="93" t="s">
        <v>139</v>
      </c>
      <c r="O110" s="93"/>
      <c r="P110" s="93"/>
      <c r="Q110" s="33"/>
      <c r="S110" s="31" t="s">
        <v>137</v>
      </c>
      <c r="T110" s="93" t="s">
        <v>138</v>
      </c>
      <c r="U110" s="93"/>
      <c r="V110" s="93"/>
      <c r="W110" s="93" t="s">
        <v>139</v>
      </c>
      <c r="X110" s="93"/>
      <c r="Y110" s="93"/>
      <c r="Z110" s="33"/>
      <c r="AB110" s="31" t="s">
        <v>137</v>
      </c>
      <c r="AC110" s="93" t="s">
        <v>138</v>
      </c>
      <c r="AD110" s="93"/>
      <c r="AE110" s="93"/>
      <c r="AF110" s="93" t="s">
        <v>139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110" t="s">
        <v>140</v>
      </c>
      <c r="K113" s="93" t="s">
        <v>141</v>
      </c>
      <c r="L113" s="93"/>
      <c r="M113" s="93"/>
      <c r="N113" s="93" t="s">
        <v>142</v>
      </c>
      <c r="O113" s="93"/>
      <c r="P113" s="113"/>
      <c r="Q113" s="102"/>
      <c r="S113" s="110" t="s">
        <v>140</v>
      </c>
      <c r="T113" s="93" t="s">
        <v>141</v>
      </c>
      <c r="U113" s="93"/>
      <c r="V113" s="93"/>
      <c r="W113" s="93" t="s">
        <v>142</v>
      </c>
      <c r="X113" s="93"/>
      <c r="Y113" s="113"/>
      <c r="Z113" s="102"/>
      <c r="AB113" s="110" t="s">
        <v>140</v>
      </c>
      <c r="AC113" s="93" t="s">
        <v>141</v>
      </c>
      <c r="AD113" s="93"/>
      <c r="AE113" s="93"/>
      <c r="AF113" s="93" t="s">
        <v>142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143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8" t="s">
        <v>144</v>
      </c>
      <c r="K117" s="28"/>
      <c r="L117" s="28"/>
      <c r="M117" s="28"/>
      <c r="N117" s="28"/>
      <c r="O117" s="28"/>
      <c r="P117" s="28"/>
      <c r="Q117" s="28"/>
      <c r="S117" s="28" t="s">
        <v>144</v>
      </c>
      <c r="T117" s="28"/>
      <c r="U117" s="28"/>
      <c r="V117" s="28"/>
      <c r="W117" s="28"/>
      <c r="X117" s="28"/>
      <c r="Y117" s="28"/>
      <c r="Z117" s="28"/>
      <c r="AB117" s="28" t="s">
        <v>144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78"/>
      <c r="K119" s="114" t="s">
        <v>145</v>
      </c>
      <c r="L119" s="114"/>
      <c r="M119" s="114" t="s">
        <v>146</v>
      </c>
      <c r="N119" s="114"/>
      <c r="O119" s="114" t="s">
        <v>147</v>
      </c>
      <c r="P119" s="114"/>
      <c r="Q119" s="115" t="s">
        <v>148</v>
      </c>
      <c r="S119" s="78"/>
      <c r="T119" s="114" t="s">
        <v>145</v>
      </c>
      <c r="U119" s="114"/>
      <c r="V119" s="114" t="s">
        <v>146</v>
      </c>
      <c r="W119" s="114"/>
      <c r="X119" s="114" t="s">
        <v>147</v>
      </c>
      <c r="Y119" s="114"/>
      <c r="Z119" s="115" t="s">
        <v>148</v>
      </c>
      <c r="AB119" s="78"/>
      <c r="AC119" s="114" t="s">
        <v>145</v>
      </c>
      <c r="AD119" s="114"/>
      <c r="AE119" s="114" t="s">
        <v>146</v>
      </c>
      <c r="AF119" s="114"/>
      <c r="AG119" s="114" t="s">
        <v>147</v>
      </c>
      <c r="AH119" s="114"/>
      <c r="AI119" s="115" t="s">
        <v>148</v>
      </c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80"/>
      <c r="K120" s="116" t="s">
        <v>149</v>
      </c>
      <c r="L120" s="117" t="s">
        <v>150</v>
      </c>
      <c r="M120" s="116" t="s">
        <v>149</v>
      </c>
      <c r="N120" s="118" t="s">
        <v>150</v>
      </c>
      <c r="O120" s="116" t="s">
        <v>149</v>
      </c>
      <c r="P120" s="118" t="s">
        <v>150</v>
      </c>
      <c r="Q120" s="119"/>
      <c r="S120" s="80"/>
      <c r="T120" s="116" t="s">
        <v>149</v>
      </c>
      <c r="U120" s="117" t="s">
        <v>150</v>
      </c>
      <c r="V120" s="116" t="s">
        <v>149</v>
      </c>
      <c r="W120" s="118" t="s">
        <v>150</v>
      </c>
      <c r="X120" s="116" t="s">
        <v>149</v>
      </c>
      <c r="Y120" s="118" t="s">
        <v>150</v>
      </c>
      <c r="Z120" s="119"/>
      <c r="AB120" s="80"/>
      <c r="AC120" s="116" t="s">
        <v>149</v>
      </c>
      <c r="AD120" s="117" t="s">
        <v>150</v>
      </c>
      <c r="AE120" s="116" t="s">
        <v>149</v>
      </c>
      <c r="AF120" s="118" t="s">
        <v>150</v>
      </c>
      <c r="AG120" s="116" t="s">
        <v>149</v>
      </c>
      <c r="AH120" s="118" t="s">
        <v>150</v>
      </c>
      <c r="AI120" s="119"/>
    </row>
    <row r="121" customFormat="false" ht="17.35" hidden="false" customHeight="false" outlineLevel="0" collapsed="false">
      <c r="A121" s="25" t="s">
        <v>151</v>
      </c>
      <c r="B121" s="120" t="n">
        <f aca="false">B9</f>
        <v>17583.33</v>
      </c>
      <c r="C121" s="121" t="n">
        <v>19583.33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151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151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151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152</v>
      </c>
      <c r="K122" s="123" t="n">
        <f aca="false">B4</f>
        <v>21099.996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152</v>
      </c>
      <c r="T122" s="123" t="n">
        <f aca="false">B4</f>
        <v>21099.996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152</v>
      </c>
      <c r="AC122" s="123" t="n">
        <f aca="false">B4</f>
        <v>21099.996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153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153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153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154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154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154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155</v>
      </c>
      <c r="B125" s="132" t="n">
        <f aca="false">B121-B124</f>
        <v>17583.33</v>
      </c>
      <c r="C125" s="133" t="n">
        <f aca="false">C121-C124</f>
        <v>19583.33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155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155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155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134"/>
      <c r="K127" s="135"/>
      <c r="L127" s="135"/>
      <c r="M127" s="135"/>
      <c r="N127" s="135"/>
      <c r="O127" s="135"/>
      <c r="P127" s="136" t="s">
        <v>149</v>
      </c>
      <c r="Q127" s="137" t="s">
        <v>150</v>
      </c>
      <c r="S127" s="134"/>
      <c r="T127" s="135"/>
      <c r="U127" s="135"/>
      <c r="V127" s="135"/>
      <c r="W127" s="135"/>
      <c r="X127" s="135"/>
      <c r="Y127" s="136" t="s">
        <v>149</v>
      </c>
      <c r="Z127" s="137" t="s">
        <v>150</v>
      </c>
      <c r="AB127" s="134"/>
      <c r="AC127" s="135"/>
      <c r="AD127" s="135"/>
      <c r="AE127" s="135"/>
      <c r="AF127" s="135"/>
      <c r="AG127" s="135"/>
      <c r="AH127" s="136" t="s">
        <v>149</v>
      </c>
      <c r="AI127" s="137" t="s">
        <v>150</v>
      </c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156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156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156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147" t="s">
        <v>157</v>
      </c>
      <c r="K130" s="144" t="s">
        <v>158</v>
      </c>
      <c r="L130" s="144"/>
      <c r="M130" s="144" t="s">
        <v>159</v>
      </c>
      <c r="N130" s="144"/>
      <c r="O130" s="144" t="s">
        <v>153</v>
      </c>
      <c r="P130" s="144"/>
      <c r="Q130" s="145" t="s">
        <v>150</v>
      </c>
      <c r="S130" s="147" t="s">
        <v>157</v>
      </c>
      <c r="T130" s="144" t="s">
        <v>158</v>
      </c>
      <c r="U130" s="144"/>
      <c r="V130" s="144" t="s">
        <v>159</v>
      </c>
      <c r="W130" s="144"/>
      <c r="X130" s="144" t="s">
        <v>153</v>
      </c>
      <c r="Y130" s="144"/>
      <c r="Z130" s="145" t="s">
        <v>150</v>
      </c>
      <c r="AB130" s="147" t="s">
        <v>157</v>
      </c>
      <c r="AC130" s="144" t="s">
        <v>158</v>
      </c>
      <c r="AD130" s="144"/>
      <c r="AE130" s="144" t="s">
        <v>159</v>
      </c>
      <c r="AF130" s="144"/>
      <c r="AG130" s="144" t="s">
        <v>153</v>
      </c>
      <c r="AH130" s="144"/>
      <c r="AI130" s="145" t="s">
        <v>150</v>
      </c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160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160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160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161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161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161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162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162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162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B121</f>
        <v>17583.33</v>
      </c>
      <c r="H135" s="153" t="n">
        <f aca="false">C125+E125+G125+H128</f>
        <v>19583.33</v>
      </c>
      <c r="J135" s="152" t="s">
        <v>163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163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163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164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164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164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3516.666</v>
      </c>
      <c r="H137" s="33" t="n">
        <f aca="false">(H135+H136)*20%</f>
        <v>3916.666</v>
      </c>
      <c r="J137" s="154" t="s">
        <v>165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165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165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166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166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166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167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167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167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168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168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168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21099.996</v>
      </c>
      <c r="H141" s="157" t="n">
        <f aca="false">(H135+H136+H139+H140+H137)-H138</f>
        <v>23499.996</v>
      </c>
      <c r="J141" s="154" t="s">
        <v>169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169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169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170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170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170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111" t="s">
        <v>171</v>
      </c>
      <c r="K143" s="111"/>
      <c r="L143" s="111"/>
      <c r="M143" s="111"/>
      <c r="N143" s="111"/>
      <c r="O143" s="111"/>
      <c r="P143" s="103"/>
      <c r="Q143" s="33"/>
      <c r="S143" s="111" t="s">
        <v>171</v>
      </c>
      <c r="T143" s="111"/>
      <c r="U143" s="111"/>
      <c r="V143" s="111"/>
      <c r="W143" s="111"/>
      <c r="X143" s="111"/>
      <c r="Y143" s="103"/>
      <c r="Z143" s="33"/>
      <c r="AB143" s="111" t="s">
        <v>171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172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172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172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172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172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172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172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172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172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21099.996</v>
      </c>
      <c r="H147" s="164" t="n">
        <f aca="false">H141-((H144*1.2)+(H145*1.2)+(H146*1.2)+(H142*1.2))</f>
        <v>23499.996</v>
      </c>
      <c r="J147" s="154" t="s">
        <v>173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173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173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-15833.33</v>
      </c>
      <c r="J148" s="154" t="s">
        <v>174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174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174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8" t="s">
        <v>175</v>
      </c>
      <c r="K150" s="28"/>
      <c r="L150" s="28"/>
      <c r="M150" s="28"/>
      <c r="N150" s="28"/>
      <c r="O150" s="28"/>
      <c r="P150" s="28"/>
      <c r="Q150" s="28"/>
      <c r="S150" s="28" t="s">
        <v>175</v>
      </c>
      <c r="T150" s="28"/>
      <c r="U150" s="28"/>
      <c r="V150" s="28"/>
      <c r="W150" s="28"/>
      <c r="X150" s="28"/>
      <c r="Y150" s="28"/>
      <c r="Z150" s="28"/>
      <c r="AB150" s="28" t="s">
        <v>175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176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176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176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177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177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177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178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178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178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179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179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179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180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180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180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20999.996</v>
      </c>
      <c r="H158" s="170"/>
      <c r="J158" s="169" t="s">
        <v>181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181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181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8" t="s">
        <v>182</v>
      </c>
      <c r="K162" s="28"/>
      <c r="L162" s="28"/>
      <c r="M162" s="28"/>
      <c r="N162" s="28"/>
      <c r="O162" s="28"/>
      <c r="P162" s="28"/>
      <c r="Q162" s="28"/>
      <c r="S162" s="28" t="s">
        <v>182</v>
      </c>
      <c r="T162" s="28"/>
      <c r="U162" s="28"/>
      <c r="V162" s="28"/>
      <c r="W162" s="28"/>
      <c r="X162" s="28"/>
      <c r="Y162" s="28"/>
      <c r="Z162" s="28"/>
      <c r="AB162" s="28" t="s">
        <v>182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183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183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183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173" t="s">
        <v>184</v>
      </c>
      <c r="K166" s="174" t="s">
        <v>185</v>
      </c>
      <c r="L166" s="174"/>
      <c r="M166" s="174"/>
      <c r="N166" s="174" t="s">
        <v>186</v>
      </c>
      <c r="O166" s="23"/>
      <c r="P166" s="23"/>
      <c r="Q166" s="33"/>
      <c r="S166" s="173" t="s">
        <v>184</v>
      </c>
      <c r="T166" s="174" t="s">
        <v>185</v>
      </c>
      <c r="U166" s="174"/>
      <c r="V166" s="174"/>
      <c r="W166" s="174" t="s">
        <v>186</v>
      </c>
      <c r="X166" s="23"/>
      <c r="Y166" s="23"/>
      <c r="Z166" s="33"/>
      <c r="AB166" s="173" t="s">
        <v>184</v>
      </c>
      <c r="AC166" s="174" t="s">
        <v>185</v>
      </c>
      <c r="AD166" s="174"/>
      <c r="AE166" s="174"/>
      <c r="AF166" s="174" t="s">
        <v>186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726.655745325787</v>
      </c>
      <c r="B167" s="177" t="str">
        <f aca="false">B94</f>
        <v>0</v>
      </c>
      <c r="C167" s="174"/>
      <c r="D167" s="174"/>
      <c r="E167" s="177" t="n">
        <f aca="false">B96</f>
        <v>726.655745325787</v>
      </c>
      <c r="F167" s="23"/>
      <c r="G167" s="23" t="n">
        <f aca="false">ROUND(G95, 2)</f>
        <v>660.29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31" t="s">
        <v>83</v>
      </c>
      <c r="K169" s="93" t="s">
        <v>84</v>
      </c>
      <c r="L169" s="93"/>
      <c r="M169" s="23"/>
      <c r="N169" s="93" t="s">
        <v>188</v>
      </c>
      <c r="O169" s="23"/>
      <c r="P169" s="23"/>
      <c r="Q169" s="33"/>
      <c r="S169" s="31" t="s">
        <v>83</v>
      </c>
      <c r="T169" s="93" t="s">
        <v>84</v>
      </c>
      <c r="U169" s="93"/>
      <c r="V169" s="23"/>
      <c r="W169" s="93" t="s">
        <v>188</v>
      </c>
      <c r="X169" s="23"/>
      <c r="Y169" s="23"/>
      <c r="Z169" s="33"/>
      <c r="AB169" s="31" t="s">
        <v>83</v>
      </c>
      <c r="AC169" s="93" t="s">
        <v>84</v>
      </c>
      <c r="AD169" s="93"/>
      <c r="AE169" s="23"/>
      <c r="AF169" s="93" t="s">
        <v>188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31" t="s">
        <v>189</v>
      </c>
      <c r="K172" s="93" t="s">
        <v>190</v>
      </c>
      <c r="L172" s="93"/>
      <c r="M172" s="23"/>
      <c r="N172" s="93" t="s">
        <v>191</v>
      </c>
      <c r="O172" s="23"/>
      <c r="P172" s="23"/>
      <c r="Q172" s="33"/>
      <c r="S172" s="31" t="s">
        <v>189</v>
      </c>
      <c r="T172" s="93" t="s">
        <v>190</v>
      </c>
      <c r="U172" s="93"/>
      <c r="V172" s="23"/>
      <c r="W172" s="93" t="s">
        <v>191</v>
      </c>
      <c r="X172" s="23"/>
      <c r="Y172" s="23"/>
      <c r="Z172" s="33"/>
      <c r="AB172" s="31" t="s">
        <v>189</v>
      </c>
      <c r="AC172" s="93" t="s">
        <v>190</v>
      </c>
      <c r="AD172" s="93"/>
      <c r="AE172" s="23"/>
      <c r="AF172" s="93" t="s">
        <v>191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19583.33</v>
      </c>
      <c r="B173" s="103" t="n">
        <f aca="false">H137</f>
        <v>3916.666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31" t="s">
        <v>192</v>
      </c>
      <c r="K175" s="93" t="s">
        <v>138</v>
      </c>
      <c r="L175" s="93"/>
      <c r="M175" s="23"/>
      <c r="N175" s="93" t="s">
        <v>139</v>
      </c>
      <c r="O175" s="23"/>
      <c r="P175" s="23"/>
      <c r="Q175" s="33"/>
      <c r="S175" s="31" t="s">
        <v>192</v>
      </c>
      <c r="T175" s="93" t="s">
        <v>138</v>
      </c>
      <c r="U175" s="93"/>
      <c r="V175" s="23"/>
      <c r="W175" s="93" t="s">
        <v>139</v>
      </c>
      <c r="X175" s="23"/>
      <c r="Y175" s="23"/>
      <c r="Z175" s="33"/>
      <c r="AB175" s="31" t="s">
        <v>192</v>
      </c>
      <c r="AC175" s="93" t="s">
        <v>138</v>
      </c>
      <c r="AD175" s="93"/>
      <c r="AE175" s="23"/>
      <c r="AF175" s="93" t="s">
        <v>139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23499.996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31" t="s">
        <v>140</v>
      </c>
      <c r="K178" s="93" t="s">
        <v>176</v>
      </c>
      <c r="L178" s="93"/>
      <c r="M178" s="23"/>
      <c r="N178" s="93" t="s">
        <v>181</v>
      </c>
      <c r="O178" s="23"/>
      <c r="P178" s="23"/>
      <c r="Q178" s="33"/>
      <c r="S178" s="31" t="s">
        <v>140</v>
      </c>
      <c r="T178" s="93" t="s">
        <v>176</v>
      </c>
      <c r="U178" s="93"/>
      <c r="V178" s="23"/>
      <c r="W178" s="93" t="s">
        <v>181</v>
      </c>
      <c r="X178" s="23"/>
      <c r="Y178" s="23"/>
      <c r="Z178" s="33"/>
      <c r="AB178" s="31" t="s">
        <v>140</v>
      </c>
      <c r="AC178" s="93" t="s">
        <v>176</v>
      </c>
      <c r="AD178" s="93"/>
      <c r="AE178" s="23"/>
      <c r="AF178" s="93" t="s">
        <v>181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20999.996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31" t="s">
        <v>193</v>
      </c>
      <c r="K181" s="93" t="s">
        <v>53</v>
      </c>
      <c r="L181" s="93"/>
      <c r="M181" s="23"/>
      <c r="N181" s="93" t="s">
        <v>194</v>
      </c>
      <c r="O181" s="23"/>
      <c r="P181" s="23"/>
      <c r="Q181" s="33"/>
      <c r="S181" s="31" t="s">
        <v>193</v>
      </c>
      <c r="T181" s="93" t="s">
        <v>53</v>
      </c>
      <c r="U181" s="93"/>
      <c r="V181" s="23"/>
      <c r="W181" s="93" t="s">
        <v>194</v>
      </c>
      <c r="X181" s="23"/>
      <c r="Y181" s="23"/>
      <c r="Z181" s="33"/>
      <c r="AB181" s="31" t="s">
        <v>193</v>
      </c>
      <c r="AC181" s="93" t="s">
        <v>53</v>
      </c>
      <c r="AD181" s="93"/>
      <c r="AE181" s="23"/>
      <c r="AF181" s="93" t="s">
        <v>194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4422.95508640254</v>
      </c>
      <c r="B182" s="103" t="str">
        <f aca="false">B114</f>
        <v>239.99</v>
      </c>
      <c r="C182" s="103"/>
      <c r="D182" s="23"/>
      <c r="E182" s="103" t="n">
        <f aca="false">E179+A182+B182+A185</f>
        <v>25672.9410864025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31" t="s">
        <v>195</v>
      </c>
      <c r="K184" s="93" t="s">
        <v>196</v>
      </c>
      <c r="L184" s="93"/>
      <c r="M184" s="23"/>
      <c r="N184" s="93" t="s">
        <v>197</v>
      </c>
      <c r="O184" s="23"/>
      <c r="P184" s="23"/>
      <c r="Q184" s="33"/>
      <c r="S184" s="31" t="s">
        <v>195</v>
      </c>
      <c r="T184" s="93" t="s">
        <v>196</v>
      </c>
      <c r="U184" s="93"/>
      <c r="V184" s="23"/>
      <c r="W184" s="93" t="s">
        <v>197</v>
      </c>
      <c r="X184" s="23"/>
      <c r="Y184" s="23"/>
      <c r="Z184" s="33"/>
      <c r="AB184" s="31" t="s">
        <v>195</v>
      </c>
      <c r="AC184" s="93" t="s">
        <v>196</v>
      </c>
      <c r="AD184" s="93"/>
      <c r="AE184" s="23"/>
      <c r="AF184" s="93" t="s">
        <v>197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2239.99</v>
      </c>
      <c r="C185" s="103"/>
      <c r="D185" s="23"/>
      <c r="E185" s="103" t="n">
        <f aca="false">IF(A40=0,(E167),(E170+A185))</f>
        <v>726.655745325787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31" t="s">
        <v>198</v>
      </c>
      <c r="K187" s="93" t="s">
        <v>199</v>
      </c>
      <c r="L187" s="93"/>
      <c r="M187" s="93"/>
      <c r="N187" s="166" t="s">
        <v>200</v>
      </c>
      <c r="O187" s="23"/>
      <c r="P187" s="23"/>
      <c r="Q187" s="33"/>
      <c r="S187" s="31" t="s">
        <v>198</v>
      </c>
      <c r="T187" s="93" t="s">
        <v>199</v>
      </c>
      <c r="U187" s="93"/>
      <c r="V187" s="93"/>
      <c r="W187" s="166" t="s">
        <v>200</v>
      </c>
      <c r="X187" s="32"/>
      <c r="Y187" s="32"/>
      <c r="Z187" s="33"/>
      <c r="AB187" s="31" t="s">
        <v>198</v>
      </c>
      <c r="AC187" s="93" t="s">
        <v>199</v>
      </c>
      <c r="AD187" s="93"/>
      <c r="AE187" s="93"/>
      <c r="AF187" s="166" t="s">
        <v>200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</v>
      </c>
      <c r="B188" s="103" t="n">
        <f aca="false">(G158*B67)/1.2</f>
        <v>171.354134027778</v>
      </c>
      <c r="C188" s="93"/>
      <c r="D188" s="93"/>
      <c r="E188" s="103" t="n">
        <f aca="false">(E40*A108)*0.1*C45/100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60" t="s">
        <v>201</v>
      </c>
      <c r="K190" s="166" t="s">
        <v>202</v>
      </c>
      <c r="L190" s="93"/>
      <c r="M190" s="93"/>
      <c r="N190" s="166" t="s">
        <v>203</v>
      </c>
      <c r="O190" s="23"/>
      <c r="P190" s="23"/>
      <c r="Q190" s="33"/>
      <c r="S190" s="60" t="s">
        <v>201</v>
      </c>
      <c r="T190" s="166" t="s">
        <v>202</v>
      </c>
      <c r="U190" s="93"/>
      <c r="V190" s="93"/>
      <c r="W190" s="166" t="s">
        <v>203</v>
      </c>
      <c r="X190" s="32"/>
      <c r="Y190" s="32"/>
      <c r="Z190" s="33"/>
      <c r="AB190" s="60" t="s">
        <v>201</v>
      </c>
      <c r="AC190" s="166" t="s">
        <v>202</v>
      </c>
      <c r="AD190" s="93"/>
      <c r="AE190" s="93"/>
      <c r="AF190" s="166" t="s">
        <v>203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271.345800694445</v>
      </c>
      <c r="C191" s="93"/>
      <c r="D191" s="93"/>
      <c r="E191" s="103" t="n">
        <f aca="false">H148</f>
        <v>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66" t="s">
        <v>204</v>
      </c>
      <c r="K193" s="93"/>
      <c r="L193" s="93"/>
      <c r="M193" s="67"/>
      <c r="N193" s="67"/>
      <c r="O193" s="67"/>
      <c r="P193" s="67"/>
      <c r="Q193" s="68"/>
      <c r="S193" s="66" t="s">
        <v>204</v>
      </c>
      <c r="T193" s="93"/>
      <c r="U193" s="93"/>
      <c r="V193" s="67"/>
      <c r="W193" s="67"/>
      <c r="X193" s="67"/>
      <c r="Y193" s="67"/>
      <c r="Z193" s="68"/>
      <c r="AB193" s="66" t="s">
        <v>204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187" t="s">
        <v>83</v>
      </c>
      <c r="K195" s="71" t="s">
        <v>84</v>
      </c>
      <c r="L195" s="71"/>
      <c r="M195" s="71"/>
      <c r="N195" s="23"/>
      <c r="O195" s="23"/>
      <c r="P195" s="23"/>
      <c r="Q195" s="33"/>
      <c r="S195" s="187" t="s">
        <v>83</v>
      </c>
      <c r="T195" s="71" t="s">
        <v>84</v>
      </c>
      <c r="U195" s="71"/>
      <c r="V195" s="71"/>
      <c r="W195" s="23"/>
      <c r="X195" s="23"/>
      <c r="Y195" s="23"/>
      <c r="Z195" s="33"/>
      <c r="AB195" s="187" t="s">
        <v>83</v>
      </c>
      <c r="AC195" s="71" t="s">
        <v>84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726.655745325787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2166.51974532579</v>
      </c>
      <c r="B201" s="186" t="n">
        <f aca="false">E179+A201+B182+A185</f>
        <v>23416.5057453258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207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726.655745325787</v>
      </c>
      <c r="B212" s="177" t="str">
        <f aca="false">B167</f>
        <v>0</v>
      </c>
      <c r="C212" s="174"/>
      <c r="D212" s="174"/>
      <c r="E212" s="177" t="n">
        <f aca="false">E167</f>
        <v>726.655745325787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19583.33</v>
      </c>
      <c r="B215" s="103" t="n">
        <f aca="false">B173</f>
        <v>3916.666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23499.996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20999.996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4422.95508640254</v>
      </c>
      <c r="B224" s="103" t="str">
        <f aca="false">B182</f>
        <v>239.99</v>
      </c>
      <c r="C224" s="103"/>
      <c r="D224" s="113"/>
      <c r="E224" s="103" t="n">
        <f aca="false">E182</f>
        <v>25672.9410864025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726.655745325787</v>
      </c>
      <c r="B230" s="103" t="str">
        <f aca="false">B167</f>
        <v>0</v>
      </c>
      <c r="C230" s="186"/>
      <c r="D230" s="186"/>
      <c r="E230" s="103" t="n">
        <f aca="false">E167</f>
        <v>726.655745325787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209</v>
      </c>
      <c r="B232" s="93" t="s">
        <v>210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0</v>
      </c>
      <c r="B233" s="103" t="n">
        <f aca="false">E185</f>
        <v>726.655745325787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211</v>
      </c>
      <c r="B235" s="166" t="s">
        <v>73</v>
      </c>
      <c r="C235" s="93"/>
      <c r="D235" s="93"/>
      <c r="E235" s="166" t="s">
        <v>132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29.17872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B68</f>
        <v>171.354134027778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2271.34580069444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K35</f>
        <v>0.065</v>
      </c>
      <c r="C253" s="197"/>
      <c r="D253" s="198" t="s">
        <v>216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2266.43534107675</v>
      </c>
      <c r="C254" s="197"/>
      <c r="D254" s="198" t="s">
        <v>218</v>
      </c>
      <c r="E254" s="198"/>
      <c r="F254" s="200" t="n">
        <f aca="false">F261+F267+F269+B270+B271</f>
        <v>205.624960833333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99.9916666666667</v>
      </c>
      <c r="C255" s="197"/>
      <c r="D255" s="198" t="s">
        <v>220</v>
      </c>
      <c r="E255" s="198"/>
      <c r="F255" s="200" t="n">
        <f aca="false">(B254-F254)+B255</f>
        <v>2160.80204691008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0.115</v>
      </c>
      <c r="C260" s="43"/>
      <c r="D260" s="166" t="s">
        <v>217</v>
      </c>
      <c r="E260" s="166"/>
      <c r="F260" s="146" t="n">
        <f aca="false">B254</f>
        <v>2266.43534107675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0.00979166666666667</v>
      </c>
      <c r="C261" s="32"/>
      <c r="D261" s="166" t="s">
        <v>223</v>
      </c>
      <c r="E261" s="166"/>
      <c r="F261" s="151" t="n">
        <f aca="false">B68*1.2</f>
        <v>205.624960833333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99.9916666666667</v>
      </c>
      <c r="C263" s="32"/>
      <c r="D263" s="39" t="s">
        <v>220</v>
      </c>
      <c r="E263" s="39"/>
      <c r="F263" s="146" t="n">
        <f aca="false">(B254-F254)+B255</f>
        <v>2160.80204691008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128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126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83</v>
      </c>
      <c r="K29" s="448" t="n">
        <v>12</v>
      </c>
      <c r="P29" s="212"/>
    </row>
    <row r="30" customFormat="false" ht="17.9" hidden="false" customHeight="false" outlineLevel="0" collapsed="false">
      <c r="A30" s="31" t="s">
        <v>183</v>
      </c>
      <c r="B30" s="104" t="s">
        <v>348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17280</v>
      </c>
      <c r="P31" s="212"/>
    </row>
    <row r="32" customFormat="false" ht="34.3" hidden="false" customHeight="false" outlineLevel="0" collapsed="false">
      <c r="A32" s="31" t="s">
        <v>83</v>
      </c>
      <c r="B32" s="93" t="s">
        <v>84</v>
      </c>
      <c r="C32" s="93"/>
      <c r="D32" s="93"/>
      <c r="E32" s="93" t="s">
        <v>354</v>
      </c>
      <c r="F32" s="93"/>
      <c r="G32" s="93"/>
      <c r="H32" s="33"/>
      <c r="I32" s="2"/>
      <c r="J32" s="29" t="s">
        <v>36</v>
      </c>
      <c r="K32" s="449" t="n">
        <v>300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391.182122867598</v>
      </c>
      <c r="F33" s="232"/>
      <c r="G33" s="232"/>
      <c r="H33" s="47"/>
      <c r="I33" s="2"/>
      <c r="J33" s="34" t="s">
        <v>355</v>
      </c>
      <c r="K33" s="48" t="n">
        <f aca="false">E21</f>
        <v>17583.33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366.182122867598</v>
      </c>
      <c r="B36" s="232" t="n">
        <f aca="false">IF(B26="YES", K42, "0.00")</f>
        <v>25</v>
      </c>
      <c r="C36" s="232"/>
      <c r="D36" s="232"/>
      <c r="E36" s="232" t="n">
        <f aca="false">K31</f>
        <v>17280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85</v>
      </c>
      <c r="K39" s="2" t="n">
        <f aca="false">K33</f>
        <v>17583.33</v>
      </c>
      <c r="L39" s="2" t="n">
        <f aca="false">(L47*K46)+K44</f>
        <v>22308.087321496</v>
      </c>
      <c r="N39" s="1" t="n">
        <f aca="false">K39-L39</f>
        <v>-4724.75732149599</v>
      </c>
      <c r="P39" s="212"/>
    </row>
    <row r="40" customFormat="false" ht="17.35" hidden="false" customHeight="false" outlineLevel="0" collapsed="false">
      <c r="A40" s="107" t="n">
        <f aca="false">E36*A45/100</f>
        <v>17280</v>
      </c>
      <c r="B40" s="107" t="n">
        <f aca="false">IF(B26="YES", K42, "0.00")</f>
        <v>25</v>
      </c>
      <c r="C40" s="107"/>
      <c r="D40" s="107"/>
      <c r="E40" s="182" t="n">
        <f aca="false">K32</f>
        <v>300</v>
      </c>
      <c r="F40" s="186"/>
      <c r="G40" s="186"/>
      <c r="H40" s="47"/>
      <c r="J40" s="2" t="s">
        <v>107</v>
      </c>
      <c r="K40" s="2" t="n">
        <f aca="false">(A40)/1.2</f>
        <v>14400</v>
      </c>
      <c r="L40" s="2" t="n">
        <f aca="false">K39-L39</f>
        <v>-4724.75732149599</v>
      </c>
      <c r="N40" s="1" t="n">
        <f aca="false">N38-N39</f>
        <v>7636.43732149599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(K32/K36)*C45/100</f>
        <v>25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77</v>
      </c>
      <c r="B44" s="93"/>
      <c r="C44" s="291" t="s">
        <v>78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13351.319212812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366</v>
      </c>
      <c r="K45" s="2" t="n">
        <f aca="false">(K39-K44)</f>
        <v>4232.01078718802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11.5571201402374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366.182122867598</v>
      </c>
      <c r="L47" s="2" t="n">
        <f aca="false">L49-K42</f>
        <v>775</v>
      </c>
      <c r="M47" s="1" t="n">
        <f aca="false">K47-L47</f>
        <v>-408.817877132402</v>
      </c>
      <c r="P47" s="212"/>
    </row>
    <row r="48" customFormat="false" ht="31.8" hidden="false" customHeight="false" outlineLevel="0" collapsed="false">
      <c r="A48" s="66" t="s">
        <v>82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391.182122867598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83</v>
      </c>
      <c r="B50" s="71" t="s">
        <v>84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391.182122867598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85</v>
      </c>
      <c r="B58" s="93" t="n">
        <v>1</v>
      </c>
      <c r="C58" s="93"/>
      <c r="D58" s="93"/>
      <c r="E58" s="113"/>
      <c r="F58" s="113"/>
      <c r="G58" s="113"/>
      <c r="H58" s="33"/>
      <c r="J58" s="31" t="s">
        <v>85</v>
      </c>
      <c r="K58" s="93" t="n">
        <v>1</v>
      </c>
      <c r="L58" s="93"/>
      <c r="M58" s="93"/>
      <c r="N58" s="113"/>
      <c r="O58" s="113"/>
      <c r="P58" s="113"/>
      <c r="Q58" s="33"/>
      <c r="S58" s="31" t="s">
        <v>85</v>
      </c>
      <c r="T58" s="93" t="n">
        <v>1</v>
      </c>
      <c r="U58" s="93"/>
      <c r="V58" s="93"/>
      <c r="W58" s="113"/>
      <c r="X58" s="113"/>
      <c r="Y58" s="113"/>
      <c r="Z58" s="33"/>
      <c r="AB58" s="31" t="s">
        <v>85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86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86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86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86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87</v>
      </c>
      <c r="B60" s="77" t="n">
        <v>10</v>
      </c>
      <c r="C60" s="93"/>
      <c r="D60" s="93"/>
      <c r="E60" s="113"/>
      <c r="F60" s="113"/>
      <c r="G60" s="113"/>
      <c r="H60" s="33"/>
      <c r="J60" s="76" t="s">
        <v>87</v>
      </c>
      <c r="K60" s="77" t="n">
        <v>20</v>
      </c>
      <c r="L60" s="93"/>
      <c r="M60" s="93"/>
      <c r="N60" s="113"/>
      <c r="O60" s="113"/>
      <c r="P60" s="113"/>
      <c r="Q60" s="33"/>
      <c r="S60" s="76" t="s">
        <v>87</v>
      </c>
      <c r="T60" s="77" t="n">
        <v>10</v>
      </c>
      <c r="U60" s="93"/>
      <c r="V60" s="93"/>
      <c r="W60" s="113"/>
      <c r="X60" s="113"/>
      <c r="Y60" s="113"/>
      <c r="Z60" s="33"/>
      <c r="AB60" s="76" t="s">
        <v>87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88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88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88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88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89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89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89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89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90</v>
      </c>
      <c r="K64" s="258" t="n">
        <v>0.1</v>
      </c>
      <c r="L64" s="93"/>
      <c r="M64" s="93"/>
      <c r="N64" s="113"/>
      <c r="O64" s="113"/>
      <c r="P64" s="113"/>
      <c r="Q64" s="33"/>
      <c r="S64" s="82" t="s">
        <v>90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90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91</v>
      </c>
      <c r="B65" s="65" t="n">
        <f aca="false">(B89*B59)-(K47*K29)</f>
        <v>1816.0436977276</v>
      </c>
      <c r="C65" s="93"/>
      <c r="D65" s="93"/>
      <c r="E65" s="113"/>
      <c r="F65" s="113"/>
      <c r="G65" s="113"/>
      <c r="H65" s="33"/>
      <c r="J65" s="56" t="s">
        <v>91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91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91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92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92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92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93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93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93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93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94</v>
      </c>
      <c r="B68" s="65" t="n">
        <f aca="false">(G158*B67)/1.2</f>
        <v>87.4999833333334</v>
      </c>
      <c r="C68" s="93"/>
      <c r="D68" s="93"/>
      <c r="E68" s="113"/>
      <c r="F68" s="113"/>
      <c r="G68" s="113"/>
      <c r="H68" s="33"/>
      <c r="J68" s="56" t="s">
        <v>94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94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94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95</v>
      </c>
      <c r="B69" s="256" t="n">
        <v>0</v>
      </c>
      <c r="C69" s="93"/>
      <c r="D69" s="93"/>
      <c r="E69" s="113"/>
      <c r="F69" s="113"/>
      <c r="G69" s="113"/>
      <c r="H69" s="33"/>
      <c r="J69" s="78" t="s">
        <v>95</v>
      </c>
      <c r="K69" s="256" t="n">
        <v>0</v>
      </c>
      <c r="L69" s="93"/>
      <c r="M69" s="93"/>
      <c r="N69" s="113"/>
      <c r="O69" s="113"/>
      <c r="P69" s="113"/>
      <c r="Q69" s="33"/>
      <c r="S69" s="78" t="s">
        <v>95</v>
      </c>
      <c r="T69" s="256" t="n">
        <v>0</v>
      </c>
      <c r="U69" s="93"/>
      <c r="V69" s="93"/>
      <c r="W69" s="113"/>
      <c r="X69" s="113"/>
      <c r="Y69" s="113"/>
      <c r="Z69" s="33"/>
      <c r="AB69" s="78" t="s">
        <v>95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96</v>
      </c>
      <c r="B70" s="257" t="n">
        <v>0</v>
      </c>
      <c r="C70" s="93"/>
      <c r="D70" s="93"/>
      <c r="E70" s="113"/>
      <c r="F70" s="113"/>
      <c r="G70" s="113"/>
      <c r="H70" s="33"/>
      <c r="J70" s="80" t="s">
        <v>96</v>
      </c>
      <c r="K70" s="257" t="n">
        <v>0</v>
      </c>
      <c r="L70" s="93"/>
      <c r="M70" s="93"/>
      <c r="N70" s="113"/>
      <c r="O70" s="113"/>
      <c r="P70" s="113"/>
      <c r="Q70" s="33"/>
      <c r="S70" s="80" t="s">
        <v>96</v>
      </c>
      <c r="T70" s="257" t="n">
        <v>0</v>
      </c>
      <c r="U70" s="93"/>
      <c r="V70" s="93"/>
      <c r="W70" s="113"/>
      <c r="X70" s="113"/>
      <c r="Y70" s="113"/>
      <c r="Z70" s="33"/>
      <c r="AB70" s="80" t="s">
        <v>96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97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97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97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98</v>
      </c>
      <c r="B72" s="86" t="n">
        <v>0</v>
      </c>
      <c r="C72" s="93"/>
      <c r="D72" s="93"/>
      <c r="E72" s="113"/>
      <c r="F72" s="113"/>
      <c r="G72" s="113"/>
      <c r="H72" s="33"/>
      <c r="J72" s="78" t="s">
        <v>98</v>
      </c>
      <c r="K72" s="86" t="n">
        <v>0</v>
      </c>
      <c r="L72" s="93"/>
      <c r="M72" s="93"/>
      <c r="N72" s="113"/>
      <c r="O72" s="113"/>
      <c r="P72" s="113"/>
      <c r="Q72" s="33"/>
      <c r="S72" s="78" t="s">
        <v>98</v>
      </c>
      <c r="T72" s="86" t="n">
        <v>0</v>
      </c>
      <c r="U72" s="93"/>
      <c r="V72" s="93"/>
      <c r="W72" s="113"/>
      <c r="X72" s="113"/>
      <c r="Y72" s="113"/>
      <c r="Z72" s="33"/>
      <c r="AB72" s="78" t="s">
        <v>98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99</v>
      </c>
      <c r="B73" s="77" t="n">
        <v>0</v>
      </c>
      <c r="C73" s="93"/>
      <c r="D73" s="93"/>
      <c r="E73" s="113"/>
      <c r="F73" s="113"/>
      <c r="G73" s="113"/>
      <c r="H73" s="33"/>
      <c r="J73" s="80" t="s">
        <v>99</v>
      </c>
      <c r="K73" s="77" t="n">
        <v>0</v>
      </c>
      <c r="L73" s="93"/>
      <c r="M73" s="93"/>
      <c r="N73" s="113"/>
      <c r="O73" s="113"/>
      <c r="P73" s="113"/>
      <c r="Q73" s="33"/>
      <c r="S73" s="80" t="s">
        <v>99</v>
      </c>
      <c r="T73" s="77" t="n">
        <v>0</v>
      </c>
      <c r="U73" s="93"/>
      <c r="V73" s="93"/>
      <c r="W73" s="113"/>
      <c r="X73" s="113"/>
      <c r="Y73" s="113"/>
      <c r="Z73" s="33"/>
      <c r="AB73" s="80" t="s">
        <v>99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100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100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100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100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101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101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101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101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102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102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102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102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103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103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103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104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104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104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104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105</v>
      </c>
      <c r="B79" s="59" t="n">
        <f aca="false">K47</f>
        <v>366.182122867598</v>
      </c>
      <c r="C79" s="93"/>
      <c r="D79" s="93"/>
      <c r="E79" s="113"/>
      <c r="F79" s="113"/>
      <c r="G79" s="113"/>
      <c r="H79" s="33"/>
      <c r="J79" s="90" t="s">
        <v>105</v>
      </c>
      <c r="K79" s="59" t="n">
        <f aca="false">K47</f>
        <v>366.182122867598</v>
      </c>
      <c r="L79" s="93"/>
      <c r="M79" s="93"/>
      <c r="N79" s="113"/>
      <c r="O79" s="113"/>
      <c r="P79" s="113"/>
      <c r="Q79" s="33"/>
      <c r="S79" s="90" t="s">
        <v>105</v>
      </c>
      <c r="T79" s="59" t="n">
        <f aca="false">B52</f>
        <v>391.182122867598</v>
      </c>
      <c r="U79" s="93"/>
      <c r="V79" s="93"/>
      <c r="W79" s="113"/>
      <c r="X79" s="113"/>
      <c r="Y79" s="113"/>
      <c r="Z79" s="33"/>
      <c r="AB79" s="90" t="s">
        <v>105</v>
      </c>
      <c r="AC79" s="59" t="n">
        <f aca="false">B52</f>
        <v>391.182122867598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106</v>
      </c>
      <c r="B81" s="27" t="n">
        <f aca="false">G158</f>
        <v>20999.996</v>
      </c>
      <c r="C81" s="93"/>
      <c r="D81" s="93"/>
      <c r="E81" s="113"/>
      <c r="F81" s="25" t="s">
        <v>106</v>
      </c>
      <c r="G81" s="27" t="n">
        <f aca="false">G158</f>
        <v>20999.996</v>
      </c>
      <c r="H81" s="33"/>
      <c r="J81" s="25" t="s">
        <v>106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106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106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107</v>
      </c>
      <c r="B82" s="33" t="n">
        <f aca="false">IF(A111="YES",A40,0)</f>
        <v>17280</v>
      </c>
      <c r="C82" s="93"/>
      <c r="D82" s="93"/>
      <c r="E82" s="113"/>
      <c r="F82" s="31" t="s">
        <v>107</v>
      </c>
      <c r="G82" s="33" t="n">
        <f aca="false">IF(A111="YES",A40,0)</f>
        <v>17280</v>
      </c>
      <c r="H82" s="33"/>
      <c r="J82" s="31" t="s">
        <v>107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107</v>
      </c>
      <c r="T82" s="33" t="n">
        <f aca="false">A40</f>
        <v>17280</v>
      </c>
      <c r="U82" s="93"/>
      <c r="V82" s="93"/>
      <c r="W82" s="113"/>
      <c r="X82" s="113"/>
      <c r="Y82" s="113"/>
      <c r="Z82" s="33"/>
      <c r="AB82" s="31" t="s">
        <v>107</v>
      </c>
      <c r="AC82" s="33" t="n">
        <f aca="false">A40</f>
        <v>17280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0.1305</v>
      </c>
      <c r="C83" s="93"/>
      <c r="D83" s="93"/>
      <c r="E83" s="113"/>
      <c r="F83" s="31" t="s">
        <v>108</v>
      </c>
      <c r="G83" s="91" t="n">
        <f aca="false">B63</f>
        <v>0.07</v>
      </c>
      <c r="H83" s="33"/>
      <c r="J83" s="31" t="s">
        <v>108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108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108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109</v>
      </c>
      <c r="B84" s="92" t="n">
        <f aca="false">B83/12</f>
        <v>0.010875</v>
      </c>
      <c r="C84" s="93"/>
      <c r="D84" s="93"/>
      <c r="E84" s="113"/>
      <c r="F84" s="31" t="s">
        <v>109</v>
      </c>
      <c r="G84" s="92" t="n">
        <f aca="false">G83/12</f>
        <v>0.00583333333333333</v>
      </c>
      <c r="H84" s="33"/>
      <c r="J84" s="31" t="s">
        <v>109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109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109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110</v>
      </c>
      <c r="B85" s="33" t="n">
        <f aca="false">B59</f>
        <v>11</v>
      </c>
      <c r="C85" s="93"/>
      <c r="D85" s="93"/>
      <c r="E85" s="113"/>
      <c r="F85" s="31" t="s">
        <v>110</v>
      </c>
      <c r="G85" s="33" t="n">
        <f aca="false">IF(G82=0, (B59+B58), (B59))</f>
        <v>11</v>
      </c>
      <c r="H85" s="33"/>
      <c r="J85" s="31" t="s">
        <v>110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110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110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15176.5922023999</v>
      </c>
      <c r="C86" s="93"/>
      <c r="D86" s="93"/>
      <c r="E86" s="113"/>
      <c r="F86" s="31" t="s">
        <v>111</v>
      </c>
      <c r="G86" s="33" t="n">
        <f aca="false">(G82/((1+G84)^(G85+1)))</f>
        <v>16115.0422898641</v>
      </c>
      <c r="H86" s="33"/>
      <c r="J86" s="31" t="s">
        <v>111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111</v>
      </c>
      <c r="T86" s="33" t="n">
        <f aca="false">(T82/((1+T84)^(T85+1)))</f>
        <v>15012.4149638869</v>
      </c>
      <c r="U86" s="93"/>
      <c r="V86" s="93"/>
      <c r="W86" s="113"/>
      <c r="X86" s="113"/>
      <c r="Y86" s="113"/>
      <c r="Z86" s="33"/>
      <c r="AB86" s="31" t="s">
        <v>111</v>
      </c>
      <c r="AC86" s="33" t="n">
        <f aca="false">(AC82/((1+AC84)^(AC85+1)))</f>
        <v>15012.4149638869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10.3148273595096</v>
      </c>
      <c r="C87" s="93"/>
      <c r="D87" s="93"/>
      <c r="E87" s="113"/>
      <c r="F87" s="31" t="s">
        <v>112</v>
      </c>
      <c r="G87" s="33" t="n">
        <f aca="false">((1-(1/((1+G84)^G85)))/G84)</f>
        <v>10.6245366743888</v>
      </c>
      <c r="H87" s="33"/>
      <c r="J87" s="31" t="s">
        <v>112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112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112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113</v>
      </c>
      <c r="B88" s="33" t="n">
        <f aca="false">B81-B86</f>
        <v>5823.40379760014</v>
      </c>
      <c r="C88" s="93"/>
      <c r="D88" s="93"/>
      <c r="E88" s="113"/>
      <c r="F88" s="31" t="s">
        <v>113</v>
      </c>
      <c r="G88" s="33" t="n">
        <f aca="false">G81-G86</f>
        <v>4884.95371013594</v>
      </c>
      <c r="H88" s="33"/>
      <c r="J88" s="31" t="s">
        <v>113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113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113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114</v>
      </c>
      <c r="B89" s="33" t="n">
        <f aca="false">(B88/B87)</f>
        <v>564.566288376252</v>
      </c>
      <c r="C89" s="93"/>
      <c r="D89" s="93"/>
      <c r="E89" s="113"/>
      <c r="F89" s="31" t="s">
        <v>114</v>
      </c>
      <c r="G89" s="33" t="n">
        <f aca="false">(G88/G87)</f>
        <v>459.780398886612</v>
      </c>
      <c r="H89" s="33"/>
      <c r="J89" s="31" t="s">
        <v>114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114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114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6210.22917213878</v>
      </c>
      <c r="C90" s="93"/>
      <c r="D90" s="93"/>
      <c r="E90" s="113"/>
      <c r="F90" s="31" t="s">
        <v>115</v>
      </c>
      <c r="G90" s="33" t="n">
        <f aca="false">((G89*(G85))+G77)</f>
        <v>5057.58438775273</v>
      </c>
      <c r="H90" s="33"/>
      <c r="J90" s="31" t="s">
        <v>115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115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115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31" t="s">
        <v>116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116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116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117</v>
      </c>
      <c r="B92" s="65" t="n">
        <f aca="false">(B90+B91)</f>
        <v>6210.22917213878</v>
      </c>
      <c r="C92" s="93"/>
      <c r="D92" s="93"/>
      <c r="E92" s="113"/>
      <c r="F92" s="56" t="s">
        <v>117</v>
      </c>
      <c r="G92" s="65" t="n">
        <f aca="false">(G90+G91)</f>
        <v>5057.58438775273</v>
      </c>
      <c r="H92" s="33"/>
      <c r="J92" s="56" t="s">
        <v>117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117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117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118</v>
      </c>
      <c r="B94" s="94" t="n">
        <f aca="false">IF(B26="YES",((E40/B85)*(1+A108)*(C45/100)),"0")</f>
        <v>32.7272727272727</v>
      </c>
      <c r="C94" s="93"/>
      <c r="D94" s="93"/>
      <c r="E94" s="113"/>
      <c r="F94" s="88" t="s">
        <v>118</v>
      </c>
      <c r="G94" s="94" t="n">
        <f aca="false">IF(B26="YES",((E40/B85)*(1+A108)*(C45/100)),"0")</f>
        <v>32.7272727272727</v>
      </c>
      <c r="H94" s="33"/>
      <c r="J94" s="88" t="s">
        <v>118</v>
      </c>
      <c r="K94" s="89" t="n">
        <f aca="false">((E40/K85)*(1+J108))*1.2</f>
        <v>39</v>
      </c>
      <c r="L94" s="93"/>
      <c r="M94" s="93"/>
      <c r="N94" s="113"/>
      <c r="O94" s="113"/>
      <c r="P94" s="113"/>
      <c r="Q94" s="33"/>
      <c r="S94" s="88" t="s">
        <v>118</v>
      </c>
      <c r="T94" s="89" t="n">
        <f aca="false">((E40/T85)*(1+S108))</f>
        <v>32.7272727272727</v>
      </c>
      <c r="U94" s="93"/>
      <c r="V94" s="93"/>
      <c r="W94" s="113"/>
      <c r="X94" s="113"/>
      <c r="Y94" s="113"/>
      <c r="Z94" s="33"/>
      <c r="AB94" s="88" t="s">
        <v>118</v>
      </c>
      <c r="AC94" s="89" t="n">
        <f aca="false">((E40/AC85)*(1+AB108))*1.2</f>
        <v>39.2727272727273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119</v>
      </c>
      <c r="B95" s="96" t="n">
        <f aca="false">(B92/B85)</f>
        <v>564.566288376252</v>
      </c>
      <c r="C95" s="93"/>
      <c r="D95" s="93"/>
      <c r="E95" s="113"/>
      <c r="F95" s="95" t="s">
        <v>119</v>
      </c>
      <c r="G95" s="96" t="n">
        <f aca="false">G92/(G85)</f>
        <v>459.780398886612</v>
      </c>
      <c r="H95" s="33"/>
      <c r="J95" s="95" t="s">
        <v>119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119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119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120</v>
      </c>
      <c r="B96" s="98" t="n">
        <f aca="false">B94+B95</f>
        <v>597.293561103525</v>
      </c>
      <c r="C96" s="93"/>
      <c r="D96" s="93"/>
      <c r="E96" s="113"/>
      <c r="F96" s="97" t="s">
        <v>120</v>
      </c>
      <c r="G96" s="98" t="n">
        <f aca="false">G94+G95</f>
        <v>492.507671613885</v>
      </c>
      <c r="H96" s="33"/>
      <c r="J96" s="97" t="s">
        <v>120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120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120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123</v>
      </c>
      <c r="K100" s="100"/>
      <c r="L100" s="100"/>
      <c r="M100" s="100"/>
      <c r="N100" s="100"/>
      <c r="O100" s="100"/>
      <c r="P100" s="100"/>
      <c r="Q100" s="100"/>
      <c r="S100" s="100" t="s">
        <v>124</v>
      </c>
      <c r="T100" s="100"/>
      <c r="U100" s="100"/>
      <c r="V100" s="100"/>
      <c r="W100" s="100"/>
      <c r="X100" s="100"/>
      <c r="Y100" s="100"/>
      <c r="Z100" s="100"/>
      <c r="AB100" s="100" t="s">
        <v>125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8" t="s">
        <v>126</v>
      </c>
      <c r="K102" s="28"/>
      <c r="L102" s="28"/>
      <c r="M102" s="28"/>
      <c r="N102" s="28"/>
      <c r="O102" s="28"/>
      <c r="P102" s="28"/>
      <c r="Q102" s="28"/>
      <c r="S102" s="28" t="s">
        <v>126</v>
      </c>
      <c r="T102" s="28"/>
      <c r="U102" s="28"/>
      <c r="V102" s="28"/>
      <c r="W102" s="28"/>
      <c r="X102" s="28"/>
      <c r="Y102" s="28"/>
      <c r="Z102" s="28"/>
      <c r="AB102" s="28" t="s">
        <v>126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31" t="s">
        <v>127</v>
      </c>
      <c r="K104" s="93" t="s">
        <v>23</v>
      </c>
      <c r="L104" s="93"/>
      <c r="M104" s="93"/>
      <c r="N104" s="93" t="s">
        <v>128</v>
      </c>
      <c r="O104" s="93"/>
      <c r="P104" s="93"/>
      <c r="Q104" s="33"/>
      <c r="S104" s="31" t="s">
        <v>127</v>
      </c>
      <c r="T104" s="93" t="s">
        <v>23</v>
      </c>
      <c r="U104" s="93"/>
      <c r="V104" s="93"/>
      <c r="W104" s="93" t="s">
        <v>128</v>
      </c>
      <c r="X104" s="93"/>
      <c r="Y104" s="93"/>
      <c r="Z104" s="33"/>
      <c r="AB104" s="31" t="s">
        <v>127</v>
      </c>
      <c r="AC104" s="93" t="s">
        <v>23</v>
      </c>
      <c r="AD104" s="93"/>
      <c r="AE104" s="93"/>
      <c r="AF104" s="93" t="s">
        <v>128</v>
      </c>
      <c r="AG104" s="93"/>
      <c r="AH104" s="93"/>
      <c r="AI104" s="33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451" t="s">
        <v>18</v>
      </c>
      <c r="F105" s="451"/>
      <c r="G105" s="451"/>
      <c r="H105" s="102"/>
      <c r="J105" s="36" t="s">
        <v>129</v>
      </c>
      <c r="K105" s="103" t="s">
        <v>130</v>
      </c>
      <c r="L105" s="103"/>
      <c r="M105" s="103"/>
      <c r="N105" s="104" t="s">
        <v>18</v>
      </c>
      <c r="O105" s="104"/>
      <c r="P105" s="104"/>
      <c r="Q105" s="102"/>
      <c r="S105" s="36" t="s">
        <v>129</v>
      </c>
      <c r="T105" s="103" t="s">
        <v>130</v>
      </c>
      <c r="U105" s="103"/>
      <c r="V105" s="103"/>
      <c r="W105" s="104" t="s">
        <v>18</v>
      </c>
      <c r="X105" s="104"/>
      <c r="Y105" s="104"/>
      <c r="Z105" s="102"/>
      <c r="AB105" s="36" t="s">
        <v>129</v>
      </c>
      <c r="AC105" s="103" t="s">
        <v>130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31" t="s">
        <v>131</v>
      </c>
      <c r="K107" s="93" t="s">
        <v>132</v>
      </c>
      <c r="L107" s="93"/>
      <c r="M107" s="113"/>
      <c r="N107" s="93" t="s">
        <v>133</v>
      </c>
      <c r="O107" s="93"/>
      <c r="P107" s="113"/>
      <c r="Q107" s="102"/>
      <c r="S107" s="31" t="s">
        <v>131</v>
      </c>
      <c r="T107" s="93" t="s">
        <v>132</v>
      </c>
      <c r="U107" s="93"/>
      <c r="V107" s="113"/>
      <c r="W107" s="93" t="s">
        <v>133</v>
      </c>
      <c r="X107" s="93"/>
      <c r="Y107" s="113"/>
      <c r="Z107" s="102"/>
      <c r="AB107" s="31" t="s">
        <v>131</v>
      </c>
      <c r="AC107" s="93" t="s">
        <v>132</v>
      </c>
      <c r="AD107" s="93"/>
      <c r="AE107" s="113"/>
      <c r="AF107" s="93" t="s">
        <v>133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0.1305</v>
      </c>
      <c r="F108" s="108"/>
      <c r="G108" s="108"/>
      <c r="H108" s="47"/>
      <c r="J108" s="106" t="n">
        <v>0.3</v>
      </c>
      <c r="K108" s="107" t="s">
        <v>134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135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135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31" t="s">
        <v>137</v>
      </c>
      <c r="K110" s="93" t="s">
        <v>138</v>
      </c>
      <c r="L110" s="93"/>
      <c r="M110" s="93"/>
      <c r="N110" s="93" t="s">
        <v>139</v>
      </c>
      <c r="O110" s="93"/>
      <c r="P110" s="93"/>
      <c r="Q110" s="33"/>
      <c r="S110" s="31" t="s">
        <v>137</v>
      </c>
      <c r="T110" s="93" t="s">
        <v>138</v>
      </c>
      <c r="U110" s="93"/>
      <c r="V110" s="93"/>
      <c r="W110" s="93" t="s">
        <v>139</v>
      </c>
      <c r="X110" s="93"/>
      <c r="Y110" s="93"/>
      <c r="Z110" s="33"/>
      <c r="AB110" s="31" t="s">
        <v>137</v>
      </c>
      <c r="AC110" s="93" t="s">
        <v>138</v>
      </c>
      <c r="AD110" s="93"/>
      <c r="AE110" s="93"/>
      <c r="AF110" s="93" t="s">
        <v>139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110" t="s">
        <v>140</v>
      </c>
      <c r="K113" s="93" t="s">
        <v>141</v>
      </c>
      <c r="L113" s="93"/>
      <c r="M113" s="93"/>
      <c r="N113" s="93" t="s">
        <v>142</v>
      </c>
      <c r="O113" s="93"/>
      <c r="P113" s="113"/>
      <c r="Q113" s="102"/>
      <c r="S113" s="110" t="s">
        <v>140</v>
      </c>
      <c r="T113" s="93" t="s">
        <v>141</v>
      </c>
      <c r="U113" s="93"/>
      <c r="V113" s="93"/>
      <c r="W113" s="93" t="s">
        <v>142</v>
      </c>
      <c r="X113" s="93"/>
      <c r="Y113" s="113"/>
      <c r="Z113" s="102"/>
      <c r="AB113" s="110" t="s">
        <v>140</v>
      </c>
      <c r="AC113" s="93" t="s">
        <v>141</v>
      </c>
      <c r="AD113" s="93"/>
      <c r="AE113" s="93"/>
      <c r="AF113" s="93" t="s">
        <v>142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8" t="s">
        <v>144</v>
      </c>
      <c r="K117" s="28"/>
      <c r="L117" s="28"/>
      <c r="M117" s="28"/>
      <c r="N117" s="28"/>
      <c r="O117" s="28"/>
      <c r="P117" s="28"/>
      <c r="Q117" s="28"/>
      <c r="S117" s="28" t="s">
        <v>144</v>
      </c>
      <c r="T117" s="28"/>
      <c r="U117" s="28"/>
      <c r="V117" s="28"/>
      <c r="W117" s="28"/>
      <c r="X117" s="28"/>
      <c r="Y117" s="28"/>
      <c r="Z117" s="28"/>
      <c r="AB117" s="28" t="s">
        <v>144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78"/>
      <c r="K119" s="114" t="s">
        <v>145</v>
      </c>
      <c r="L119" s="114"/>
      <c r="M119" s="114" t="s">
        <v>146</v>
      </c>
      <c r="N119" s="114"/>
      <c r="O119" s="114" t="s">
        <v>147</v>
      </c>
      <c r="P119" s="114"/>
      <c r="Q119" s="115" t="s">
        <v>148</v>
      </c>
      <c r="S119" s="78"/>
      <c r="T119" s="114" t="s">
        <v>145</v>
      </c>
      <c r="U119" s="114"/>
      <c r="V119" s="114" t="s">
        <v>146</v>
      </c>
      <c r="W119" s="114"/>
      <c r="X119" s="114" t="s">
        <v>147</v>
      </c>
      <c r="Y119" s="114"/>
      <c r="Z119" s="115" t="s">
        <v>148</v>
      </c>
      <c r="AB119" s="78"/>
      <c r="AC119" s="114" t="s">
        <v>145</v>
      </c>
      <c r="AD119" s="114"/>
      <c r="AE119" s="114" t="s">
        <v>146</v>
      </c>
      <c r="AF119" s="114"/>
      <c r="AG119" s="114" t="s">
        <v>147</v>
      </c>
      <c r="AH119" s="114"/>
      <c r="AI119" s="115" t="s">
        <v>148</v>
      </c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80"/>
      <c r="K120" s="116" t="s">
        <v>149</v>
      </c>
      <c r="L120" s="117" t="s">
        <v>150</v>
      </c>
      <c r="M120" s="116" t="s">
        <v>149</v>
      </c>
      <c r="N120" s="118" t="s">
        <v>150</v>
      </c>
      <c r="O120" s="116" t="s">
        <v>149</v>
      </c>
      <c r="P120" s="118" t="s">
        <v>150</v>
      </c>
      <c r="Q120" s="119"/>
      <c r="S120" s="80"/>
      <c r="T120" s="116" t="s">
        <v>149</v>
      </c>
      <c r="U120" s="117" t="s">
        <v>150</v>
      </c>
      <c r="V120" s="116" t="s">
        <v>149</v>
      </c>
      <c r="W120" s="118" t="s">
        <v>150</v>
      </c>
      <c r="X120" s="116" t="s">
        <v>149</v>
      </c>
      <c r="Y120" s="118" t="s">
        <v>150</v>
      </c>
      <c r="Z120" s="119"/>
      <c r="AB120" s="80"/>
      <c r="AC120" s="116" t="s">
        <v>149</v>
      </c>
      <c r="AD120" s="117" t="s">
        <v>150</v>
      </c>
      <c r="AE120" s="116" t="s">
        <v>149</v>
      </c>
      <c r="AF120" s="118" t="s">
        <v>150</v>
      </c>
      <c r="AG120" s="116" t="s">
        <v>149</v>
      </c>
      <c r="AH120" s="118" t="s">
        <v>150</v>
      </c>
      <c r="AI120" s="119"/>
    </row>
    <row r="121" customFormat="false" ht="17.35" hidden="false" customHeight="false" outlineLevel="0" collapsed="false">
      <c r="A121" s="25" t="s">
        <v>151</v>
      </c>
      <c r="B121" s="120" t="n">
        <f aca="false">B9</f>
        <v>17583.33</v>
      </c>
      <c r="C121" s="121" t="n">
        <v>19583.33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151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151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151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152</v>
      </c>
      <c r="K122" s="123" t="n">
        <f aca="false">B4</f>
        <v>21099.996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152</v>
      </c>
      <c r="T122" s="123" t="n">
        <f aca="false">B4</f>
        <v>21099.996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152</v>
      </c>
      <c r="AC122" s="123" t="n">
        <f aca="false">B4</f>
        <v>21099.996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153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153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153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154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154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154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155</v>
      </c>
      <c r="B125" s="132" t="n">
        <f aca="false">B121-B124</f>
        <v>17583.33</v>
      </c>
      <c r="C125" s="133" t="n">
        <f aca="false">C121-C124</f>
        <v>19583.33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155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155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155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134"/>
      <c r="K127" s="135"/>
      <c r="L127" s="135"/>
      <c r="M127" s="135"/>
      <c r="N127" s="135"/>
      <c r="O127" s="135"/>
      <c r="P127" s="136" t="s">
        <v>149</v>
      </c>
      <c r="Q127" s="137" t="s">
        <v>150</v>
      </c>
      <c r="S127" s="134"/>
      <c r="T127" s="135"/>
      <c r="U127" s="135"/>
      <c r="V127" s="135"/>
      <c r="W127" s="135"/>
      <c r="X127" s="135"/>
      <c r="Y127" s="136" t="s">
        <v>149</v>
      </c>
      <c r="Z127" s="137" t="s">
        <v>150</v>
      </c>
      <c r="AB127" s="134"/>
      <c r="AC127" s="135"/>
      <c r="AD127" s="135"/>
      <c r="AE127" s="135"/>
      <c r="AF127" s="135"/>
      <c r="AG127" s="135"/>
      <c r="AH127" s="136" t="s">
        <v>149</v>
      </c>
      <c r="AI127" s="137" t="s">
        <v>150</v>
      </c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156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156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156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147" t="s">
        <v>157</v>
      </c>
      <c r="K130" s="144" t="s">
        <v>158</v>
      </c>
      <c r="L130" s="144"/>
      <c r="M130" s="144" t="s">
        <v>159</v>
      </c>
      <c r="N130" s="144"/>
      <c r="O130" s="144" t="s">
        <v>153</v>
      </c>
      <c r="P130" s="144"/>
      <c r="Q130" s="145" t="s">
        <v>150</v>
      </c>
      <c r="S130" s="147" t="s">
        <v>157</v>
      </c>
      <c r="T130" s="144" t="s">
        <v>158</v>
      </c>
      <c r="U130" s="144"/>
      <c r="V130" s="144" t="s">
        <v>159</v>
      </c>
      <c r="W130" s="144"/>
      <c r="X130" s="144" t="s">
        <v>153</v>
      </c>
      <c r="Y130" s="144"/>
      <c r="Z130" s="145" t="s">
        <v>150</v>
      </c>
      <c r="AB130" s="147" t="s">
        <v>157</v>
      </c>
      <c r="AC130" s="144" t="s">
        <v>158</v>
      </c>
      <c r="AD130" s="144"/>
      <c r="AE130" s="144" t="s">
        <v>159</v>
      </c>
      <c r="AF130" s="144"/>
      <c r="AG130" s="144" t="s">
        <v>153</v>
      </c>
      <c r="AH130" s="144"/>
      <c r="AI130" s="145" t="s">
        <v>150</v>
      </c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160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160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160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161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161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161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162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162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162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B121</f>
        <v>17583.33</v>
      </c>
      <c r="H135" s="153" t="n">
        <f aca="false">C125+E125+G125+H128</f>
        <v>19583.33</v>
      </c>
      <c r="J135" s="152" t="s">
        <v>163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163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163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164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164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164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3516.666</v>
      </c>
      <c r="H137" s="33" t="n">
        <f aca="false">(H135+H136)*20%</f>
        <v>3916.666</v>
      </c>
      <c r="J137" s="154" t="s">
        <v>165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165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165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166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166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166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167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167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167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168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168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168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21099.996</v>
      </c>
      <c r="H141" s="157" t="n">
        <f aca="false">(H135+H136+H139+H140+H137)-H138</f>
        <v>23499.996</v>
      </c>
      <c r="J141" s="154" t="s">
        <v>169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169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169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170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170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170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111" t="s">
        <v>171</v>
      </c>
      <c r="K143" s="111"/>
      <c r="L143" s="111"/>
      <c r="M143" s="111"/>
      <c r="N143" s="111"/>
      <c r="O143" s="111"/>
      <c r="P143" s="103"/>
      <c r="Q143" s="33"/>
      <c r="S143" s="111" t="s">
        <v>171</v>
      </c>
      <c r="T143" s="111"/>
      <c r="U143" s="111"/>
      <c r="V143" s="111"/>
      <c r="W143" s="111"/>
      <c r="X143" s="111"/>
      <c r="Y143" s="103"/>
      <c r="Z143" s="33"/>
      <c r="AB143" s="111" t="s">
        <v>171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172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172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172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172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172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172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172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172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172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21099.996</v>
      </c>
      <c r="H147" s="164" t="n">
        <f aca="false">H141-((H144*1.2)+(H145*1.2)+(H146*1.2)+(H142*1.2))</f>
        <v>23499.996</v>
      </c>
      <c r="J147" s="154" t="s">
        <v>173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173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173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-15833.33</v>
      </c>
      <c r="J148" s="154" t="s">
        <v>174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174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174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8" t="s">
        <v>175</v>
      </c>
      <c r="K150" s="28"/>
      <c r="L150" s="28"/>
      <c r="M150" s="28"/>
      <c r="N150" s="28"/>
      <c r="O150" s="28"/>
      <c r="P150" s="28"/>
      <c r="Q150" s="28"/>
      <c r="S150" s="28" t="s">
        <v>175</v>
      </c>
      <c r="T150" s="28"/>
      <c r="U150" s="28"/>
      <c r="V150" s="28"/>
      <c r="W150" s="28"/>
      <c r="X150" s="28"/>
      <c r="Y150" s="28"/>
      <c r="Z150" s="28"/>
      <c r="AB150" s="28" t="s">
        <v>175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176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176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176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177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177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177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178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178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178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179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179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179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180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180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180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20999.996</v>
      </c>
      <c r="H158" s="170"/>
      <c r="J158" s="169" t="s">
        <v>181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181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181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8" t="s">
        <v>182</v>
      </c>
      <c r="K162" s="28"/>
      <c r="L162" s="28"/>
      <c r="M162" s="28"/>
      <c r="N162" s="28"/>
      <c r="O162" s="28"/>
      <c r="P162" s="28"/>
      <c r="Q162" s="28"/>
      <c r="S162" s="28" t="s">
        <v>182</v>
      </c>
      <c r="T162" s="28"/>
      <c r="U162" s="28"/>
      <c r="V162" s="28"/>
      <c r="W162" s="28"/>
      <c r="X162" s="28"/>
      <c r="Y162" s="28"/>
      <c r="Z162" s="28"/>
      <c r="AB162" s="28" t="s">
        <v>182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183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183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183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173" t="s">
        <v>184</v>
      </c>
      <c r="K166" s="174" t="s">
        <v>185</v>
      </c>
      <c r="L166" s="174"/>
      <c r="M166" s="174"/>
      <c r="N166" s="174" t="s">
        <v>186</v>
      </c>
      <c r="O166" s="23"/>
      <c r="P166" s="23"/>
      <c r="Q166" s="33"/>
      <c r="S166" s="173" t="s">
        <v>184</v>
      </c>
      <c r="T166" s="174" t="s">
        <v>185</v>
      </c>
      <c r="U166" s="174"/>
      <c r="V166" s="174"/>
      <c r="W166" s="174" t="s">
        <v>186</v>
      </c>
      <c r="X166" s="23"/>
      <c r="Y166" s="23"/>
      <c r="Z166" s="33"/>
      <c r="AB166" s="173" t="s">
        <v>184</v>
      </c>
      <c r="AC166" s="174" t="s">
        <v>185</v>
      </c>
      <c r="AD166" s="174"/>
      <c r="AE166" s="174"/>
      <c r="AF166" s="174" t="s">
        <v>186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564.566288376252</v>
      </c>
      <c r="B167" s="177" t="n">
        <f aca="false">B94</f>
        <v>32.7272727272727</v>
      </c>
      <c r="C167" s="174"/>
      <c r="D167" s="174"/>
      <c r="E167" s="177" t="n">
        <f aca="false">B96</f>
        <v>597.293561103525</v>
      </c>
      <c r="F167" s="23"/>
      <c r="G167" s="23" t="n">
        <f aca="false">ROUND(G95, 2)</f>
        <v>459.78</v>
      </c>
      <c r="H167" s="33"/>
      <c r="J167" s="176" t="e">
        <f aca="false">K95</f>
        <v>#VALUE!</v>
      </c>
      <c r="K167" s="177" t="n">
        <f aca="false">K94</f>
        <v>39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32.7272727272727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39.2727272727273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31" t="s">
        <v>83</v>
      </c>
      <c r="K169" s="93" t="s">
        <v>84</v>
      </c>
      <c r="L169" s="93"/>
      <c r="M169" s="23"/>
      <c r="N169" s="93" t="s">
        <v>188</v>
      </c>
      <c r="O169" s="23"/>
      <c r="P169" s="23"/>
      <c r="Q169" s="33"/>
      <c r="S169" s="31" t="s">
        <v>83</v>
      </c>
      <c r="T169" s="93" t="s">
        <v>84</v>
      </c>
      <c r="U169" s="93"/>
      <c r="V169" s="23"/>
      <c r="W169" s="93" t="s">
        <v>188</v>
      </c>
      <c r="X169" s="23"/>
      <c r="Y169" s="23"/>
      <c r="Z169" s="33"/>
      <c r="AB169" s="31" t="s">
        <v>83</v>
      </c>
      <c r="AC169" s="93" t="s">
        <v>84</v>
      </c>
      <c r="AD169" s="93"/>
      <c r="AE169" s="23"/>
      <c r="AF169" s="93" t="s">
        <v>188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180" t="n">
        <f aca="false">K30</f>
        <v>10000</v>
      </c>
      <c r="C170" s="181"/>
      <c r="D170" s="23"/>
      <c r="E170" s="182" t="n">
        <f aca="false">IF(A111="YES",A40, 0)</f>
        <v>17280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17280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17280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17280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31" t="s">
        <v>189</v>
      </c>
      <c r="K172" s="93" t="s">
        <v>190</v>
      </c>
      <c r="L172" s="93"/>
      <c r="M172" s="23"/>
      <c r="N172" s="93" t="s">
        <v>191</v>
      </c>
      <c r="O172" s="23"/>
      <c r="P172" s="23"/>
      <c r="Q172" s="33"/>
      <c r="S172" s="31" t="s">
        <v>189</v>
      </c>
      <c r="T172" s="93" t="s">
        <v>190</v>
      </c>
      <c r="U172" s="93"/>
      <c r="V172" s="23"/>
      <c r="W172" s="93" t="s">
        <v>191</v>
      </c>
      <c r="X172" s="23"/>
      <c r="Y172" s="23"/>
      <c r="Z172" s="33"/>
      <c r="AB172" s="31" t="s">
        <v>189</v>
      </c>
      <c r="AC172" s="93" t="s">
        <v>190</v>
      </c>
      <c r="AD172" s="93"/>
      <c r="AE172" s="23"/>
      <c r="AF172" s="93" t="s">
        <v>191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19583.33</v>
      </c>
      <c r="B173" s="103" t="n">
        <f aca="false">H137</f>
        <v>3916.666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31" t="s">
        <v>192</v>
      </c>
      <c r="K175" s="93" t="s">
        <v>138</v>
      </c>
      <c r="L175" s="93"/>
      <c r="M175" s="23"/>
      <c r="N175" s="93" t="s">
        <v>139</v>
      </c>
      <c r="O175" s="23"/>
      <c r="P175" s="23"/>
      <c r="Q175" s="33"/>
      <c r="S175" s="31" t="s">
        <v>192</v>
      </c>
      <c r="T175" s="93" t="s">
        <v>138</v>
      </c>
      <c r="U175" s="93"/>
      <c r="V175" s="23"/>
      <c r="W175" s="93" t="s">
        <v>139</v>
      </c>
      <c r="X175" s="23"/>
      <c r="Y175" s="23"/>
      <c r="Z175" s="33"/>
      <c r="AB175" s="31" t="s">
        <v>192</v>
      </c>
      <c r="AC175" s="93" t="s">
        <v>138</v>
      </c>
      <c r="AD175" s="93"/>
      <c r="AE175" s="23"/>
      <c r="AF175" s="93" t="s">
        <v>139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23499.996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31" t="s">
        <v>140</v>
      </c>
      <c r="K178" s="93" t="s">
        <v>176</v>
      </c>
      <c r="L178" s="93"/>
      <c r="M178" s="23"/>
      <c r="N178" s="93" t="s">
        <v>181</v>
      </c>
      <c r="O178" s="23"/>
      <c r="P178" s="23"/>
      <c r="Q178" s="33"/>
      <c r="S178" s="31" t="s">
        <v>140</v>
      </c>
      <c r="T178" s="93" t="s">
        <v>176</v>
      </c>
      <c r="U178" s="93"/>
      <c r="V178" s="23"/>
      <c r="W178" s="93" t="s">
        <v>181</v>
      </c>
      <c r="X178" s="23"/>
      <c r="Y178" s="23"/>
      <c r="Z178" s="33"/>
      <c r="AB178" s="31" t="s">
        <v>140</v>
      </c>
      <c r="AC178" s="93" t="s">
        <v>176</v>
      </c>
      <c r="AD178" s="93"/>
      <c r="AE178" s="23"/>
      <c r="AF178" s="93" t="s">
        <v>181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20999.996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31" t="s">
        <v>193</v>
      </c>
      <c r="K181" s="93" t="s">
        <v>53</v>
      </c>
      <c r="L181" s="93"/>
      <c r="M181" s="23"/>
      <c r="N181" s="93" t="s">
        <v>194</v>
      </c>
      <c r="O181" s="23"/>
      <c r="P181" s="23"/>
      <c r="Q181" s="33"/>
      <c r="S181" s="31" t="s">
        <v>193</v>
      </c>
      <c r="T181" s="93" t="s">
        <v>53</v>
      </c>
      <c r="U181" s="93"/>
      <c r="V181" s="23"/>
      <c r="W181" s="93" t="s">
        <v>194</v>
      </c>
      <c r="X181" s="23"/>
      <c r="Y181" s="23"/>
      <c r="Z181" s="33"/>
      <c r="AB181" s="31" t="s">
        <v>193</v>
      </c>
      <c r="AC181" s="93" t="s">
        <v>53</v>
      </c>
      <c r="AD181" s="93"/>
      <c r="AE181" s="23"/>
      <c r="AF181" s="93" t="s">
        <v>194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2490.23317213877</v>
      </c>
      <c r="B182" s="103" t="str">
        <f aca="false">B114</f>
        <v>199.99</v>
      </c>
      <c r="C182" s="103"/>
      <c r="D182" s="23"/>
      <c r="E182" s="103" t="n">
        <f aca="false">E179+A182+(B182*1.2)+A185</f>
        <v>23740.2171721388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31" t="s">
        <v>195</v>
      </c>
      <c r="K184" s="93" t="s">
        <v>196</v>
      </c>
      <c r="L184" s="93"/>
      <c r="M184" s="23"/>
      <c r="N184" s="93" t="s">
        <v>197</v>
      </c>
      <c r="O184" s="23"/>
      <c r="P184" s="23"/>
      <c r="Q184" s="33"/>
      <c r="S184" s="31" t="s">
        <v>195</v>
      </c>
      <c r="T184" s="93" t="s">
        <v>196</v>
      </c>
      <c r="U184" s="93"/>
      <c r="V184" s="23"/>
      <c r="W184" s="93" t="s">
        <v>197</v>
      </c>
      <c r="X184" s="23"/>
      <c r="Y184" s="23"/>
      <c r="Z184" s="33"/>
      <c r="AB184" s="31" t="s">
        <v>195</v>
      </c>
      <c r="AC184" s="93" t="s">
        <v>196</v>
      </c>
      <c r="AD184" s="93"/>
      <c r="AE184" s="23"/>
      <c r="AF184" s="93" t="s">
        <v>197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2239.988</v>
      </c>
      <c r="C185" s="103"/>
      <c r="D185" s="23"/>
      <c r="E185" s="103" t="n">
        <f aca="false">IF(A40=0,(E167),(E170+A185))</f>
        <v>17290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17300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17290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17290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31" t="s">
        <v>198</v>
      </c>
      <c r="K187" s="93" t="s">
        <v>199</v>
      </c>
      <c r="L187" s="93"/>
      <c r="M187" s="93"/>
      <c r="N187" s="166" t="s">
        <v>200</v>
      </c>
      <c r="O187" s="23"/>
      <c r="P187" s="23"/>
      <c r="Q187" s="33"/>
      <c r="S187" s="31" t="s">
        <v>198</v>
      </c>
      <c r="T187" s="93" t="s">
        <v>199</v>
      </c>
      <c r="U187" s="93"/>
      <c r="V187" s="93"/>
      <c r="W187" s="166" t="s">
        <v>200</v>
      </c>
      <c r="X187" s="32"/>
      <c r="Y187" s="32"/>
      <c r="Z187" s="33"/>
      <c r="AB187" s="31" t="s">
        <v>198</v>
      </c>
      <c r="AC187" s="93" t="s">
        <v>199</v>
      </c>
      <c r="AD187" s="93"/>
      <c r="AE187" s="93"/>
      <c r="AF187" s="166" t="s">
        <v>200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87.4999833333334</v>
      </c>
      <c r="C188" s="93"/>
      <c r="D188" s="93"/>
      <c r="E188" s="103" t="n">
        <f aca="false">(E40*A108)*0.1*(C45/100)</f>
        <v>6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9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6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6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60" t="s">
        <v>201</v>
      </c>
      <c r="K190" s="166" t="s">
        <v>202</v>
      </c>
      <c r="L190" s="93"/>
      <c r="M190" s="93"/>
      <c r="N190" s="166" t="s">
        <v>203</v>
      </c>
      <c r="O190" s="23"/>
      <c r="P190" s="23"/>
      <c r="Q190" s="33"/>
      <c r="S190" s="60" t="s">
        <v>201</v>
      </c>
      <c r="T190" s="166" t="s">
        <v>202</v>
      </c>
      <c r="U190" s="93"/>
      <c r="V190" s="93"/>
      <c r="W190" s="166" t="s">
        <v>203</v>
      </c>
      <c r="X190" s="32"/>
      <c r="Y190" s="32"/>
      <c r="Z190" s="33"/>
      <c r="AB190" s="60" t="s">
        <v>201</v>
      </c>
      <c r="AC190" s="166" t="s">
        <v>202</v>
      </c>
      <c r="AD190" s="93"/>
      <c r="AE190" s="93"/>
      <c r="AF190" s="166" t="s">
        <v>203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193.489983333333</v>
      </c>
      <c r="C191" s="93"/>
      <c r="D191" s="93"/>
      <c r="E191" s="103" t="n">
        <f aca="false">H148</f>
        <v>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66" t="s">
        <v>204</v>
      </c>
      <c r="K193" s="93"/>
      <c r="L193" s="93"/>
      <c r="M193" s="67"/>
      <c r="N193" s="67"/>
      <c r="O193" s="67"/>
      <c r="P193" s="67"/>
      <c r="Q193" s="68"/>
      <c r="S193" s="66" t="s">
        <v>204</v>
      </c>
      <c r="T193" s="93"/>
      <c r="U193" s="93"/>
      <c r="V193" s="67"/>
      <c r="W193" s="67"/>
      <c r="X193" s="67"/>
      <c r="Y193" s="67"/>
      <c r="Z193" s="68"/>
      <c r="AB193" s="66" t="s">
        <v>204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187" t="s">
        <v>83</v>
      </c>
      <c r="K195" s="71" t="s">
        <v>84</v>
      </c>
      <c r="L195" s="71"/>
      <c r="M195" s="71"/>
      <c r="N195" s="23"/>
      <c r="O195" s="23"/>
      <c r="P195" s="23"/>
      <c r="Q195" s="33"/>
      <c r="S195" s="187" t="s">
        <v>83</v>
      </c>
      <c r="T195" s="71" t="s">
        <v>84</v>
      </c>
      <c r="U195" s="71"/>
      <c r="V195" s="71"/>
      <c r="W195" s="23"/>
      <c r="X195" s="23"/>
      <c r="Y195" s="23"/>
      <c r="Z195" s="33"/>
      <c r="AB195" s="187" t="s">
        <v>83</v>
      </c>
      <c r="AC195" s="71" t="s">
        <v>84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597.293561103525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1337.584</v>
      </c>
      <c r="B201" s="186" t="n">
        <f aca="false">E179+A201+(B182*1.2)+A185</f>
        <v>22587.568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207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564.566288376252</v>
      </c>
      <c r="B212" s="177" t="n">
        <f aca="false">B167</f>
        <v>32.7272727272727</v>
      </c>
      <c r="C212" s="174"/>
      <c r="D212" s="174"/>
      <c r="E212" s="177" t="n">
        <f aca="false">E167</f>
        <v>597.293561103525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19583.33</v>
      </c>
      <c r="B215" s="103" t="n">
        <f aca="false">B173</f>
        <v>3916.666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23499.996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20999.996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2490.23317213877</v>
      </c>
      <c r="B224" s="103" t="str">
        <f aca="false">B182</f>
        <v>199.99</v>
      </c>
      <c r="C224" s="103"/>
      <c r="D224" s="113"/>
      <c r="E224" s="103" t="n">
        <f aca="false">E182</f>
        <v>23740.2171721388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564.566288376252</v>
      </c>
      <c r="B230" s="103" t="n">
        <f aca="false">B167</f>
        <v>32.7272727272727</v>
      </c>
      <c r="C230" s="186"/>
      <c r="D230" s="186"/>
      <c r="E230" s="103" t="n">
        <f aca="false">E167</f>
        <v>597.293561103525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209</v>
      </c>
      <c r="B232" s="93" t="s">
        <v>210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17280</v>
      </c>
      <c r="B233" s="103" t="n">
        <f aca="false">E185</f>
        <v>17290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211</v>
      </c>
      <c r="B235" s="166" t="s">
        <v>73</v>
      </c>
      <c r="C235" s="93"/>
      <c r="D235" s="93"/>
      <c r="E235" s="166" t="s">
        <v>132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B68</f>
        <v>87.4999833333334</v>
      </c>
      <c r="C240" s="93"/>
      <c r="D240" s="93"/>
      <c r="E240" s="103" t="n">
        <f aca="false">E188</f>
        <v>6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2193.48998333333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K35</f>
        <v>0.07</v>
      </c>
      <c r="C253" s="197"/>
      <c r="D253" s="198" t="s">
        <v>216</v>
      </c>
      <c r="E253" s="198"/>
      <c r="F253" s="196" t="n">
        <f aca="false">B83</f>
        <v>0.1305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200" t="n">
        <f aca="false">(E182-B182)-(B201-B182-A185)</f>
        <v>1162.64917213878</v>
      </c>
      <c r="C254" s="197"/>
      <c r="D254" s="198" t="s">
        <v>218</v>
      </c>
      <c r="E254" s="198"/>
      <c r="F254" s="200" t="n">
        <f aca="false">F261+F267+F269+B270+B271</f>
        <v>104.99998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159.99</v>
      </c>
      <c r="C255" s="197"/>
      <c r="D255" s="198" t="s">
        <v>220</v>
      </c>
      <c r="E255" s="198"/>
      <c r="F255" s="200" t="n">
        <f aca="false">(B254-F254)+B255</f>
        <v>1217.63919213878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0.1305</v>
      </c>
      <c r="C260" s="43"/>
      <c r="D260" s="166" t="s">
        <v>217</v>
      </c>
      <c r="E260" s="166"/>
      <c r="F260" s="146" t="n">
        <f aca="false">B254</f>
        <v>1162.64917213878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0.005</v>
      </c>
      <c r="C261" s="32"/>
      <c r="D261" s="166" t="s">
        <v>223</v>
      </c>
      <c r="E261" s="166"/>
      <c r="F261" s="151" t="n">
        <f aca="false">B68*1.2</f>
        <v>104.99998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60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</v>
      </c>
      <c r="C263" s="32"/>
      <c r="D263" s="39" t="s">
        <v>220</v>
      </c>
      <c r="E263" s="39"/>
      <c r="F263" s="146" t="n">
        <f aca="false">(B254-F254)+B255</f>
        <v>1217.63919213878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12" activeCellId="0" sqref="E11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128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126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83</v>
      </c>
      <c r="K29" s="448" t="n">
        <v>36</v>
      </c>
      <c r="P29" s="212"/>
    </row>
    <row r="30" customFormat="false" ht="17.9" hidden="false" customHeight="false" outlineLevel="0" collapsed="false">
      <c r="A30" s="31" t="s">
        <v>183</v>
      </c>
      <c r="B30" s="104" t="s">
        <v>348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11730</v>
      </c>
      <c r="P31" s="212"/>
    </row>
    <row r="32" customFormat="false" ht="34.3" hidden="false" customHeight="false" outlineLevel="0" collapsed="false">
      <c r="A32" s="31" t="s">
        <v>83</v>
      </c>
      <c r="B32" s="93" t="s">
        <v>84</v>
      </c>
      <c r="C32" s="93"/>
      <c r="D32" s="93"/>
      <c r="E32" s="93" t="s">
        <v>354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299.539129582044</v>
      </c>
      <c r="F33" s="232"/>
      <c r="G33" s="232"/>
      <c r="H33" s="47"/>
      <c r="I33" s="2"/>
      <c r="J33" s="34" t="s">
        <v>355</v>
      </c>
      <c r="K33" s="48" t="n">
        <f aca="false">E21</f>
        <v>17583.33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299.539129582044</v>
      </c>
      <c r="B36" s="232" t="str">
        <f aca="false">IF(B26="YES", K42, "0.00")</f>
        <v>0.00</v>
      </c>
      <c r="C36" s="232"/>
      <c r="D36" s="232"/>
      <c r="E36" s="232" t="n">
        <f aca="false">K31</f>
        <v>11730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85</v>
      </c>
      <c r="K39" s="2" t="n">
        <f aca="false">K33</f>
        <v>17583.33</v>
      </c>
      <c r="L39" s="2" t="n">
        <f aca="false">(L47*K46)+K44</f>
        <v>33791.4881892245</v>
      </c>
      <c r="N39" s="1" t="n">
        <f aca="false">K39-L39</f>
        <v>-16208.1581892245</v>
      </c>
      <c r="P39" s="212"/>
    </row>
    <row r="40" customFormat="false" ht="17.35" hidden="false" customHeight="false" outlineLevel="0" collapsed="false">
      <c r="A40" s="107" t="n">
        <f aca="false">E36*A45/100</f>
        <v>11730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107</v>
      </c>
      <c r="K40" s="2" t="n">
        <f aca="false">(A40)/1.2</f>
        <v>9775</v>
      </c>
      <c r="L40" s="2" t="n">
        <f aca="false">K39-L39</f>
        <v>-16208.1581892245</v>
      </c>
      <c r="N40" s="1" t="n">
        <f aca="false">N38-N39</f>
        <v>19119.8381892245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77</v>
      </c>
      <c r="B44" s="93"/>
      <c r="C44" s="291" t="s">
        <v>78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7882.31662791798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366</v>
      </c>
      <c r="K45" s="2" t="n">
        <f aca="false">(K39-K44)</f>
        <v>9701.01337208203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299.539129582044</v>
      </c>
      <c r="L47" s="2" t="n">
        <f aca="false">L49-K42</f>
        <v>800</v>
      </c>
      <c r="M47" s="1" t="n">
        <f aca="false">K47-L47</f>
        <v>-500.460870417956</v>
      </c>
      <c r="P47" s="212"/>
    </row>
    <row r="48" customFormat="false" ht="31.8" hidden="false" customHeight="false" outlineLevel="0" collapsed="false">
      <c r="A48" s="66" t="s">
        <v>82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299.539129582044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83</v>
      </c>
      <c r="B50" s="71" t="s">
        <v>84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299.539129582044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85</v>
      </c>
      <c r="B58" s="93" t="n">
        <v>1</v>
      </c>
      <c r="C58" s="93"/>
      <c r="D58" s="93"/>
      <c r="E58" s="113"/>
      <c r="F58" s="113"/>
      <c r="G58" s="113"/>
      <c r="H58" s="33"/>
      <c r="J58" s="31" t="s">
        <v>85</v>
      </c>
      <c r="K58" s="93" t="n">
        <v>1</v>
      </c>
      <c r="L58" s="93"/>
      <c r="M58" s="93"/>
      <c r="N58" s="113"/>
      <c r="O58" s="113"/>
      <c r="P58" s="113"/>
      <c r="Q58" s="33"/>
      <c r="S58" s="31" t="s">
        <v>85</v>
      </c>
      <c r="T58" s="93" t="n">
        <v>1</v>
      </c>
      <c r="U58" s="93"/>
      <c r="V58" s="93"/>
      <c r="W58" s="113"/>
      <c r="X58" s="113"/>
      <c r="Y58" s="113"/>
      <c r="Z58" s="33"/>
      <c r="AB58" s="31" t="s">
        <v>85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86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86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86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86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87</v>
      </c>
      <c r="B60" s="77" t="n">
        <v>10</v>
      </c>
      <c r="C60" s="93"/>
      <c r="D60" s="93"/>
      <c r="E60" s="113"/>
      <c r="F60" s="113"/>
      <c r="G60" s="113"/>
      <c r="H60" s="33"/>
      <c r="J60" s="76" t="s">
        <v>87</v>
      </c>
      <c r="K60" s="77" t="n">
        <v>20</v>
      </c>
      <c r="L60" s="93"/>
      <c r="M60" s="93"/>
      <c r="N60" s="113"/>
      <c r="O60" s="113"/>
      <c r="P60" s="113"/>
      <c r="Q60" s="33"/>
      <c r="S60" s="76" t="s">
        <v>87</v>
      </c>
      <c r="T60" s="77" t="n">
        <v>10</v>
      </c>
      <c r="U60" s="93"/>
      <c r="V60" s="93"/>
      <c r="W60" s="113"/>
      <c r="X60" s="113"/>
      <c r="Y60" s="113"/>
      <c r="Z60" s="33"/>
      <c r="AB60" s="76" t="s">
        <v>87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88</v>
      </c>
      <c r="B62" s="256" t="n">
        <v>0</v>
      </c>
      <c r="C62" s="93"/>
      <c r="D62" s="93"/>
      <c r="E62" s="113"/>
      <c r="F62" s="113"/>
      <c r="G62" s="113"/>
      <c r="H62" s="33"/>
      <c r="J62" s="78" t="s">
        <v>88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88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88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89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89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89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89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90</v>
      </c>
      <c r="K64" s="258" t="n">
        <v>0.1</v>
      </c>
      <c r="L64" s="93"/>
      <c r="M64" s="93"/>
      <c r="N64" s="113"/>
      <c r="O64" s="113"/>
      <c r="P64" s="113"/>
      <c r="Q64" s="33"/>
      <c r="S64" s="82" t="s">
        <v>90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90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91</v>
      </c>
      <c r="B65" s="65" t="n">
        <f aca="false">(B89*B59)-(K47*K29)</f>
        <v>4452.15254185</v>
      </c>
      <c r="C65" s="93"/>
      <c r="D65" s="93"/>
      <c r="E65" s="113"/>
      <c r="F65" s="113"/>
      <c r="G65" s="113"/>
      <c r="H65" s="33"/>
      <c r="J65" s="56" t="s">
        <v>91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91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91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92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92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92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93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93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93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93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94</v>
      </c>
      <c r="B68" s="65" t="n">
        <f aca="false">(G158*B67)/1.2</f>
        <v>174.999966666667</v>
      </c>
      <c r="C68" s="93"/>
      <c r="D68" s="93"/>
      <c r="E68" s="113"/>
      <c r="F68" s="113"/>
      <c r="G68" s="113"/>
      <c r="H68" s="33"/>
      <c r="J68" s="56" t="s">
        <v>94</v>
      </c>
      <c r="K68" s="65" t="n">
        <f aca="false">K61*K67</f>
        <v>3039.45</v>
      </c>
      <c r="L68" s="93"/>
      <c r="M68" s="93"/>
      <c r="N68" s="113"/>
      <c r="O68" s="113"/>
      <c r="P68" s="113"/>
      <c r="Q68" s="33"/>
      <c r="S68" s="56" t="s">
        <v>94</v>
      </c>
      <c r="T68" s="65" t="n">
        <f aca="false">T61*T67</f>
        <v>405.26</v>
      </c>
      <c r="U68" s="93"/>
      <c r="V68" s="93"/>
      <c r="W68" s="113"/>
      <c r="X68" s="113"/>
      <c r="Y68" s="113"/>
      <c r="Z68" s="33"/>
      <c r="AB68" s="56" t="s">
        <v>94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95</v>
      </c>
      <c r="B69" s="256" t="n">
        <v>0</v>
      </c>
      <c r="C69" s="93"/>
      <c r="D69" s="93"/>
      <c r="E69" s="113"/>
      <c r="F69" s="113"/>
      <c r="G69" s="113"/>
      <c r="H69" s="33"/>
      <c r="J69" s="78" t="s">
        <v>95</v>
      </c>
      <c r="K69" s="256" t="n">
        <v>0</v>
      </c>
      <c r="L69" s="93"/>
      <c r="M69" s="93"/>
      <c r="N69" s="113"/>
      <c r="O69" s="113"/>
      <c r="P69" s="113"/>
      <c r="Q69" s="33"/>
      <c r="S69" s="78" t="s">
        <v>95</v>
      </c>
      <c r="T69" s="256" t="n">
        <v>0</v>
      </c>
      <c r="U69" s="93"/>
      <c r="V69" s="93"/>
      <c r="W69" s="113"/>
      <c r="X69" s="113"/>
      <c r="Y69" s="113"/>
      <c r="Z69" s="33"/>
      <c r="AB69" s="78" t="s">
        <v>95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96</v>
      </c>
      <c r="B70" s="257" t="n">
        <v>0</v>
      </c>
      <c r="C70" s="93"/>
      <c r="D70" s="93"/>
      <c r="E70" s="113"/>
      <c r="F70" s="113"/>
      <c r="G70" s="113"/>
      <c r="H70" s="33"/>
      <c r="J70" s="80" t="s">
        <v>96</v>
      </c>
      <c r="K70" s="257" t="n">
        <v>0</v>
      </c>
      <c r="L70" s="93"/>
      <c r="M70" s="93"/>
      <c r="N70" s="113"/>
      <c r="O70" s="113"/>
      <c r="P70" s="113"/>
      <c r="Q70" s="33"/>
      <c r="S70" s="80" t="s">
        <v>96</v>
      </c>
      <c r="T70" s="257" t="n">
        <v>0</v>
      </c>
      <c r="U70" s="93"/>
      <c r="V70" s="93"/>
      <c r="W70" s="113"/>
      <c r="X70" s="113"/>
      <c r="Y70" s="113"/>
      <c r="Z70" s="33"/>
      <c r="AB70" s="80" t="s">
        <v>96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97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97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97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98</v>
      </c>
      <c r="B72" s="86" t="n">
        <v>0</v>
      </c>
      <c r="C72" s="93"/>
      <c r="D72" s="93"/>
      <c r="E72" s="113"/>
      <c r="F72" s="113"/>
      <c r="G72" s="113"/>
      <c r="H72" s="33"/>
      <c r="J72" s="78" t="s">
        <v>98</v>
      </c>
      <c r="K72" s="86" t="n">
        <v>0</v>
      </c>
      <c r="L72" s="93"/>
      <c r="M72" s="93"/>
      <c r="N72" s="113"/>
      <c r="O72" s="113"/>
      <c r="P72" s="113"/>
      <c r="Q72" s="33"/>
      <c r="S72" s="78" t="s">
        <v>98</v>
      </c>
      <c r="T72" s="86" t="n">
        <v>0</v>
      </c>
      <c r="U72" s="93"/>
      <c r="V72" s="93"/>
      <c r="W72" s="113"/>
      <c r="X72" s="113"/>
      <c r="Y72" s="113"/>
      <c r="Z72" s="33"/>
      <c r="AB72" s="78" t="s">
        <v>98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99</v>
      </c>
      <c r="B73" s="77" t="n">
        <v>0</v>
      </c>
      <c r="C73" s="93"/>
      <c r="D73" s="93"/>
      <c r="E73" s="113"/>
      <c r="F73" s="113"/>
      <c r="G73" s="113"/>
      <c r="H73" s="33"/>
      <c r="J73" s="80" t="s">
        <v>99</v>
      </c>
      <c r="K73" s="77" t="n">
        <v>0</v>
      </c>
      <c r="L73" s="93"/>
      <c r="M73" s="93"/>
      <c r="N73" s="113"/>
      <c r="O73" s="113"/>
      <c r="P73" s="113"/>
      <c r="Q73" s="33"/>
      <c r="S73" s="80" t="s">
        <v>99</v>
      </c>
      <c r="T73" s="77" t="n">
        <v>0</v>
      </c>
      <c r="U73" s="93"/>
      <c r="V73" s="93"/>
      <c r="W73" s="113"/>
      <c r="X73" s="113"/>
      <c r="Y73" s="113"/>
      <c r="Z73" s="33"/>
      <c r="AB73" s="80" t="s">
        <v>99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100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100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100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100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101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101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101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101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102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102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102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102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103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103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103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104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104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104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104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105</v>
      </c>
      <c r="B79" s="59" t="n">
        <f aca="false">K47</f>
        <v>299.539129582044</v>
      </c>
      <c r="C79" s="93"/>
      <c r="D79" s="93"/>
      <c r="E79" s="113"/>
      <c r="F79" s="113"/>
      <c r="G79" s="113"/>
      <c r="H79" s="33"/>
      <c r="J79" s="90" t="s">
        <v>105</v>
      </c>
      <c r="K79" s="59" t="n">
        <f aca="false">K47</f>
        <v>299.539129582044</v>
      </c>
      <c r="L79" s="93"/>
      <c r="M79" s="93"/>
      <c r="N79" s="113"/>
      <c r="O79" s="113"/>
      <c r="P79" s="113"/>
      <c r="Q79" s="33"/>
      <c r="S79" s="90" t="s">
        <v>105</v>
      </c>
      <c r="T79" s="59" t="n">
        <f aca="false">B52</f>
        <v>299.539129582044</v>
      </c>
      <c r="U79" s="93"/>
      <c r="V79" s="93"/>
      <c r="W79" s="113"/>
      <c r="X79" s="113"/>
      <c r="Y79" s="113"/>
      <c r="Z79" s="33"/>
      <c r="AB79" s="90" t="s">
        <v>105</v>
      </c>
      <c r="AC79" s="59" t="n">
        <f aca="false">B52</f>
        <v>299.539129582044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106</v>
      </c>
      <c r="B81" s="27" t="n">
        <f aca="false">G158</f>
        <v>20999.996</v>
      </c>
      <c r="C81" s="93"/>
      <c r="D81" s="93"/>
      <c r="E81" s="113"/>
      <c r="F81" s="25" t="s">
        <v>106</v>
      </c>
      <c r="G81" s="27" t="n">
        <f aca="false">G158</f>
        <v>20999.996</v>
      </c>
      <c r="H81" s="33"/>
      <c r="J81" s="25" t="s">
        <v>106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106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106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107</v>
      </c>
      <c r="B82" s="33" t="n">
        <f aca="false">IF(A111="YES",A40,0)</f>
        <v>11730</v>
      </c>
      <c r="C82" s="93"/>
      <c r="D82" s="93"/>
      <c r="E82" s="113"/>
      <c r="F82" s="31" t="s">
        <v>107</v>
      </c>
      <c r="G82" s="33" t="n">
        <f aca="false">IF(A111="YES",A40,0)</f>
        <v>11730</v>
      </c>
      <c r="H82" s="33"/>
      <c r="J82" s="31" t="s">
        <v>107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107</v>
      </c>
      <c r="T82" s="33" t="n">
        <f aca="false">A40</f>
        <v>11730</v>
      </c>
      <c r="U82" s="93"/>
      <c r="V82" s="93"/>
      <c r="W82" s="113"/>
      <c r="X82" s="113"/>
      <c r="Y82" s="113"/>
      <c r="Z82" s="33"/>
      <c r="AB82" s="31" t="s">
        <v>107</v>
      </c>
      <c r="AC82" s="33" t="n">
        <f aca="false">A40</f>
        <v>11730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0.12</v>
      </c>
      <c r="C83" s="93"/>
      <c r="D83" s="93"/>
      <c r="E83" s="113"/>
      <c r="F83" s="31" t="s">
        <v>108</v>
      </c>
      <c r="G83" s="91" t="n">
        <f aca="false">B63</f>
        <v>0.07</v>
      </c>
      <c r="H83" s="33"/>
      <c r="J83" s="31" t="s">
        <v>108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108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108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109</v>
      </c>
      <c r="B84" s="92" t="n">
        <f aca="false">B83/12</f>
        <v>0.01</v>
      </c>
      <c r="C84" s="93"/>
      <c r="D84" s="93"/>
      <c r="E84" s="113"/>
      <c r="F84" s="31" t="s">
        <v>109</v>
      </c>
      <c r="G84" s="92" t="n">
        <f aca="false">G83/12</f>
        <v>0.00583333333333333</v>
      </c>
      <c r="H84" s="33"/>
      <c r="J84" s="31" t="s">
        <v>109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109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109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35</v>
      </c>
      <c r="C85" s="93"/>
      <c r="D85" s="93"/>
      <c r="E85" s="113"/>
      <c r="F85" s="31" t="s">
        <v>110</v>
      </c>
      <c r="G85" s="33" t="n">
        <f aca="false">IF(G82=0, (B59+B58), (B59))</f>
        <v>35</v>
      </c>
      <c r="H85" s="33"/>
      <c r="J85" s="31" t="s">
        <v>110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110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110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8198.38965912775</v>
      </c>
      <c r="C86" s="93"/>
      <c r="D86" s="93"/>
      <c r="E86" s="113"/>
      <c r="F86" s="31" t="s">
        <v>111</v>
      </c>
      <c r="G86" s="33" t="n">
        <f aca="false">(G82/((1+G84)^(G85+1)))</f>
        <v>9513.956169897</v>
      </c>
      <c r="H86" s="33"/>
      <c r="J86" s="31" t="s">
        <v>111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111</v>
      </c>
      <c r="T86" s="33" t="n">
        <f aca="false">(T82/((1+T84)^(T85+1)))</f>
        <v>7934.96785267316</v>
      </c>
      <c r="U86" s="93"/>
      <c r="V86" s="93"/>
      <c r="W86" s="113"/>
      <c r="X86" s="113"/>
      <c r="Y86" s="113"/>
      <c r="Z86" s="33"/>
      <c r="AB86" s="31" t="s">
        <v>111</v>
      </c>
      <c r="AC86" s="33" t="n">
        <f aca="false">(AC82/((1+AC84)^(AC85+1)))</f>
        <v>7934.96785267316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29.4085800876469</v>
      </c>
      <c r="C87" s="93"/>
      <c r="D87" s="93"/>
      <c r="E87" s="113"/>
      <c r="F87" s="31" t="s">
        <v>112</v>
      </c>
      <c r="G87" s="33" t="n">
        <f aca="false">((1-(1/((1+G84)^G85)))/G84)</f>
        <v>31.5753854942677</v>
      </c>
      <c r="H87" s="33"/>
      <c r="J87" s="31" t="s">
        <v>112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112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112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113</v>
      </c>
      <c r="B88" s="33" t="n">
        <f aca="false">B81-B86</f>
        <v>12801.6063408723</v>
      </c>
      <c r="C88" s="93"/>
      <c r="D88" s="93"/>
      <c r="E88" s="113"/>
      <c r="F88" s="31" t="s">
        <v>113</v>
      </c>
      <c r="G88" s="33" t="n">
        <f aca="false">G81-G86</f>
        <v>11486.039830103</v>
      </c>
      <c r="H88" s="33"/>
      <c r="J88" s="31" t="s">
        <v>113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113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113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114</v>
      </c>
      <c r="B89" s="33" t="n">
        <f aca="false">(B88/B87)</f>
        <v>435.301748765817</v>
      </c>
      <c r="C89" s="93"/>
      <c r="D89" s="93"/>
      <c r="E89" s="113"/>
      <c r="F89" s="31" t="s">
        <v>114</v>
      </c>
      <c r="G89" s="33" t="n">
        <f aca="false">(G88/G87)</f>
        <v>363.765624720186</v>
      </c>
      <c r="H89" s="33"/>
      <c r="J89" s="31" t="s">
        <v>114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114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114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15235.5612068036</v>
      </c>
      <c r="C90" s="93"/>
      <c r="D90" s="93"/>
      <c r="E90" s="113"/>
      <c r="F90" s="31" t="s">
        <v>115</v>
      </c>
      <c r="G90" s="33" t="n">
        <f aca="false">((G89*(G85))+G77)</f>
        <v>12731.7968652065</v>
      </c>
      <c r="H90" s="33"/>
      <c r="J90" s="31" t="s">
        <v>115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115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115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31" t="s">
        <v>116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116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116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117</v>
      </c>
      <c r="B92" s="65" t="n">
        <f aca="false">(B90+B91)</f>
        <v>15235.5612068036</v>
      </c>
      <c r="C92" s="93"/>
      <c r="D92" s="93"/>
      <c r="E92" s="113"/>
      <c r="F92" s="56" t="s">
        <v>117</v>
      </c>
      <c r="G92" s="65" t="n">
        <f aca="false">(G90+G91)</f>
        <v>12731.7968652065</v>
      </c>
      <c r="H92" s="33"/>
      <c r="J92" s="56" t="s">
        <v>117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117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117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118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88" t="s">
        <v>118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118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118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119</v>
      </c>
      <c r="B95" s="96" t="n">
        <f aca="false">B92/(B85)</f>
        <v>435.301748765817</v>
      </c>
      <c r="C95" s="93"/>
      <c r="D95" s="93"/>
      <c r="E95" s="113"/>
      <c r="F95" s="95" t="s">
        <v>119</v>
      </c>
      <c r="G95" s="96" t="n">
        <f aca="false">G92/(G85)</f>
        <v>363.765624720186</v>
      </c>
      <c r="H95" s="33"/>
      <c r="J95" s="95" t="s">
        <v>119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119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119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120</v>
      </c>
      <c r="B96" s="98" t="n">
        <f aca="false">B94+B95</f>
        <v>435.301748765817</v>
      </c>
      <c r="C96" s="93"/>
      <c r="D96" s="93"/>
      <c r="E96" s="113"/>
      <c r="F96" s="97" t="s">
        <v>120</v>
      </c>
      <c r="G96" s="98" t="n">
        <f aca="false">G94+G95</f>
        <v>363.765624720186</v>
      </c>
      <c r="H96" s="33"/>
      <c r="J96" s="97" t="s">
        <v>120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120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120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123</v>
      </c>
      <c r="K100" s="100"/>
      <c r="L100" s="100"/>
      <c r="M100" s="100"/>
      <c r="N100" s="100"/>
      <c r="O100" s="100"/>
      <c r="P100" s="100"/>
      <c r="Q100" s="100"/>
      <c r="S100" s="100" t="s">
        <v>124</v>
      </c>
      <c r="T100" s="100"/>
      <c r="U100" s="100"/>
      <c r="V100" s="100"/>
      <c r="W100" s="100"/>
      <c r="X100" s="100"/>
      <c r="Y100" s="100"/>
      <c r="Z100" s="100"/>
      <c r="AB100" s="100" t="s">
        <v>125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8" t="s">
        <v>126</v>
      </c>
      <c r="K102" s="28"/>
      <c r="L102" s="28"/>
      <c r="M102" s="28"/>
      <c r="N102" s="28"/>
      <c r="O102" s="28"/>
      <c r="P102" s="28"/>
      <c r="Q102" s="28"/>
      <c r="S102" s="28" t="s">
        <v>126</v>
      </c>
      <c r="T102" s="28"/>
      <c r="U102" s="28"/>
      <c r="V102" s="28"/>
      <c r="W102" s="28"/>
      <c r="X102" s="28"/>
      <c r="Y102" s="28"/>
      <c r="Z102" s="28"/>
      <c r="AB102" s="28" t="s">
        <v>126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31" t="s">
        <v>127</v>
      </c>
      <c r="K104" s="93" t="s">
        <v>23</v>
      </c>
      <c r="L104" s="93"/>
      <c r="M104" s="93"/>
      <c r="N104" s="93" t="s">
        <v>128</v>
      </c>
      <c r="O104" s="93"/>
      <c r="P104" s="93"/>
      <c r="Q104" s="33"/>
      <c r="S104" s="31" t="s">
        <v>127</v>
      </c>
      <c r="T104" s="93" t="s">
        <v>23</v>
      </c>
      <c r="U104" s="93"/>
      <c r="V104" s="93"/>
      <c r="W104" s="93" t="s">
        <v>128</v>
      </c>
      <c r="X104" s="93"/>
      <c r="Y104" s="93"/>
      <c r="Z104" s="33"/>
      <c r="AB104" s="31" t="s">
        <v>127</v>
      </c>
      <c r="AC104" s="93" t="s">
        <v>23</v>
      </c>
      <c r="AD104" s="93"/>
      <c r="AE104" s="93"/>
      <c r="AF104" s="93" t="s">
        <v>128</v>
      </c>
      <c r="AG104" s="93"/>
      <c r="AH104" s="93"/>
      <c r="AI104" s="33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451" t="s">
        <v>19</v>
      </c>
      <c r="F105" s="451"/>
      <c r="G105" s="451"/>
      <c r="H105" s="102"/>
      <c r="J105" s="36" t="s">
        <v>129</v>
      </c>
      <c r="K105" s="103" t="s">
        <v>130</v>
      </c>
      <c r="L105" s="103"/>
      <c r="M105" s="103"/>
      <c r="N105" s="104" t="s">
        <v>18</v>
      </c>
      <c r="O105" s="104"/>
      <c r="P105" s="104"/>
      <c r="Q105" s="102"/>
      <c r="S105" s="36" t="s">
        <v>129</v>
      </c>
      <c r="T105" s="103" t="s">
        <v>130</v>
      </c>
      <c r="U105" s="103"/>
      <c r="V105" s="103"/>
      <c r="W105" s="104" t="s">
        <v>18</v>
      </c>
      <c r="X105" s="104"/>
      <c r="Y105" s="104"/>
      <c r="Z105" s="102"/>
      <c r="AB105" s="36" t="s">
        <v>129</v>
      </c>
      <c r="AC105" s="103" t="s">
        <v>130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31" t="s">
        <v>131</v>
      </c>
      <c r="K107" s="93" t="s">
        <v>132</v>
      </c>
      <c r="L107" s="93"/>
      <c r="M107" s="113"/>
      <c r="N107" s="93" t="s">
        <v>133</v>
      </c>
      <c r="O107" s="93"/>
      <c r="P107" s="113"/>
      <c r="Q107" s="102"/>
      <c r="S107" s="31" t="s">
        <v>131</v>
      </c>
      <c r="T107" s="93" t="s">
        <v>132</v>
      </c>
      <c r="U107" s="93"/>
      <c r="V107" s="113"/>
      <c r="W107" s="93" t="s">
        <v>133</v>
      </c>
      <c r="X107" s="93"/>
      <c r="Y107" s="113"/>
      <c r="Z107" s="102"/>
      <c r="AB107" s="31" t="s">
        <v>131</v>
      </c>
      <c r="AC107" s="93" t="s">
        <v>132</v>
      </c>
      <c r="AD107" s="93"/>
      <c r="AE107" s="113"/>
      <c r="AF107" s="93" t="s">
        <v>133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134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135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135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31" t="s">
        <v>137</v>
      </c>
      <c r="K110" s="93" t="s">
        <v>138</v>
      </c>
      <c r="L110" s="93"/>
      <c r="M110" s="93"/>
      <c r="N110" s="93" t="s">
        <v>139</v>
      </c>
      <c r="O110" s="93"/>
      <c r="P110" s="93"/>
      <c r="Q110" s="33"/>
      <c r="S110" s="31" t="s">
        <v>137</v>
      </c>
      <c r="T110" s="93" t="s">
        <v>138</v>
      </c>
      <c r="U110" s="93"/>
      <c r="V110" s="93"/>
      <c r="W110" s="93" t="s">
        <v>139</v>
      </c>
      <c r="X110" s="93"/>
      <c r="Y110" s="93"/>
      <c r="Z110" s="33"/>
      <c r="AB110" s="31" t="s">
        <v>137</v>
      </c>
      <c r="AC110" s="93" t="s">
        <v>138</v>
      </c>
      <c r="AD110" s="93"/>
      <c r="AE110" s="93"/>
      <c r="AF110" s="93" t="s">
        <v>139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110" t="s">
        <v>140</v>
      </c>
      <c r="K113" s="93" t="s">
        <v>141</v>
      </c>
      <c r="L113" s="93"/>
      <c r="M113" s="93"/>
      <c r="N113" s="93" t="s">
        <v>142</v>
      </c>
      <c r="O113" s="93"/>
      <c r="P113" s="113"/>
      <c r="Q113" s="102"/>
      <c r="S113" s="110" t="s">
        <v>140</v>
      </c>
      <c r="T113" s="93" t="s">
        <v>141</v>
      </c>
      <c r="U113" s="93"/>
      <c r="V113" s="93"/>
      <c r="W113" s="93" t="s">
        <v>142</v>
      </c>
      <c r="X113" s="93"/>
      <c r="Y113" s="113"/>
      <c r="Z113" s="102"/>
      <c r="AB113" s="110" t="s">
        <v>140</v>
      </c>
      <c r="AC113" s="93" t="s">
        <v>141</v>
      </c>
      <c r="AD113" s="93"/>
      <c r="AE113" s="93"/>
      <c r="AF113" s="93" t="s">
        <v>142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143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8" t="s">
        <v>144</v>
      </c>
      <c r="K117" s="28"/>
      <c r="L117" s="28"/>
      <c r="M117" s="28"/>
      <c r="N117" s="28"/>
      <c r="O117" s="28"/>
      <c r="P117" s="28"/>
      <c r="Q117" s="28"/>
      <c r="S117" s="28" t="s">
        <v>144</v>
      </c>
      <c r="T117" s="28"/>
      <c r="U117" s="28"/>
      <c r="V117" s="28"/>
      <c r="W117" s="28"/>
      <c r="X117" s="28"/>
      <c r="Y117" s="28"/>
      <c r="Z117" s="28"/>
      <c r="AB117" s="28" t="s">
        <v>144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78"/>
      <c r="K119" s="114" t="s">
        <v>145</v>
      </c>
      <c r="L119" s="114"/>
      <c r="M119" s="114" t="s">
        <v>146</v>
      </c>
      <c r="N119" s="114"/>
      <c r="O119" s="114" t="s">
        <v>147</v>
      </c>
      <c r="P119" s="114"/>
      <c r="Q119" s="115" t="s">
        <v>148</v>
      </c>
      <c r="S119" s="78"/>
      <c r="T119" s="114" t="s">
        <v>145</v>
      </c>
      <c r="U119" s="114"/>
      <c r="V119" s="114" t="s">
        <v>146</v>
      </c>
      <c r="W119" s="114"/>
      <c r="X119" s="114" t="s">
        <v>147</v>
      </c>
      <c r="Y119" s="114"/>
      <c r="Z119" s="115" t="s">
        <v>148</v>
      </c>
      <c r="AB119" s="78"/>
      <c r="AC119" s="114" t="s">
        <v>145</v>
      </c>
      <c r="AD119" s="114"/>
      <c r="AE119" s="114" t="s">
        <v>146</v>
      </c>
      <c r="AF119" s="114"/>
      <c r="AG119" s="114" t="s">
        <v>147</v>
      </c>
      <c r="AH119" s="114"/>
      <c r="AI119" s="115" t="s">
        <v>148</v>
      </c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80"/>
      <c r="K120" s="116" t="s">
        <v>149</v>
      </c>
      <c r="L120" s="117" t="s">
        <v>150</v>
      </c>
      <c r="M120" s="116" t="s">
        <v>149</v>
      </c>
      <c r="N120" s="118" t="s">
        <v>150</v>
      </c>
      <c r="O120" s="116" t="s">
        <v>149</v>
      </c>
      <c r="P120" s="118" t="s">
        <v>150</v>
      </c>
      <c r="Q120" s="119"/>
      <c r="S120" s="80"/>
      <c r="T120" s="116" t="s">
        <v>149</v>
      </c>
      <c r="U120" s="117" t="s">
        <v>150</v>
      </c>
      <c r="V120" s="116" t="s">
        <v>149</v>
      </c>
      <c r="W120" s="118" t="s">
        <v>150</v>
      </c>
      <c r="X120" s="116" t="s">
        <v>149</v>
      </c>
      <c r="Y120" s="118" t="s">
        <v>150</v>
      </c>
      <c r="Z120" s="119"/>
      <c r="AB120" s="80"/>
      <c r="AC120" s="116" t="s">
        <v>149</v>
      </c>
      <c r="AD120" s="117" t="s">
        <v>150</v>
      </c>
      <c r="AE120" s="116" t="s">
        <v>149</v>
      </c>
      <c r="AF120" s="118" t="s">
        <v>150</v>
      </c>
      <c r="AG120" s="116" t="s">
        <v>149</v>
      </c>
      <c r="AH120" s="118" t="s">
        <v>150</v>
      </c>
      <c r="AI120" s="119"/>
    </row>
    <row r="121" customFormat="false" ht="17.35" hidden="false" customHeight="false" outlineLevel="0" collapsed="false">
      <c r="A121" s="25" t="s">
        <v>151</v>
      </c>
      <c r="B121" s="120" t="n">
        <f aca="false">B9</f>
        <v>17583.33</v>
      </c>
      <c r="C121" s="121" t="n">
        <v>19583.33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151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151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151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152</v>
      </c>
      <c r="K122" s="123" t="n">
        <f aca="false">B4</f>
        <v>21099.996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152</v>
      </c>
      <c r="T122" s="123" t="n">
        <f aca="false">B4</f>
        <v>21099.996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152</v>
      </c>
      <c r="AC122" s="123" t="n">
        <f aca="false">B4</f>
        <v>21099.996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153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153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153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154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154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154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155</v>
      </c>
      <c r="B125" s="132" t="n">
        <f aca="false">B121-B124</f>
        <v>17583.33</v>
      </c>
      <c r="C125" s="133" t="n">
        <f aca="false">C121-C124</f>
        <v>19583.33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155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155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155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134"/>
      <c r="K127" s="135"/>
      <c r="L127" s="135"/>
      <c r="M127" s="135"/>
      <c r="N127" s="135"/>
      <c r="O127" s="135"/>
      <c r="P127" s="136" t="s">
        <v>149</v>
      </c>
      <c r="Q127" s="137" t="s">
        <v>150</v>
      </c>
      <c r="S127" s="134"/>
      <c r="T127" s="135"/>
      <c r="U127" s="135"/>
      <c r="V127" s="135"/>
      <c r="W127" s="135"/>
      <c r="X127" s="135"/>
      <c r="Y127" s="136" t="s">
        <v>149</v>
      </c>
      <c r="Z127" s="137" t="s">
        <v>150</v>
      </c>
      <c r="AB127" s="134"/>
      <c r="AC127" s="135"/>
      <c r="AD127" s="135"/>
      <c r="AE127" s="135"/>
      <c r="AF127" s="135"/>
      <c r="AG127" s="135"/>
      <c r="AH127" s="136" t="s">
        <v>149</v>
      </c>
      <c r="AI127" s="137" t="s">
        <v>150</v>
      </c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156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156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156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147" t="s">
        <v>157</v>
      </c>
      <c r="K130" s="144" t="s">
        <v>158</v>
      </c>
      <c r="L130" s="144"/>
      <c r="M130" s="144" t="s">
        <v>159</v>
      </c>
      <c r="N130" s="144"/>
      <c r="O130" s="144" t="s">
        <v>153</v>
      </c>
      <c r="P130" s="144"/>
      <c r="Q130" s="145" t="s">
        <v>150</v>
      </c>
      <c r="S130" s="147" t="s">
        <v>157</v>
      </c>
      <c r="T130" s="144" t="s">
        <v>158</v>
      </c>
      <c r="U130" s="144"/>
      <c r="V130" s="144" t="s">
        <v>159</v>
      </c>
      <c r="W130" s="144"/>
      <c r="X130" s="144" t="s">
        <v>153</v>
      </c>
      <c r="Y130" s="144"/>
      <c r="Z130" s="145" t="s">
        <v>150</v>
      </c>
      <c r="AB130" s="147" t="s">
        <v>157</v>
      </c>
      <c r="AC130" s="144" t="s">
        <v>158</v>
      </c>
      <c r="AD130" s="144"/>
      <c r="AE130" s="144" t="s">
        <v>159</v>
      </c>
      <c r="AF130" s="144"/>
      <c r="AG130" s="144" t="s">
        <v>153</v>
      </c>
      <c r="AH130" s="144"/>
      <c r="AI130" s="145" t="s">
        <v>150</v>
      </c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160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160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160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161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161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161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162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162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162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B121</f>
        <v>17583.33</v>
      </c>
      <c r="H135" s="153" t="n">
        <f aca="false">C125+E125+G125+H128</f>
        <v>19583.33</v>
      </c>
      <c r="J135" s="152" t="s">
        <v>163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163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163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164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164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164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3516.666</v>
      </c>
      <c r="H137" s="33" t="n">
        <f aca="false">(H135+H136)*20%</f>
        <v>3916.666</v>
      </c>
      <c r="J137" s="154" t="s">
        <v>165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165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165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166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166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166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167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167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167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168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168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168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21099.996</v>
      </c>
      <c r="H141" s="157" t="n">
        <f aca="false">(H135+H136+H139+H140+H137)-H138</f>
        <v>23499.996</v>
      </c>
      <c r="J141" s="154" t="s">
        <v>169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169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169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170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170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170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111" t="s">
        <v>171</v>
      </c>
      <c r="K143" s="111"/>
      <c r="L143" s="111"/>
      <c r="M143" s="111"/>
      <c r="N143" s="111"/>
      <c r="O143" s="111"/>
      <c r="P143" s="103"/>
      <c r="Q143" s="33"/>
      <c r="S143" s="111" t="s">
        <v>171</v>
      </c>
      <c r="T143" s="111"/>
      <c r="U143" s="111"/>
      <c r="V143" s="111"/>
      <c r="W143" s="111"/>
      <c r="X143" s="111"/>
      <c r="Y143" s="103"/>
      <c r="Z143" s="33"/>
      <c r="AB143" s="111" t="s">
        <v>171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172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172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172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172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172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172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172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172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172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21099.996</v>
      </c>
      <c r="H147" s="164" t="n">
        <f aca="false">H141-((H144*1.2)+(H145*1.2)+(H146*1.2)+(H142*1.2))</f>
        <v>23499.996</v>
      </c>
      <c r="J147" s="154" t="s">
        <v>173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173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173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-15833.33</v>
      </c>
      <c r="J148" s="154" t="s">
        <v>174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174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174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8" t="s">
        <v>175</v>
      </c>
      <c r="K150" s="28"/>
      <c r="L150" s="28"/>
      <c r="M150" s="28"/>
      <c r="N150" s="28"/>
      <c r="O150" s="28"/>
      <c r="P150" s="28"/>
      <c r="Q150" s="28"/>
      <c r="S150" s="28" t="s">
        <v>175</v>
      </c>
      <c r="T150" s="28"/>
      <c r="U150" s="28"/>
      <c r="V150" s="28"/>
      <c r="W150" s="28"/>
      <c r="X150" s="28"/>
      <c r="Y150" s="28"/>
      <c r="Z150" s="28"/>
      <c r="AB150" s="28" t="s">
        <v>175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176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176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176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177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177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177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178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178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178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179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179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179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180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180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180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20999.996</v>
      </c>
      <c r="H158" s="170"/>
      <c r="J158" s="169" t="s">
        <v>181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181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181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8" t="s">
        <v>182</v>
      </c>
      <c r="K162" s="28"/>
      <c r="L162" s="28"/>
      <c r="M162" s="28"/>
      <c r="N162" s="28"/>
      <c r="O162" s="28"/>
      <c r="P162" s="28"/>
      <c r="Q162" s="28"/>
      <c r="S162" s="28" t="s">
        <v>182</v>
      </c>
      <c r="T162" s="28"/>
      <c r="U162" s="28"/>
      <c r="V162" s="28"/>
      <c r="W162" s="28"/>
      <c r="X162" s="28"/>
      <c r="Y162" s="28"/>
      <c r="Z162" s="28"/>
      <c r="AB162" s="28" t="s">
        <v>182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183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183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183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173" t="s">
        <v>184</v>
      </c>
      <c r="K166" s="174" t="s">
        <v>185</v>
      </c>
      <c r="L166" s="174"/>
      <c r="M166" s="174"/>
      <c r="N166" s="174" t="s">
        <v>186</v>
      </c>
      <c r="O166" s="23"/>
      <c r="P166" s="23"/>
      <c r="Q166" s="33"/>
      <c r="S166" s="173" t="s">
        <v>184</v>
      </c>
      <c r="T166" s="174" t="s">
        <v>185</v>
      </c>
      <c r="U166" s="174"/>
      <c r="V166" s="174"/>
      <c r="W166" s="174" t="s">
        <v>186</v>
      </c>
      <c r="X166" s="23"/>
      <c r="Y166" s="23"/>
      <c r="Z166" s="33"/>
      <c r="AB166" s="173" t="s">
        <v>184</v>
      </c>
      <c r="AC166" s="174" t="s">
        <v>185</v>
      </c>
      <c r="AD166" s="174"/>
      <c r="AE166" s="174"/>
      <c r="AF166" s="174" t="s">
        <v>186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435.301748765817</v>
      </c>
      <c r="B167" s="177" t="str">
        <f aca="false">B94</f>
        <v>0</v>
      </c>
      <c r="C167" s="174"/>
      <c r="D167" s="174"/>
      <c r="E167" s="177" t="n">
        <f aca="false">B96</f>
        <v>435.301748765817</v>
      </c>
      <c r="F167" s="23"/>
      <c r="G167" s="23" t="n">
        <f aca="false">ROUND(G95, 2)</f>
        <v>363.77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31" t="s">
        <v>83</v>
      </c>
      <c r="K169" s="93" t="s">
        <v>84</v>
      </c>
      <c r="L169" s="93"/>
      <c r="M169" s="23"/>
      <c r="N169" s="93" t="s">
        <v>188</v>
      </c>
      <c r="O169" s="23"/>
      <c r="P169" s="23"/>
      <c r="Q169" s="33"/>
      <c r="S169" s="31" t="s">
        <v>83</v>
      </c>
      <c r="T169" s="93" t="s">
        <v>84</v>
      </c>
      <c r="U169" s="93"/>
      <c r="V169" s="23"/>
      <c r="W169" s="93" t="s">
        <v>188</v>
      </c>
      <c r="X169" s="23"/>
      <c r="Y169" s="23"/>
      <c r="Z169" s="33"/>
      <c r="AB169" s="31" t="s">
        <v>83</v>
      </c>
      <c r="AC169" s="93" t="s">
        <v>84</v>
      </c>
      <c r="AD169" s="93"/>
      <c r="AE169" s="23"/>
      <c r="AF169" s="93" t="s">
        <v>188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11730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11730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11730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11730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31" t="s">
        <v>189</v>
      </c>
      <c r="K172" s="93" t="s">
        <v>190</v>
      </c>
      <c r="L172" s="93"/>
      <c r="M172" s="23"/>
      <c r="N172" s="93" t="s">
        <v>191</v>
      </c>
      <c r="O172" s="23"/>
      <c r="P172" s="23"/>
      <c r="Q172" s="33"/>
      <c r="S172" s="31" t="s">
        <v>189</v>
      </c>
      <c r="T172" s="93" t="s">
        <v>190</v>
      </c>
      <c r="U172" s="93"/>
      <c r="V172" s="23"/>
      <c r="W172" s="93" t="s">
        <v>191</v>
      </c>
      <c r="X172" s="23"/>
      <c r="Y172" s="23"/>
      <c r="Z172" s="33"/>
      <c r="AB172" s="31" t="s">
        <v>189</v>
      </c>
      <c r="AC172" s="93" t="s">
        <v>190</v>
      </c>
      <c r="AD172" s="93"/>
      <c r="AE172" s="23"/>
      <c r="AF172" s="93" t="s">
        <v>191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19583.33</v>
      </c>
      <c r="B173" s="103" t="n">
        <f aca="false">H137</f>
        <v>3916.666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31" t="s">
        <v>192</v>
      </c>
      <c r="K175" s="93" t="s">
        <v>138</v>
      </c>
      <c r="L175" s="93"/>
      <c r="M175" s="23"/>
      <c r="N175" s="93" t="s">
        <v>139</v>
      </c>
      <c r="O175" s="23"/>
      <c r="P175" s="23"/>
      <c r="Q175" s="33"/>
      <c r="S175" s="31" t="s">
        <v>192</v>
      </c>
      <c r="T175" s="93" t="s">
        <v>138</v>
      </c>
      <c r="U175" s="93"/>
      <c r="V175" s="23"/>
      <c r="W175" s="93" t="s">
        <v>139</v>
      </c>
      <c r="X175" s="23"/>
      <c r="Y175" s="23"/>
      <c r="Z175" s="33"/>
      <c r="AB175" s="31" t="s">
        <v>192</v>
      </c>
      <c r="AC175" s="93" t="s">
        <v>138</v>
      </c>
      <c r="AD175" s="93"/>
      <c r="AE175" s="23"/>
      <c r="AF175" s="93" t="s">
        <v>139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23499.996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31" t="s">
        <v>140</v>
      </c>
      <c r="K178" s="93" t="s">
        <v>176</v>
      </c>
      <c r="L178" s="93"/>
      <c r="M178" s="23"/>
      <c r="N178" s="93" t="s">
        <v>181</v>
      </c>
      <c r="O178" s="23"/>
      <c r="P178" s="23"/>
      <c r="Q178" s="33"/>
      <c r="S178" s="31" t="s">
        <v>140</v>
      </c>
      <c r="T178" s="93" t="s">
        <v>176</v>
      </c>
      <c r="U178" s="93"/>
      <c r="V178" s="23"/>
      <c r="W178" s="93" t="s">
        <v>181</v>
      </c>
      <c r="X178" s="23"/>
      <c r="Y178" s="23"/>
      <c r="Z178" s="33"/>
      <c r="AB178" s="31" t="s">
        <v>140</v>
      </c>
      <c r="AC178" s="93" t="s">
        <v>176</v>
      </c>
      <c r="AD178" s="93"/>
      <c r="AE178" s="23"/>
      <c r="AF178" s="93" t="s">
        <v>181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20999.996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31" t="s">
        <v>193</v>
      </c>
      <c r="K181" s="93" t="s">
        <v>53</v>
      </c>
      <c r="L181" s="93"/>
      <c r="M181" s="23"/>
      <c r="N181" s="93" t="s">
        <v>194</v>
      </c>
      <c r="O181" s="23"/>
      <c r="P181" s="23"/>
      <c r="Q181" s="33"/>
      <c r="S181" s="31" t="s">
        <v>193</v>
      </c>
      <c r="T181" s="93" t="s">
        <v>53</v>
      </c>
      <c r="U181" s="93"/>
      <c r="V181" s="23"/>
      <c r="W181" s="93" t="s">
        <v>194</v>
      </c>
      <c r="X181" s="23"/>
      <c r="Y181" s="23"/>
      <c r="Z181" s="33"/>
      <c r="AB181" s="31" t="s">
        <v>193</v>
      </c>
      <c r="AC181" s="93" t="s">
        <v>53</v>
      </c>
      <c r="AD181" s="93"/>
      <c r="AE181" s="23"/>
      <c r="AF181" s="93" t="s">
        <v>194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5965.56520680359</v>
      </c>
      <c r="B182" s="103" t="str">
        <f aca="false">B114</f>
        <v>239.99</v>
      </c>
      <c r="C182" s="103"/>
      <c r="D182" s="23"/>
      <c r="E182" s="103" t="n">
        <f aca="false">E179+A182+B182+A185</f>
        <v>27215.5512068036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31" t="s">
        <v>195</v>
      </c>
      <c r="K184" s="93" t="s">
        <v>196</v>
      </c>
      <c r="L184" s="93"/>
      <c r="M184" s="23"/>
      <c r="N184" s="93" t="s">
        <v>197</v>
      </c>
      <c r="O184" s="23"/>
      <c r="P184" s="23"/>
      <c r="Q184" s="33"/>
      <c r="S184" s="31" t="s">
        <v>195</v>
      </c>
      <c r="T184" s="93" t="s">
        <v>196</v>
      </c>
      <c r="U184" s="93"/>
      <c r="V184" s="23"/>
      <c r="W184" s="93" t="s">
        <v>197</v>
      </c>
      <c r="X184" s="23"/>
      <c r="Y184" s="23"/>
      <c r="Z184" s="33"/>
      <c r="AB184" s="31" t="s">
        <v>195</v>
      </c>
      <c r="AC184" s="93" t="s">
        <v>196</v>
      </c>
      <c r="AD184" s="93"/>
      <c r="AE184" s="23"/>
      <c r="AF184" s="93" t="s">
        <v>197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E170+A185</f>
        <v>11740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11750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11740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11740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31" t="s">
        <v>198</v>
      </c>
      <c r="K187" s="93" t="s">
        <v>199</v>
      </c>
      <c r="L187" s="93"/>
      <c r="M187" s="93"/>
      <c r="N187" s="166" t="s">
        <v>200</v>
      </c>
      <c r="O187" s="23"/>
      <c r="P187" s="23"/>
      <c r="Q187" s="33"/>
      <c r="S187" s="31" t="s">
        <v>198</v>
      </c>
      <c r="T187" s="93" t="s">
        <v>199</v>
      </c>
      <c r="U187" s="93"/>
      <c r="V187" s="93"/>
      <c r="W187" s="166" t="s">
        <v>200</v>
      </c>
      <c r="X187" s="32"/>
      <c r="Y187" s="32"/>
      <c r="Z187" s="33"/>
      <c r="AB187" s="31" t="s">
        <v>198</v>
      </c>
      <c r="AC187" s="93" t="s">
        <v>199</v>
      </c>
      <c r="AD187" s="93"/>
      <c r="AE187" s="93"/>
      <c r="AF187" s="166" t="s">
        <v>200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0</v>
      </c>
      <c r="B188" s="103" t="n">
        <f aca="false">(G158*B67)</f>
        <v>209.99996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60" t="s">
        <v>201</v>
      </c>
      <c r="K190" s="166" t="s">
        <v>202</v>
      </c>
      <c r="L190" s="93"/>
      <c r="M190" s="93"/>
      <c r="N190" s="166" t="s">
        <v>203</v>
      </c>
      <c r="O190" s="23"/>
      <c r="P190" s="23"/>
      <c r="Q190" s="33"/>
      <c r="S190" s="60" t="s">
        <v>201</v>
      </c>
      <c r="T190" s="166" t="s">
        <v>202</v>
      </c>
      <c r="U190" s="93"/>
      <c r="V190" s="93"/>
      <c r="W190" s="166" t="s">
        <v>203</v>
      </c>
      <c r="X190" s="32"/>
      <c r="Y190" s="32"/>
      <c r="Z190" s="33"/>
      <c r="AB190" s="60" t="s">
        <v>201</v>
      </c>
      <c r="AC190" s="166" t="s">
        <v>202</v>
      </c>
      <c r="AD190" s="93"/>
      <c r="AE190" s="93"/>
      <c r="AF190" s="166" t="s">
        <v>203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309.991626666667</v>
      </c>
      <c r="C191" s="93"/>
      <c r="D191" s="93"/>
      <c r="E191" s="103" t="n">
        <f aca="false">H148</f>
        <v>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66" t="s">
        <v>204</v>
      </c>
      <c r="K193" s="93"/>
      <c r="L193" s="93"/>
      <c r="M193" s="67"/>
      <c r="N193" s="67"/>
      <c r="O193" s="67"/>
      <c r="P193" s="67"/>
      <c r="Q193" s="68"/>
      <c r="S193" s="66" t="s">
        <v>204</v>
      </c>
      <c r="T193" s="93"/>
      <c r="U193" s="93"/>
      <c r="V193" s="67"/>
      <c r="W193" s="67"/>
      <c r="X193" s="67"/>
      <c r="Y193" s="67"/>
      <c r="Z193" s="68"/>
      <c r="AB193" s="66" t="s">
        <v>204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187" t="s">
        <v>83</v>
      </c>
      <c r="K195" s="71" t="s">
        <v>84</v>
      </c>
      <c r="L195" s="71"/>
      <c r="M195" s="71"/>
      <c r="N195" s="23"/>
      <c r="O195" s="23"/>
      <c r="P195" s="23"/>
      <c r="Q195" s="33"/>
      <c r="S195" s="187" t="s">
        <v>83</v>
      </c>
      <c r="T195" s="71" t="s">
        <v>84</v>
      </c>
      <c r="U195" s="71"/>
      <c r="V195" s="71"/>
      <c r="W195" s="23"/>
      <c r="X195" s="23"/>
      <c r="Y195" s="23"/>
      <c r="Z195" s="33"/>
      <c r="AB195" s="187" t="s">
        <v>83</v>
      </c>
      <c r="AC195" s="71" t="s">
        <v>84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435.301748765817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3461.95399999999</v>
      </c>
      <c r="B201" s="186" t="n">
        <f aca="false">E179+A201+B182+A185</f>
        <v>24711.94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435.301748765817</v>
      </c>
      <c r="B212" s="177" t="str">
        <f aca="false">B167</f>
        <v>0</v>
      </c>
      <c r="C212" s="174"/>
      <c r="D212" s="174"/>
      <c r="E212" s="177" t="n">
        <f aca="false">E167</f>
        <v>435.301748765817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19583.33</v>
      </c>
      <c r="B215" s="103" t="n">
        <f aca="false">B173</f>
        <v>3916.666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23499.996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20999.996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5965.56520680359</v>
      </c>
      <c r="B224" s="103" t="str">
        <f aca="false">B182</f>
        <v>239.99</v>
      </c>
      <c r="C224" s="103"/>
      <c r="D224" s="113"/>
      <c r="E224" s="103" t="n">
        <f aca="false">E182</f>
        <v>27215.5512068036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435.301748765817</v>
      </c>
      <c r="B230" s="103" t="str">
        <f aca="false">B167</f>
        <v>0</v>
      </c>
      <c r="C230" s="186"/>
      <c r="D230" s="186"/>
      <c r="E230" s="103" t="n">
        <f aca="false">E167</f>
        <v>435.301748765817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188</v>
      </c>
      <c r="B232" s="93" t="s">
        <v>210</v>
      </c>
      <c r="C232" s="93"/>
      <c r="D232" s="93"/>
      <c r="E232" s="93" t="s">
        <v>211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11730</v>
      </c>
      <c r="B233" s="103" t="n">
        <f aca="false">E185</f>
        <v>11740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132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B68</f>
        <v>174.999966666667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2274.99163333333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K35</f>
        <v>0.07</v>
      </c>
      <c r="C253" s="197"/>
      <c r="D253" s="198" t="s">
        <v>216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2513.61120680359</v>
      </c>
      <c r="C254" s="197"/>
      <c r="D254" s="198" t="s">
        <v>218</v>
      </c>
      <c r="E254" s="198"/>
      <c r="F254" s="200" t="n">
        <f aca="false">F261+F267+F269+B270+B271</f>
        <v>209.99996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99.9916666666667</v>
      </c>
      <c r="C255" s="197"/>
      <c r="D255" s="198" t="s">
        <v>220</v>
      </c>
      <c r="E255" s="198"/>
      <c r="F255" s="200" t="n">
        <f aca="false">(B254-F254)+B255</f>
        <v>2403.60291347026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0.12</v>
      </c>
      <c r="C260" s="43"/>
      <c r="D260" s="166" t="s">
        <v>217</v>
      </c>
      <c r="E260" s="166"/>
      <c r="F260" s="146" t="n">
        <f aca="false">B254</f>
        <v>2513.61120680359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0.01</v>
      </c>
      <c r="C261" s="32"/>
      <c r="D261" s="166" t="s">
        <v>223</v>
      </c>
      <c r="E261" s="166"/>
      <c r="F261" s="151" t="n">
        <f aca="false">B68*1.2</f>
        <v>209.99996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99.9916666666667</v>
      </c>
      <c r="C263" s="32"/>
      <c r="D263" s="39" t="s">
        <v>220</v>
      </c>
      <c r="E263" s="39"/>
      <c r="F263" s="146" t="n">
        <f aca="false">(B254-F254)+B255</f>
        <v>2403.60291347026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128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126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83</v>
      </c>
      <c r="K29" s="448" t="n">
        <v>12</v>
      </c>
      <c r="P29" s="212"/>
    </row>
    <row r="30" customFormat="false" ht="17.9" hidden="false" customHeight="false" outlineLevel="0" collapsed="false">
      <c r="A30" s="31" t="s">
        <v>183</v>
      </c>
      <c r="B30" s="104" t="s">
        <v>348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17280</v>
      </c>
      <c r="P31" s="212"/>
    </row>
    <row r="32" customFormat="false" ht="34.3" hidden="false" customHeight="false" outlineLevel="0" collapsed="false">
      <c r="A32" s="31" t="s">
        <v>83</v>
      </c>
      <c r="B32" s="93" t="s">
        <v>84</v>
      </c>
      <c r="C32" s="93"/>
      <c r="D32" s="93"/>
      <c r="E32" s="93" t="s">
        <v>354</v>
      </c>
      <c r="F32" s="93"/>
      <c r="G32" s="93"/>
      <c r="H32" s="33"/>
      <c r="I32" s="2"/>
      <c r="J32" s="29" t="s">
        <v>36</v>
      </c>
      <c r="K32" s="449" t="n">
        <v>300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391.182122867598</v>
      </c>
      <c r="F33" s="232"/>
      <c r="G33" s="232"/>
      <c r="H33" s="47"/>
      <c r="I33" s="2"/>
      <c r="J33" s="34" t="s">
        <v>355</v>
      </c>
      <c r="K33" s="48" t="n">
        <f aca="false">E21</f>
        <v>17583.33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366.182122867598</v>
      </c>
      <c r="B36" s="232" t="n">
        <f aca="false">IF(B26="YES", K42, "0.00")</f>
        <v>25</v>
      </c>
      <c r="C36" s="232"/>
      <c r="D36" s="232"/>
      <c r="E36" s="232" t="n">
        <f aca="false">K31</f>
        <v>17280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85</v>
      </c>
      <c r="K39" s="2" t="n">
        <f aca="false">K33</f>
        <v>17583.33</v>
      </c>
      <c r="L39" s="2" t="n">
        <f aca="false">(L47*K46)+K44</f>
        <v>22308.087321496</v>
      </c>
      <c r="N39" s="1" t="n">
        <f aca="false">K39-L39</f>
        <v>-4724.75732149599</v>
      </c>
      <c r="P39" s="212"/>
    </row>
    <row r="40" customFormat="false" ht="17.35" hidden="false" customHeight="false" outlineLevel="0" collapsed="false">
      <c r="A40" s="107" t="n">
        <f aca="false">E36*A45/100</f>
        <v>17280</v>
      </c>
      <c r="B40" s="107" t="n">
        <f aca="false">IF(B26="YES", K42, "0.00")</f>
        <v>25</v>
      </c>
      <c r="C40" s="107"/>
      <c r="D40" s="107"/>
      <c r="E40" s="182" t="n">
        <f aca="false">K32</f>
        <v>300</v>
      </c>
      <c r="F40" s="186"/>
      <c r="G40" s="186"/>
      <c r="H40" s="47"/>
      <c r="J40" s="2" t="s">
        <v>107</v>
      </c>
      <c r="K40" s="2" t="n">
        <f aca="false">(A40)/1.2</f>
        <v>14400</v>
      </c>
      <c r="L40" s="2" t="n">
        <f aca="false">K39-L39</f>
        <v>-4724.75732149599</v>
      </c>
      <c r="N40" s="1" t="n">
        <f aca="false">N38-N39</f>
        <v>7636.43732149599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(K32/K36)*C45/100</f>
        <v>25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77</v>
      </c>
      <c r="B44" s="93"/>
      <c r="C44" s="291" t="s">
        <v>78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13351.319212812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366</v>
      </c>
      <c r="K45" s="2" t="n">
        <f aca="false">(K39-K44)</f>
        <v>4232.01078718802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11.5571201402374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366.182122867598</v>
      </c>
      <c r="L47" s="2" t="n">
        <f aca="false">L49-K42</f>
        <v>775</v>
      </c>
      <c r="M47" s="1" t="n">
        <f aca="false">K47-L47</f>
        <v>-408.817877132402</v>
      </c>
      <c r="P47" s="212"/>
    </row>
    <row r="48" customFormat="false" ht="31.8" hidden="false" customHeight="false" outlineLevel="0" collapsed="false">
      <c r="A48" s="66" t="s">
        <v>82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391.182122867598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83</v>
      </c>
      <c r="B50" s="71" t="s">
        <v>84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391.182122867598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85</v>
      </c>
      <c r="B58" s="93" t="n">
        <v>1</v>
      </c>
      <c r="C58" s="93"/>
      <c r="D58" s="93"/>
      <c r="E58" s="113"/>
      <c r="F58" s="113"/>
      <c r="G58" s="113"/>
      <c r="H58" s="33"/>
      <c r="J58" s="31" t="s">
        <v>85</v>
      </c>
      <c r="K58" s="93" t="n">
        <v>1</v>
      </c>
      <c r="L58" s="93"/>
      <c r="M58" s="93"/>
      <c r="N58" s="113"/>
      <c r="O58" s="113"/>
      <c r="P58" s="113"/>
      <c r="Q58" s="33"/>
      <c r="S58" s="31" t="s">
        <v>85</v>
      </c>
      <c r="T58" s="93" t="n">
        <v>1</v>
      </c>
      <c r="U58" s="93"/>
      <c r="V58" s="93"/>
      <c r="W58" s="113"/>
      <c r="X58" s="113"/>
      <c r="Y58" s="113"/>
      <c r="Z58" s="33"/>
      <c r="AB58" s="31" t="s">
        <v>85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86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86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86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86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87</v>
      </c>
      <c r="B60" s="77" t="n">
        <v>10</v>
      </c>
      <c r="C60" s="93"/>
      <c r="D60" s="93"/>
      <c r="E60" s="113"/>
      <c r="F60" s="113"/>
      <c r="G60" s="113"/>
      <c r="H60" s="33"/>
      <c r="J60" s="76" t="s">
        <v>87</v>
      </c>
      <c r="K60" s="77" t="n">
        <v>20</v>
      </c>
      <c r="L60" s="93"/>
      <c r="M60" s="93"/>
      <c r="N60" s="113"/>
      <c r="O60" s="113"/>
      <c r="P60" s="113"/>
      <c r="Q60" s="33"/>
      <c r="S60" s="76" t="s">
        <v>87</v>
      </c>
      <c r="T60" s="77" t="n">
        <v>10</v>
      </c>
      <c r="U60" s="93"/>
      <c r="V60" s="93"/>
      <c r="W60" s="113"/>
      <c r="X60" s="113"/>
      <c r="Y60" s="113"/>
      <c r="Z60" s="33"/>
      <c r="AB60" s="76" t="s">
        <v>87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88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88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88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88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89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89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89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89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90</v>
      </c>
      <c r="K64" s="258" t="n">
        <v>0.1</v>
      </c>
      <c r="L64" s="93"/>
      <c r="M64" s="93"/>
      <c r="N64" s="113"/>
      <c r="O64" s="113"/>
      <c r="P64" s="113"/>
      <c r="Q64" s="33"/>
      <c r="S64" s="82" t="s">
        <v>90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90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91</v>
      </c>
      <c r="B65" s="65" t="n">
        <f aca="false">(B89*B59)-(K47*K29)</f>
        <v>1816.0436977276</v>
      </c>
      <c r="C65" s="93"/>
      <c r="D65" s="93"/>
      <c r="E65" s="113"/>
      <c r="F65" s="113"/>
      <c r="G65" s="113"/>
      <c r="H65" s="33"/>
      <c r="J65" s="56" t="s">
        <v>91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91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91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92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92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92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93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93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93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93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94</v>
      </c>
      <c r="B68" s="65" t="n">
        <f aca="false">(G158*B67)/1.2</f>
        <v>87.4999833333334</v>
      </c>
      <c r="C68" s="93"/>
      <c r="D68" s="93"/>
      <c r="E68" s="113"/>
      <c r="F68" s="113"/>
      <c r="G68" s="113"/>
      <c r="H68" s="33"/>
      <c r="J68" s="56" t="s">
        <v>94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94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94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95</v>
      </c>
      <c r="B69" s="256" t="n">
        <v>0</v>
      </c>
      <c r="C69" s="93"/>
      <c r="D69" s="93"/>
      <c r="E69" s="113"/>
      <c r="F69" s="113"/>
      <c r="G69" s="113"/>
      <c r="H69" s="33"/>
      <c r="J69" s="78" t="s">
        <v>95</v>
      </c>
      <c r="K69" s="256" t="n">
        <v>0</v>
      </c>
      <c r="L69" s="93"/>
      <c r="M69" s="93"/>
      <c r="N69" s="113"/>
      <c r="O69" s="113"/>
      <c r="P69" s="113"/>
      <c r="Q69" s="33"/>
      <c r="S69" s="78" t="s">
        <v>95</v>
      </c>
      <c r="T69" s="256" t="n">
        <v>0</v>
      </c>
      <c r="U69" s="93"/>
      <c r="V69" s="93"/>
      <c r="W69" s="113"/>
      <c r="X69" s="113"/>
      <c r="Y69" s="113"/>
      <c r="Z69" s="33"/>
      <c r="AB69" s="78" t="s">
        <v>95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96</v>
      </c>
      <c r="B70" s="257" t="n">
        <v>0</v>
      </c>
      <c r="C70" s="93"/>
      <c r="D70" s="93"/>
      <c r="E70" s="113"/>
      <c r="F70" s="113"/>
      <c r="G70" s="113"/>
      <c r="H70" s="33"/>
      <c r="J70" s="80" t="s">
        <v>96</v>
      </c>
      <c r="K70" s="257" t="n">
        <v>0</v>
      </c>
      <c r="L70" s="93"/>
      <c r="M70" s="93"/>
      <c r="N70" s="113"/>
      <c r="O70" s="113"/>
      <c r="P70" s="113"/>
      <c r="Q70" s="33"/>
      <c r="S70" s="80" t="s">
        <v>96</v>
      </c>
      <c r="T70" s="257" t="n">
        <v>0</v>
      </c>
      <c r="U70" s="93"/>
      <c r="V70" s="93"/>
      <c r="W70" s="113"/>
      <c r="X70" s="113"/>
      <c r="Y70" s="113"/>
      <c r="Z70" s="33"/>
      <c r="AB70" s="80" t="s">
        <v>96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97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97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97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98</v>
      </c>
      <c r="B72" s="86" t="n">
        <v>0</v>
      </c>
      <c r="C72" s="93"/>
      <c r="D72" s="93"/>
      <c r="E72" s="113"/>
      <c r="F72" s="113"/>
      <c r="G72" s="113"/>
      <c r="H72" s="33"/>
      <c r="J72" s="78" t="s">
        <v>98</v>
      </c>
      <c r="K72" s="86" t="n">
        <v>0</v>
      </c>
      <c r="L72" s="93"/>
      <c r="M72" s="93"/>
      <c r="N72" s="113"/>
      <c r="O72" s="113"/>
      <c r="P72" s="113"/>
      <c r="Q72" s="33"/>
      <c r="S72" s="78" t="s">
        <v>98</v>
      </c>
      <c r="T72" s="86" t="n">
        <v>0</v>
      </c>
      <c r="U72" s="93"/>
      <c r="V72" s="93"/>
      <c r="W72" s="113"/>
      <c r="X72" s="113"/>
      <c r="Y72" s="113"/>
      <c r="Z72" s="33"/>
      <c r="AB72" s="78" t="s">
        <v>98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99</v>
      </c>
      <c r="B73" s="77" t="n">
        <v>0</v>
      </c>
      <c r="C73" s="93"/>
      <c r="D73" s="93"/>
      <c r="E73" s="113"/>
      <c r="F73" s="113"/>
      <c r="G73" s="113"/>
      <c r="H73" s="33"/>
      <c r="J73" s="80" t="s">
        <v>99</v>
      </c>
      <c r="K73" s="77" t="n">
        <v>0</v>
      </c>
      <c r="L73" s="93"/>
      <c r="M73" s="93"/>
      <c r="N73" s="113"/>
      <c r="O73" s="113"/>
      <c r="P73" s="113"/>
      <c r="Q73" s="33"/>
      <c r="S73" s="80" t="s">
        <v>99</v>
      </c>
      <c r="T73" s="77" t="n">
        <v>0</v>
      </c>
      <c r="U73" s="93"/>
      <c r="V73" s="93"/>
      <c r="W73" s="113"/>
      <c r="X73" s="113"/>
      <c r="Y73" s="113"/>
      <c r="Z73" s="33"/>
      <c r="AB73" s="80" t="s">
        <v>99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100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100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100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100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101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101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101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101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102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102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102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102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103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103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103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104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104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104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104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105</v>
      </c>
      <c r="B79" s="59" t="n">
        <f aca="false">K47</f>
        <v>366.182122867598</v>
      </c>
      <c r="C79" s="93"/>
      <c r="D79" s="93"/>
      <c r="E79" s="113"/>
      <c r="F79" s="113"/>
      <c r="G79" s="113"/>
      <c r="H79" s="33"/>
      <c r="J79" s="90" t="s">
        <v>105</v>
      </c>
      <c r="K79" s="59" t="n">
        <f aca="false">K47</f>
        <v>366.182122867598</v>
      </c>
      <c r="L79" s="93"/>
      <c r="M79" s="93"/>
      <c r="N79" s="113"/>
      <c r="O79" s="113"/>
      <c r="P79" s="113"/>
      <c r="Q79" s="33"/>
      <c r="S79" s="90" t="s">
        <v>105</v>
      </c>
      <c r="T79" s="59" t="n">
        <f aca="false">B52</f>
        <v>391.182122867598</v>
      </c>
      <c r="U79" s="93"/>
      <c r="V79" s="93"/>
      <c r="W79" s="113"/>
      <c r="X79" s="113"/>
      <c r="Y79" s="113"/>
      <c r="Z79" s="33"/>
      <c r="AB79" s="90" t="s">
        <v>105</v>
      </c>
      <c r="AC79" s="59" t="n">
        <f aca="false">B52</f>
        <v>391.182122867598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106</v>
      </c>
      <c r="B81" s="27" t="n">
        <f aca="false">G158</f>
        <v>20999.996</v>
      </c>
      <c r="C81" s="93"/>
      <c r="D81" s="93"/>
      <c r="E81" s="113"/>
      <c r="F81" s="25" t="s">
        <v>106</v>
      </c>
      <c r="G81" s="27" t="n">
        <f aca="false">G158</f>
        <v>20999.996</v>
      </c>
      <c r="H81" s="33"/>
      <c r="J81" s="25" t="s">
        <v>106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106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106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107</v>
      </c>
      <c r="B82" s="33" t="n">
        <f aca="false">IF(A111="YES",A40,0)</f>
        <v>17280</v>
      </c>
      <c r="C82" s="93"/>
      <c r="D82" s="93"/>
      <c r="E82" s="113"/>
      <c r="F82" s="31" t="s">
        <v>107</v>
      </c>
      <c r="G82" s="33" t="n">
        <f aca="false">IF(A111="YES",A40,0)</f>
        <v>17280</v>
      </c>
      <c r="H82" s="33"/>
      <c r="J82" s="31" t="s">
        <v>107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107</v>
      </c>
      <c r="T82" s="33" t="n">
        <f aca="false">A40</f>
        <v>17280</v>
      </c>
      <c r="U82" s="93"/>
      <c r="V82" s="93"/>
      <c r="W82" s="113"/>
      <c r="X82" s="113"/>
      <c r="Y82" s="113"/>
      <c r="Z82" s="33"/>
      <c r="AB82" s="31" t="s">
        <v>107</v>
      </c>
      <c r="AC82" s="33" t="n">
        <f aca="false">A40</f>
        <v>17280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0.1305</v>
      </c>
      <c r="C83" s="93"/>
      <c r="D83" s="93"/>
      <c r="E83" s="113"/>
      <c r="F83" s="31" t="s">
        <v>108</v>
      </c>
      <c r="G83" s="91" t="n">
        <f aca="false">B63</f>
        <v>0.07</v>
      </c>
      <c r="H83" s="33"/>
      <c r="J83" s="31" t="s">
        <v>108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108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108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109</v>
      </c>
      <c r="B84" s="92" t="n">
        <f aca="false">B83/12</f>
        <v>0.010875</v>
      </c>
      <c r="C84" s="93"/>
      <c r="D84" s="93"/>
      <c r="E84" s="113"/>
      <c r="F84" s="31" t="s">
        <v>109</v>
      </c>
      <c r="G84" s="92" t="n">
        <f aca="false">G83/12</f>
        <v>0.00583333333333333</v>
      </c>
      <c r="H84" s="33"/>
      <c r="J84" s="31" t="s">
        <v>109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109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109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11</v>
      </c>
      <c r="C85" s="93"/>
      <c r="D85" s="93"/>
      <c r="E85" s="113"/>
      <c r="F85" s="31" t="s">
        <v>110</v>
      </c>
      <c r="G85" s="33" t="n">
        <f aca="false">IF(G82=0, (B59+B58), (B59))</f>
        <v>11</v>
      </c>
      <c r="H85" s="33"/>
      <c r="J85" s="31" t="s">
        <v>110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110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110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15176.5922023999</v>
      </c>
      <c r="C86" s="93"/>
      <c r="D86" s="93"/>
      <c r="E86" s="113"/>
      <c r="F86" s="31" t="s">
        <v>111</v>
      </c>
      <c r="G86" s="33" t="n">
        <f aca="false">(G82/((1+G84)^(G85+1)))</f>
        <v>16115.0422898641</v>
      </c>
      <c r="H86" s="33"/>
      <c r="J86" s="31" t="s">
        <v>111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111</v>
      </c>
      <c r="T86" s="33" t="n">
        <f aca="false">(T82/((1+T84)^(T85+1)))</f>
        <v>15012.4149638869</v>
      </c>
      <c r="U86" s="93"/>
      <c r="V86" s="93"/>
      <c r="W86" s="113"/>
      <c r="X86" s="113"/>
      <c r="Y86" s="113"/>
      <c r="Z86" s="33"/>
      <c r="AB86" s="31" t="s">
        <v>111</v>
      </c>
      <c r="AC86" s="33" t="n">
        <f aca="false">(AC82/((1+AC84)^(AC85+1)))</f>
        <v>15012.4149638869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10.3148273595096</v>
      </c>
      <c r="C87" s="93"/>
      <c r="D87" s="93"/>
      <c r="E87" s="113"/>
      <c r="F87" s="31" t="s">
        <v>112</v>
      </c>
      <c r="G87" s="33" t="n">
        <f aca="false">((1-(1/((1+G84)^G85)))/G84)</f>
        <v>10.6245366743888</v>
      </c>
      <c r="H87" s="33"/>
      <c r="J87" s="31" t="s">
        <v>112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112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112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113</v>
      </c>
      <c r="B88" s="33" t="n">
        <f aca="false">B81-B86</f>
        <v>5823.40379760014</v>
      </c>
      <c r="C88" s="93"/>
      <c r="D88" s="93"/>
      <c r="E88" s="113"/>
      <c r="F88" s="31" t="s">
        <v>113</v>
      </c>
      <c r="G88" s="33" t="n">
        <f aca="false">G81-G86</f>
        <v>4884.95371013594</v>
      </c>
      <c r="H88" s="33"/>
      <c r="J88" s="31" t="s">
        <v>113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113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113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114</v>
      </c>
      <c r="B89" s="33" t="n">
        <f aca="false">(B88/B87)</f>
        <v>564.566288376252</v>
      </c>
      <c r="C89" s="93"/>
      <c r="D89" s="93"/>
      <c r="E89" s="113"/>
      <c r="F89" s="31" t="s">
        <v>114</v>
      </c>
      <c r="G89" s="33" t="n">
        <f aca="false">(G88/G87)</f>
        <v>459.780398886612</v>
      </c>
      <c r="H89" s="33"/>
      <c r="J89" s="31" t="s">
        <v>114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114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114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6210.22917213878</v>
      </c>
      <c r="C90" s="93"/>
      <c r="D90" s="93"/>
      <c r="E90" s="113"/>
      <c r="F90" s="31" t="s">
        <v>115</v>
      </c>
      <c r="G90" s="33" t="n">
        <f aca="false">((G89*(G85))+G77)</f>
        <v>5057.58438775273</v>
      </c>
      <c r="H90" s="33"/>
      <c r="J90" s="31" t="s">
        <v>115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115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115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31" t="s">
        <v>116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116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116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117</v>
      </c>
      <c r="B92" s="65" t="n">
        <f aca="false">(B90+B91)</f>
        <v>6210.22917213878</v>
      </c>
      <c r="C92" s="93"/>
      <c r="D92" s="93"/>
      <c r="E92" s="113"/>
      <c r="F92" s="56" t="s">
        <v>117</v>
      </c>
      <c r="G92" s="65" t="n">
        <f aca="false">(G90+G91)</f>
        <v>5057.58438775273</v>
      </c>
      <c r="H92" s="33"/>
      <c r="J92" s="56" t="s">
        <v>117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117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117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118</v>
      </c>
      <c r="B94" s="94" t="n">
        <f aca="false">IF(B26="YES",((E40/B85)*(1+A108)*(C45/100)),"0")</f>
        <v>35.4545454545455</v>
      </c>
      <c r="C94" s="93"/>
      <c r="D94" s="93"/>
      <c r="E94" s="113"/>
      <c r="F94" s="88" t="s">
        <v>118</v>
      </c>
      <c r="G94" s="94" t="n">
        <f aca="false">IF(B26="YES",((E40/B85)*(1+A108)*(C45/100)),"0")</f>
        <v>35.4545454545455</v>
      </c>
      <c r="H94" s="33"/>
      <c r="J94" s="88" t="s">
        <v>118</v>
      </c>
      <c r="K94" s="89" t="n">
        <f aca="false">((E40/K85)*(1+J108))*1.2</f>
        <v>39</v>
      </c>
      <c r="L94" s="93"/>
      <c r="M94" s="93"/>
      <c r="N94" s="113"/>
      <c r="O94" s="113"/>
      <c r="P94" s="113"/>
      <c r="Q94" s="33"/>
      <c r="S94" s="88" t="s">
        <v>118</v>
      </c>
      <c r="T94" s="89" t="n">
        <f aca="false">((E40/T85)*(1+S108))</f>
        <v>32.7272727272727</v>
      </c>
      <c r="U94" s="93"/>
      <c r="V94" s="93"/>
      <c r="W94" s="113"/>
      <c r="X94" s="113"/>
      <c r="Y94" s="113"/>
      <c r="Z94" s="33"/>
      <c r="AB94" s="88" t="s">
        <v>118</v>
      </c>
      <c r="AC94" s="89" t="n">
        <f aca="false">((E40/AC85)*(1+AB108))*1.2</f>
        <v>39.2727272727273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119</v>
      </c>
      <c r="B95" s="96" t="n">
        <f aca="false">B92/(B85)</f>
        <v>564.566288376252</v>
      </c>
      <c r="C95" s="93"/>
      <c r="D95" s="93"/>
      <c r="E95" s="113"/>
      <c r="F95" s="95" t="s">
        <v>119</v>
      </c>
      <c r="G95" s="96" t="n">
        <f aca="false">G92/(G85)</f>
        <v>459.780398886612</v>
      </c>
      <c r="H95" s="33"/>
      <c r="J95" s="95" t="s">
        <v>119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119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119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120</v>
      </c>
      <c r="B96" s="98" t="n">
        <f aca="false">B94+B95</f>
        <v>600.020833830798</v>
      </c>
      <c r="C96" s="93"/>
      <c r="D96" s="93"/>
      <c r="E96" s="113"/>
      <c r="F96" s="97" t="s">
        <v>120</v>
      </c>
      <c r="G96" s="98" t="n">
        <f aca="false">G94+G95</f>
        <v>495.234944341158</v>
      </c>
      <c r="H96" s="33"/>
      <c r="J96" s="97" t="s">
        <v>120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120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120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123</v>
      </c>
      <c r="K100" s="100"/>
      <c r="L100" s="100"/>
      <c r="M100" s="100"/>
      <c r="N100" s="100"/>
      <c r="O100" s="100"/>
      <c r="P100" s="100"/>
      <c r="Q100" s="100"/>
      <c r="S100" s="100" t="s">
        <v>124</v>
      </c>
      <c r="T100" s="100"/>
      <c r="U100" s="100"/>
      <c r="V100" s="100"/>
      <c r="W100" s="100"/>
      <c r="X100" s="100"/>
      <c r="Y100" s="100"/>
      <c r="Z100" s="100"/>
      <c r="AB100" s="100" t="s">
        <v>125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8" t="s">
        <v>126</v>
      </c>
      <c r="K102" s="28"/>
      <c r="L102" s="28"/>
      <c r="M102" s="28"/>
      <c r="N102" s="28"/>
      <c r="O102" s="28"/>
      <c r="P102" s="28"/>
      <c r="Q102" s="28"/>
      <c r="S102" s="28" t="s">
        <v>126</v>
      </c>
      <c r="T102" s="28"/>
      <c r="U102" s="28"/>
      <c r="V102" s="28"/>
      <c r="W102" s="28"/>
      <c r="X102" s="28"/>
      <c r="Y102" s="28"/>
      <c r="Z102" s="28"/>
      <c r="AB102" s="28" t="s">
        <v>126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31" t="s">
        <v>127</v>
      </c>
      <c r="K104" s="93" t="s">
        <v>23</v>
      </c>
      <c r="L104" s="93"/>
      <c r="M104" s="93"/>
      <c r="N104" s="93" t="s">
        <v>128</v>
      </c>
      <c r="O104" s="93"/>
      <c r="P104" s="93"/>
      <c r="Q104" s="33"/>
      <c r="S104" s="31" t="s">
        <v>127</v>
      </c>
      <c r="T104" s="93" t="s">
        <v>23</v>
      </c>
      <c r="U104" s="93"/>
      <c r="V104" s="93"/>
      <c r="W104" s="93" t="s">
        <v>128</v>
      </c>
      <c r="X104" s="93"/>
      <c r="Y104" s="93"/>
      <c r="Z104" s="33"/>
      <c r="AB104" s="31" t="s">
        <v>127</v>
      </c>
      <c r="AC104" s="93" t="s">
        <v>23</v>
      </c>
      <c r="AD104" s="93"/>
      <c r="AE104" s="93"/>
      <c r="AF104" s="93" t="s">
        <v>128</v>
      </c>
      <c r="AG104" s="93"/>
      <c r="AH104" s="93"/>
      <c r="AI104" s="33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451" t="s">
        <v>18</v>
      </c>
      <c r="F105" s="451"/>
      <c r="G105" s="451"/>
      <c r="H105" s="102"/>
      <c r="J105" s="36" t="s">
        <v>129</v>
      </c>
      <c r="K105" s="103" t="s">
        <v>130</v>
      </c>
      <c r="L105" s="103"/>
      <c r="M105" s="103"/>
      <c r="N105" s="104" t="s">
        <v>18</v>
      </c>
      <c r="O105" s="104"/>
      <c r="P105" s="104"/>
      <c r="Q105" s="102"/>
      <c r="S105" s="36" t="s">
        <v>129</v>
      </c>
      <c r="T105" s="103" t="s">
        <v>130</v>
      </c>
      <c r="U105" s="103"/>
      <c r="V105" s="103"/>
      <c r="W105" s="104" t="s">
        <v>18</v>
      </c>
      <c r="X105" s="104"/>
      <c r="Y105" s="104"/>
      <c r="Z105" s="102"/>
      <c r="AB105" s="36" t="s">
        <v>129</v>
      </c>
      <c r="AC105" s="103" t="s">
        <v>130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31" t="s">
        <v>131</v>
      </c>
      <c r="K107" s="93" t="s">
        <v>132</v>
      </c>
      <c r="L107" s="93"/>
      <c r="M107" s="113"/>
      <c r="N107" s="93" t="s">
        <v>133</v>
      </c>
      <c r="O107" s="93"/>
      <c r="P107" s="113"/>
      <c r="Q107" s="102"/>
      <c r="S107" s="31" t="s">
        <v>131</v>
      </c>
      <c r="T107" s="93" t="s">
        <v>132</v>
      </c>
      <c r="U107" s="93"/>
      <c r="V107" s="113"/>
      <c r="W107" s="93" t="s">
        <v>133</v>
      </c>
      <c r="X107" s="93"/>
      <c r="Y107" s="113"/>
      <c r="Z107" s="102"/>
      <c r="AB107" s="31" t="s">
        <v>131</v>
      </c>
      <c r="AC107" s="93" t="s">
        <v>132</v>
      </c>
      <c r="AD107" s="93"/>
      <c r="AE107" s="113"/>
      <c r="AF107" s="93" t="s">
        <v>133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n">
        <v>0</v>
      </c>
      <c r="C108" s="107"/>
      <c r="D108" s="107" t="n">
        <v>0</v>
      </c>
      <c r="E108" s="108" t="n">
        <f aca="false">B83</f>
        <v>0.1305</v>
      </c>
      <c r="F108" s="108"/>
      <c r="G108" s="108"/>
      <c r="H108" s="47"/>
      <c r="J108" s="106" t="n">
        <v>0.3</v>
      </c>
      <c r="K108" s="107" t="s">
        <v>134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135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135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31" t="s">
        <v>137</v>
      </c>
      <c r="K110" s="93" t="s">
        <v>138</v>
      </c>
      <c r="L110" s="93"/>
      <c r="M110" s="93"/>
      <c r="N110" s="93" t="s">
        <v>139</v>
      </c>
      <c r="O110" s="93"/>
      <c r="P110" s="93"/>
      <c r="Q110" s="33"/>
      <c r="S110" s="31" t="s">
        <v>137</v>
      </c>
      <c r="T110" s="93" t="s">
        <v>138</v>
      </c>
      <c r="U110" s="93"/>
      <c r="V110" s="93"/>
      <c r="W110" s="93" t="s">
        <v>139</v>
      </c>
      <c r="X110" s="93"/>
      <c r="Y110" s="93"/>
      <c r="Z110" s="33"/>
      <c r="AB110" s="31" t="s">
        <v>137</v>
      </c>
      <c r="AC110" s="93" t="s">
        <v>138</v>
      </c>
      <c r="AD110" s="93"/>
      <c r="AE110" s="93"/>
      <c r="AF110" s="93" t="s">
        <v>139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110" t="s">
        <v>140</v>
      </c>
      <c r="K113" s="93" t="s">
        <v>141</v>
      </c>
      <c r="L113" s="93"/>
      <c r="M113" s="93"/>
      <c r="N113" s="93" t="s">
        <v>142</v>
      </c>
      <c r="O113" s="93"/>
      <c r="P113" s="113"/>
      <c r="Q113" s="102"/>
      <c r="S113" s="110" t="s">
        <v>140</v>
      </c>
      <c r="T113" s="93" t="s">
        <v>141</v>
      </c>
      <c r="U113" s="93"/>
      <c r="V113" s="93"/>
      <c r="W113" s="93" t="s">
        <v>142</v>
      </c>
      <c r="X113" s="93"/>
      <c r="Y113" s="113"/>
      <c r="Z113" s="102"/>
      <c r="AB113" s="110" t="s">
        <v>140</v>
      </c>
      <c r="AC113" s="93" t="s">
        <v>141</v>
      </c>
      <c r="AD113" s="93"/>
      <c r="AE113" s="93"/>
      <c r="AF113" s="93" t="s">
        <v>142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8" t="s">
        <v>144</v>
      </c>
      <c r="K117" s="28"/>
      <c r="L117" s="28"/>
      <c r="M117" s="28"/>
      <c r="N117" s="28"/>
      <c r="O117" s="28"/>
      <c r="P117" s="28"/>
      <c r="Q117" s="28"/>
      <c r="S117" s="28" t="s">
        <v>144</v>
      </c>
      <c r="T117" s="28"/>
      <c r="U117" s="28"/>
      <c r="V117" s="28"/>
      <c r="W117" s="28"/>
      <c r="X117" s="28"/>
      <c r="Y117" s="28"/>
      <c r="Z117" s="28"/>
      <c r="AB117" s="28" t="s">
        <v>144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78"/>
      <c r="K119" s="114" t="s">
        <v>145</v>
      </c>
      <c r="L119" s="114"/>
      <c r="M119" s="114" t="s">
        <v>146</v>
      </c>
      <c r="N119" s="114"/>
      <c r="O119" s="114" t="s">
        <v>147</v>
      </c>
      <c r="P119" s="114"/>
      <c r="Q119" s="115" t="s">
        <v>148</v>
      </c>
      <c r="S119" s="78"/>
      <c r="T119" s="114" t="s">
        <v>145</v>
      </c>
      <c r="U119" s="114"/>
      <c r="V119" s="114" t="s">
        <v>146</v>
      </c>
      <c r="W119" s="114"/>
      <c r="X119" s="114" t="s">
        <v>147</v>
      </c>
      <c r="Y119" s="114"/>
      <c r="Z119" s="115" t="s">
        <v>148</v>
      </c>
      <c r="AB119" s="78"/>
      <c r="AC119" s="114" t="s">
        <v>145</v>
      </c>
      <c r="AD119" s="114"/>
      <c r="AE119" s="114" t="s">
        <v>146</v>
      </c>
      <c r="AF119" s="114"/>
      <c r="AG119" s="114" t="s">
        <v>147</v>
      </c>
      <c r="AH119" s="114"/>
      <c r="AI119" s="115" t="s">
        <v>148</v>
      </c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80"/>
      <c r="K120" s="116" t="s">
        <v>149</v>
      </c>
      <c r="L120" s="117" t="s">
        <v>150</v>
      </c>
      <c r="M120" s="116" t="s">
        <v>149</v>
      </c>
      <c r="N120" s="118" t="s">
        <v>150</v>
      </c>
      <c r="O120" s="116" t="s">
        <v>149</v>
      </c>
      <c r="P120" s="118" t="s">
        <v>150</v>
      </c>
      <c r="Q120" s="119"/>
      <c r="S120" s="80"/>
      <c r="T120" s="116" t="s">
        <v>149</v>
      </c>
      <c r="U120" s="117" t="s">
        <v>150</v>
      </c>
      <c r="V120" s="116" t="s">
        <v>149</v>
      </c>
      <c r="W120" s="118" t="s">
        <v>150</v>
      </c>
      <c r="X120" s="116" t="s">
        <v>149</v>
      </c>
      <c r="Y120" s="118" t="s">
        <v>150</v>
      </c>
      <c r="Z120" s="119"/>
      <c r="AB120" s="80"/>
      <c r="AC120" s="116" t="s">
        <v>149</v>
      </c>
      <c r="AD120" s="117" t="s">
        <v>150</v>
      </c>
      <c r="AE120" s="116" t="s">
        <v>149</v>
      </c>
      <c r="AF120" s="118" t="s">
        <v>150</v>
      </c>
      <c r="AG120" s="116" t="s">
        <v>149</v>
      </c>
      <c r="AH120" s="118" t="s">
        <v>150</v>
      </c>
      <c r="AI120" s="119"/>
    </row>
    <row r="121" customFormat="false" ht="17.35" hidden="false" customHeight="false" outlineLevel="0" collapsed="false">
      <c r="A121" s="25" t="s">
        <v>151</v>
      </c>
      <c r="B121" s="120" t="n">
        <f aca="false">B9</f>
        <v>17583.33</v>
      </c>
      <c r="C121" s="121" t="n">
        <v>19583.33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151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151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151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152</v>
      </c>
      <c r="K122" s="123" t="n">
        <f aca="false">B4</f>
        <v>21099.996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152</v>
      </c>
      <c r="T122" s="123" t="n">
        <f aca="false">B4</f>
        <v>21099.996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152</v>
      </c>
      <c r="AC122" s="123" t="n">
        <f aca="false">B4</f>
        <v>21099.996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153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153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153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154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154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154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155</v>
      </c>
      <c r="B125" s="132" t="n">
        <f aca="false">B121-B124</f>
        <v>17583.33</v>
      </c>
      <c r="C125" s="133" t="n">
        <f aca="false">C121-C124</f>
        <v>19583.33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155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155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155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134"/>
      <c r="K127" s="135"/>
      <c r="L127" s="135"/>
      <c r="M127" s="135"/>
      <c r="N127" s="135"/>
      <c r="O127" s="135"/>
      <c r="P127" s="136" t="s">
        <v>149</v>
      </c>
      <c r="Q127" s="137" t="s">
        <v>150</v>
      </c>
      <c r="S127" s="134"/>
      <c r="T127" s="135"/>
      <c r="U127" s="135"/>
      <c r="V127" s="135"/>
      <c r="W127" s="135"/>
      <c r="X127" s="135"/>
      <c r="Y127" s="136" t="s">
        <v>149</v>
      </c>
      <c r="Z127" s="137" t="s">
        <v>150</v>
      </c>
      <c r="AB127" s="134"/>
      <c r="AC127" s="135"/>
      <c r="AD127" s="135"/>
      <c r="AE127" s="135"/>
      <c r="AF127" s="135"/>
      <c r="AG127" s="135"/>
      <c r="AH127" s="136" t="s">
        <v>149</v>
      </c>
      <c r="AI127" s="137" t="s">
        <v>150</v>
      </c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156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156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156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147" t="s">
        <v>157</v>
      </c>
      <c r="K130" s="144" t="s">
        <v>158</v>
      </c>
      <c r="L130" s="144"/>
      <c r="M130" s="144" t="s">
        <v>159</v>
      </c>
      <c r="N130" s="144"/>
      <c r="O130" s="144" t="s">
        <v>153</v>
      </c>
      <c r="P130" s="144"/>
      <c r="Q130" s="145" t="s">
        <v>150</v>
      </c>
      <c r="S130" s="147" t="s">
        <v>157</v>
      </c>
      <c r="T130" s="144" t="s">
        <v>158</v>
      </c>
      <c r="U130" s="144"/>
      <c r="V130" s="144" t="s">
        <v>159</v>
      </c>
      <c r="W130" s="144"/>
      <c r="X130" s="144" t="s">
        <v>153</v>
      </c>
      <c r="Y130" s="144"/>
      <c r="Z130" s="145" t="s">
        <v>150</v>
      </c>
      <c r="AB130" s="147" t="s">
        <v>157</v>
      </c>
      <c r="AC130" s="144" t="s">
        <v>158</v>
      </c>
      <c r="AD130" s="144"/>
      <c r="AE130" s="144" t="s">
        <v>159</v>
      </c>
      <c r="AF130" s="144"/>
      <c r="AG130" s="144" t="s">
        <v>153</v>
      </c>
      <c r="AH130" s="144"/>
      <c r="AI130" s="145" t="s">
        <v>150</v>
      </c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160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160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160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161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161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161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162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162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162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B121</f>
        <v>17583.33</v>
      </c>
      <c r="H135" s="153" t="n">
        <f aca="false">C125+E125+G125+H128</f>
        <v>19583.33</v>
      </c>
      <c r="J135" s="152" t="s">
        <v>163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163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163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164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164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164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3516.666</v>
      </c>
      <c r="H137" s="33" t="n">
        <f aca="false">(H135+H136)*20%</f>
        <v>3916.666</v>
      </c>
      <c r="J137" s="154" t="s">
        <v>165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165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165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166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166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166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167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167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167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168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168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168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21099.996</v>
      </c>
      <c r="H141" s="157" t="n">
        <f aca="false">(H135+H136+H139+H140+H137)-H138</f>
        <v>23499.996</v>
      </c>
      <c r="J141" s="154" t="s">
        <v>169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169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169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170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170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170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111" t="s">
        <v>171</v>
      </c>
      <c r="K143" s="111"/>
      <c r="L143" s="111"/>
      <c r="M143" s="111"/>
      <c r="N143" s="111"/>
      <c r="O143" s="111"/>
      <c r="P143" s="103"/>
      <c r="Q143" s="33"/>
      <c r="S143" s="111" t="s">
        <v>171</v>
      </c>
      <c r="T143" s="111"/>
      <c r="U143" s="111"/>
      <c r="V143" s="111"/>
      <c r="W143" s="111"/>
      <c r="X143" s="111"/>
      <c r="Y143" s="103"/>
      <c r="Z143" s="33"/>
      <c r="AB143" s="111" t="s">
        <v>171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172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172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172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172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172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172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172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172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172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21099.996</v>
      </c>
      <c r="H147" s="164" t="n">
        <f aca="false">H141-((H144*1.2)+(H145*1.2)+(H146*1.2)+(H142*1.2))</f>
        <v>23499.996</v>
      </c>
      <c r="J147" s="154" t="s">
        <v>173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173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173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-15833.33</v>
      </c>
      <c r="J148" s="154" t="s">
        <v>174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174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174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8" t="s">
        <v>175</v>
      </c>
      <c r="K150" s="28"/>
      <c r="L150" s="28"/>
      <c r="M150" s="28"/>
      <c r="N150" s="28"/>
      <c r="O150" s="28"/>
      <c r="P150" s="28"/>
      <c r="Q150" s="28"/>
      <c r="S150" s="28" t="s">
        <v>175</v>
      </c>
      <c r="T150" s="28"/>
      <c r="U150" s="28"/>
      <c r="V150" s="28"/>
      <c r="W150" s="28"/>
      <c r="X150" s="28"/>
      <c r="Y150" s="28"/>
      <c r="Z150" s="28"/>
      <c r="AB150" s="28" t="s">
        <v>175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176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176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176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177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177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177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178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178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178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179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179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179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180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180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180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20999.996</v>
      </c>
      <c r="H158" s="170"/>
      <c r="J158" s="169" t="s">
        <v>181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181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181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8" t="s">
        <v>182</v>
      </c>
      <c r="K162" s="28"/>
      <c r="L162" s="28"/>
      <c r="M162" s="28"/>
      <c r="N162" s="28"/>
      <c r="O162" s="28"/>
      <c r="P162" s="28"/>
      <c r="Q162" s="28"/>
      <c r="S162" s="28" t="s">
        <v>182</v>
      </c>
      <c r="T162" s="28"/>
      <c r="U162" s="28"/>
      <c r="V162" s="28"/>
      <c r="W162" s="28"/>
      <c r="X162" s="28"/>
      <c r="Y162" s="28"/>
      <c r="Z162" s="28"/>
      <c r="AB162" s="28" t="s">
        <v>182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183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183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183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173" t="s">
        <v>184</v>
      </c>
      <c r="K166" s="174" t="s">
        <v>185</v>
      </c>
      <c r="L166" s="174"/>
      <c r="M166" s="174"/>
      <c r="N166" s="174" t="s">
        <v>186</v>
      </c>
      <c r="O166" s="23"/>
      <c r="P166" s="23"/>
      <c r="Q166" s="33"/>
      <c r="S166" s="173" t="s">
        <v>184</v>
      </c>
      <c r="T166" s="174" t="s">
        <v>185</v>
      </c>
      <c r="U166" s="174"/>
      <c r="V166" s="174"/>
      <c r="W166" s="174" t="s">
        <v>186</v>
      </c>
      <c r="X166" s="23"/>
      <c r="Y166" s="23"/>
      <c r="Z166" s="33"/>
      <c r="AB166" s="173" t="s">
        <v>184</v>
      </c>
      <c r="AC166" s="174" t="s">
        <v>185</v>
      </c>
      <c r="AD166" s="174"/>
      <c r="AE166" s="174"/>
      <c r="AF166" s="174" t="s">
        <v>186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564.566288376252</v>
      </c>
      <c r="B167" s="177" t="n">
        <f aca="false">B94</f>
        <v>35.4545454545455</v>
      </c>
      <c r="C167" s="174"/>
      <c r="D167" s="174"/>
      <c r="E167" s="177" t="n">
        <f aca="false">B96</f>
        <v>600.020833830798</v>
      </c>
      <c r="F167" s="23"/>
      <c r="G167" s="23" t="n">
        <f aca="false">ROUND(G95, 2)</f>
        <v>459.78</v>
      </c>
      <c r="H167" s="33"/>
      <c r="J167" s="176" t="e">
        <f aca="false">K95</f>
        <v>#VALUE!</v>
      </c>
      <c r="K167" s="177" t="n">
        <f aca="false">K94</f>
        <v>39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32.7272727272727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39.2727272727273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31" t="s">
        <v>83</v>
      </c>
      <c r="K169" s="93" t="s">
        <v>84</v>
      </c>
      <c r="L169" s="93"/>
      <c r="M169" s="23"/>
      <c r="N169" s="93" t="s">
        <v>188</v>
      </c>
      <c r="O169" s="23"/>
      <c r="P169" s="23"/>
      <c r="Q169" s="33"/>
      <c r="S169" s="31" t="s">
        <v>83</v>
      </c>
      <c r="T169" s="93" t="s">
        <v>84</v>
      </c>
      <c r="U169" s="93"/>
      <c r="V169" s="23"/>
      <c r="W169" s="93" t="s">
        <v>188</v>
      </c>
      <c r="X169" s="23"/>
      <c r="Y169" s="23"/>
      <c r="Z169" s="33"/>
      <c r="AB169" s="31" t="s">
        <v>83</v>
      </c>
      <c r="AC169" s="93" t="s">
        <v>84</v>
      </c>
      <c r="AD169" s="93"/>
      <c r="AE169" s="23"/>
      <c r="AF169" s="93" t="s">
        <v>188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10000</v>
      </c>
      <c r="C170" s="181"/>
      <c r="D170" s="23"/>
      <c r="E170" s="182" t="n">
        <f aca="false">IF(A111="YES", A40, 0)</f>
        <v>17280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17280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17280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17280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31" t="s">
        <v>189</v>
      </c>
      <c r="K172" s="93" t="s">
        <v>190</v>
      </c>
      <c r="L172" s="93"/>
      <c r="M172" s="23"/>
      <c r="N172" s="93" t="s">
        <v>191</v>
      </c>
      <c r="O172" s="23"/>
      <c r="P172" s="23"/>
      <c r="Q172" s="33"/>
      <c r="S172" s="31" t="s">
        <v>189</v>
      </c>
      <c r="T172" s="93" t="s">
        <v>190</v>
      </c>
      <c r="U172" s="93"/>
      <c r="V172" s="23"/>
      <c r="W172" s="93" t="s">
        <v>191</v>
      </c>
      <c r="X172" s="23"/>
      <c r="Y172" s="23"/>
      <c r="Z172" s="33"/>
      <c r="AB172" s="31" t="s">
        <v>189</v>
      </c>
      <c r="AC172" s="93" t="s">
        <v>190</v>
      </c>
      <c r="AD172" s="93"/>
      <c r="AE172" s="23"/>
      <c r="AF172" s="93" t="s">
        <v>191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19583.33</v>
      </c>
      <c r="B173" s="103" t="n">
        <f aca="false">H137</f>
        <v>3916.666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31" t="s">
        <v>192</v>
      </c>
      <c r="K175" s="93" t="s">
        <v>138</v>
      </c>
      <c r="L175" s="93"/>
      <c r="M175" s="23"/>
      <c r="N175" s="93" t="s">
        <v>139</v>
      </c>
      <c r="O175" s="23"/>
      <c r="P175" s="23"/>
      <c r="Q175" s="33"/>
      <c r="S175" s="31" t="s">
        <v>192</v>
      </c>
      <c r="T175" s="93" t="s">
        <v>138</v>
      </c>
      <c r="U175" s="93"/>
      <c r="V175" s="23"/>
      <c r="W175" s="93" t="s">
        <v>139</v>
      </c>
      <c r="X175" s="23"/>
      <c r="Y175" s="23"/>
      <c r="Z175" s="33"/>
      <c r="AB175" s="31" t="s">
        <v>192</v>
      </c>
      <c r="AC175" s="93" t="s">
        <v>138</v>
      </c>
      <c r="AD175" s="93"/>
      <c r="AE175" s="23"/>
      <c r="AF175" s="93" t="s">
        <v>139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23499.996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31" t="s">
        <v>140</v>
      </c>
      <c r="K178" s="93" t="s">
        <v>176</v>
      </c>
      <c r="L178" s="93"/>
      <c r="M178" s="23"/>
      <c r="N178" s="93" t="s">
        <v>181</v>
      </c>
      <c r="O178" s="23"/>
      <c r="P178" s="23"/>
      <c r="Q178" s="33"/>
      <c r="S178" s="31" t="s">
        <v>140</v>
      </c>
      <c r="T178" s="93" t="s">
        <v>176</v>
      </c>
      <c r="U178" s="93"/>
      <c r="V178" s="23"/>
      <c r="W178" s="93" t="s">
        <v>181</v>
      </c>
      <c r="X178" s="23"/>
      <c r="Y178" s="23"/>
      <c r="Z178" s="33"/>
      <c r="AB178" s="31" t="s">
        <v>140</v>
      </c>
      <c r="AC178" s="93" t="s">
        <v>176</v>
      </c>
      <c r="AD178" s="93"/>
      <c r="AE178" s="23"/>
      <c r="AF178" s="93" t="s">
        <v>181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20999.996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31" t="s">
        <v>193</v>
      </c>
      <c r="K181" s="93" t="s">
        <v>53</v>
      </c>
      <c r="L181" s="93"/>
      <c r="M181" s="23"/>
      <c r="N181" s="93" t="s">
        <v>194</v>
      </c>
      <c r="O181" s="23"/>
      <c r="P181" s="23"/>
      <c r="Q181" s="33"/>
      <c r="S181" s="31" t="s">
        <v>193</v>
      </c>
      <c r="T181" s="93" t="s">
        <v>53</v>
      </c>
      <c r="U181" s="93"/>
      <c r="V181" s="23"/>
      <c r="W181" s="93" t="s">
        <v>194</v>
      </c>
      <c r="X181" s="23"/>
      <c r="Y181" s="23"/>
      <c r="Z181" s="33"/>
      <c r="AB181" s="31" t="s">
        <v>193</v>
      </c>
      <c r="AC181" s="93" t="s">
        <v>53</v>
      </c>
      <c r="AD181" s="93"/>
      <c r="AE181" s="23"/>
      <c r="AF181" s="93" t="s">
        <v>194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2490.23317213877</v>
      </c>
      <c r="B182" s="103" t="str">
        <f aca="false">B114</f>
        <v>199.99</v>
      </c>
      <c r="C182" s="103"/>
      <c r="D182" s="23"/>
      <c r="E182" s="103" t="n">
        <f aca="false">E179+A182+(B182*1.2)+A185</f>
        <v>23740.2171721388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31" t="s">
        <v>195</v>
      </c>
      <c r="K184" s="93" t="s">
        <v>196</v>
      </c>
      <c r="L184" s="93"/>
      <c r="M184" s="23"/>
      <c r="N184" s="93" t="s">
        <v>197</v>
      </c>
      <c r="O184" s="23"/>
      <c r="P184" s="23"/>
      <c r="Q184" s="33"/>
      <c r="S184" s="31" t="s">
        <v>195</v>
      </c>
      <c r="T184" s="93" t="s">
        <v>196</v>
      </c>
      <c r="U184" s="93"/>
      <c r="V184" s="23"/>
      <c r="W184" s="93" t="s">
        <v>197</v>
      </c>
      <c r="X184" s="23"/>
      <c r="Y184" s="23"/>
      <c r="Z184" s="33"/>
      <c r="AB184" s="31" t="s">
        <v>195</v>
      </c>
      <c r="AC184" s="93" t="s">
        <v>196</v>
      </c>
      <c r="AD184" s="93"/>
      <c r="AE184" s="23"/>
      <c r="AF184" s="93" t="s">
        <v>197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E170+A185</f>
        <v>17290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17300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17290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17290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31" t="s">
        <v>198</v>
      </c>
      <c r="K187" s="93" t="s">
        <v>199</v>
      </c>
      <c r="L187" s="93"/>
      <c r="M187" s="93"/>
      <c r="N187" s="166" t="s">
        <v>200</v>
      </c>
      <c r="O187" s="23"/>
      <c r="P187" s="23"/>
      <c r="Q187" s="33"/>
      <c r="S187" s="31" t="s">
        <v>198</v>
      </c>
      <c r="T187" s="93" t="s">
        <v>199</v>
      </c>
      <c r="U187" s="93"/>
      <c r="V187" s="93"/>
      <c r="W187" s="166" t="s">
        <v>200</v>
      </c>
      <c r="X187" s="32"/>
      <c r="Y187" s="32"/>
      <c r="Z187" s="33"/>
      <c r="AB187" s="31" t="s">
        <v>198</v>
      </c>
      <c r="AC187" s="93" t="s">
        <v>199</v>
      </c>
      <c r="AD187" s="93"/>
      <c r="AE187" s="93"/>
      <c r="AF187" s="166" t="s">
        <v>200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87.4999833333334</v>
      </c>
      <c r="C188" s="93"/>
      <c r="D188" s="93"/>
      <c r="E188" s="103" t="n">
        <f aca="false">(E40*A108)*0.1*(C45/100)</f>
        <v>9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9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6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6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60" t="s">
        <v>201</v>
      </c>
      <c r="K190" s="166" t="s">
        <v>202</v>
      </c>
      <c r="L190" s="93"/>
      <c r="M190" s="93"/>
      <c r="N190" s="166" t="s">
        <v>203</v>
      </c>
      <c r="O190" s="23"/>
      <c r="P190" s="23"/>
      <c r="Q190" s="33"/>
      <c r="S190" s="60" t="s">
        <v>201</v>
      </c>
      <c r="T190" s="166" t="s">
        <v>202</v>
      </c>
      <c r="U190" s="93"/>
      <c r="V190" s="93"/>
      <c r="W190" s="166" t="s">
        <v>203</v>
      </c>
      <c r="X190" s="32"/>
      <c r="Y190" s="32"/>
      <c r="Z190" s="33"/>
      <c r="AB190" s="60" t="s">
        <v>201</v>
      </c>
      <c r="AC190" s="166" t="s">
        <v>202</v>
      </c>
      <c r="AD190" s="93"/>
      <c r="AE190" s="93"/>
      <c r="AF190" s="166" t="s">
        <v>203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196.489983333333</v>
      </c>
      <c r="C191" s="93"/>
      <c r="D191" s="93"/>
      <c r="E191" s="103" t="n">
        <f aca="false">H148</f>
        <v>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66" t="s">
        <v>204</v>
      </c>
      <c r="K193" s="93"/>
      <c r="L193" s="93"/>
      <c r="M193" s="67"/>
      <c r="N193" s="67"/>
      <c r="O193" s="67"/>
      <c r="P193" s="67"/>
      <c r="Q193" s="68"/>
      <c r="S193" s="66" t="s">
        <v>204</v>
      </c>
      <c r="T193" s="93"/>
      <c r="U193" s="93"/>
      <c r="V193" s="67"/>
      <c r="W193" s="67"/>
      <c r="X193" s="67"/>
      <c r="Y193" s="67"/>
      <c r="Z193" s="68"/>
      <c r="AB193" s="66" t="s">
        <v>204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187" t="s">
        <v>83</v>
      </c>
      <c r="K195" s="71" t="s">
        <v>84</v>
      </c>
      <c r="L195" s="71"/>
      <c r="M195" s="71"/>
      <c r="N195" s="23"/>
      <c r="O195" s="23"/>
      <c r="P195" s="23"/>
      <c r="Q195" s="33"/>
      <c r="S195" s="187" t="s">
        <v>83</v>
      </c>
      <c r="T195" s="71" t="s">
        <v>84</v>
      </c>
      <c r="U195" s="71"/>
      <c r="V195" s="71"/>
      <c r="W195" s="23"/>
      <c r="X195" s="23"/>
      <c r="Y195" s="23"/>
      <c r="Z195" s="33"/>
      <c r="AB195" s="187" t="s">
        <v>83</v>
      </c>
      <c r="AC195" s="71" t="s">
        <v>84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600.020833830798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1337.584</v>
      </c>
      <c r="B201" s="186" t="n">
        <f aca="false">E179+A201+(B182*1.2)+A185</f>
        <v>22587.568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564.566288376252</v>
      </c>
      <c r="B212" s="177" t="n">
        <f aca="false">B167</f>
        <v>35.4545454545455</v>
      </c>
      <c r="C212" s="174"/>
      <c r="D212" s="174"/>
      <c r="E212" s="177" t="n">
        <f aca="false">E167</f>
        <v>600.020833830798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19583.33</v>
      </c>
      <c r="B215" s="103" t="n">
        <f aca="false">B173</f>
        <v>3916.666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23499.996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20999.996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2490.23317213877</v>
      </c>
      <c r="B224" s="103" t="str">
        <f aca="false">B182</f>
        <v>199.99</v>
      </c>
      <c r="C224" s="103"/>
      <c r="D224" s="113"/>
      <c r="E224" s="103" t="n">
        <f aca="false">E182</f>
        <v>23740.2171721388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564.566288376252</v>
      </c>
      <c r="B230" s="103" t="n">
        <f aca="false">B167</f>
        <v>35.4545454545455</v>
      </c>
      <c r="C230" s="186"/>
      <c r="D230" s="186"/>
      <c r="E230" s="103" t="n">
        <f aca="false">E167</f>
        <v>600.020833830798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188</v>
      </c>
      <c r="B232" s="93" t="s">
        <v>210</v>
      </c>
      <c r="C232" s="93"/>
      <c r="D232" s="93"/>
      <c r="E232" s="93" t="s">
        <v>211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17280</v>
      </c>
      <c r="B233" s="103" t="n">
        <f aca="false">E185</f>
        <v>17290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132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B68</f>
        <v>87.4999833333334</v>
      </c>
      <c r="C240" s="93"/>
      <c r="D240" s="93"/>
      <c r="E240" s="103" t="n">
        <f aca="false">E188</f>
        <v>9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2196.48998333333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K35</f>
        <v>0.07</v>
      </c>
      <c r="C253" s="197"/>
      <c r="D253" s="198" t="s">
        <v>216</v>
      </c>
      <c r="E253" s="198"/>
      <c r="F253" s="196" t="n">
        <f aca="false">B83</f>
        <v>0.1305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1162.64917213878</v>
      </c>
      <c r="C254" s="197"/>
      <c r="D254" s="198" t="s">
        <v>218</v>
      </c>
      <c r="E254" s="198"/>
      <c r="F254" s="200" t="n">
        <f aca="false">F261+F267+F269+B270+B271</f>
        <v>104.99998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189.99</v>
      </c>
      <c r="C255" s="197"/>
      <c r="D255" s="198" t="s">
        <v>220</v>
      </c>
      <c r="E255" s="198"/>
      <c r="F255" s="200" t="n">
        <f aca="false">(B254-F254)+B255</f>
        <v>1247.63919213878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0.1305</v>
      </c>
      <c r="C260" s="43"/>
      <c r="D260" s="166" t="s">
        <v>217</v>
      </c>
      <c r="E260" s="166"/>
      <c r="F260" s="146" t="n">
        <f aca="false">B254</f>
        <v>1162.64917213878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0.005</v>
      </c>
      <c r="C261" s="32"/>
      <c r="D261" s="166" t="s">
        <v>223</v>
      </c>
      <c r="E261" s="166"/>
      <c r="F261" s="151" t="n">
        <f aca="false">B68*1.2</f>
        <v>104.99998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0.3</v>
      </c>
      <c r="C262" s="32"/>
      <c r="D262" s="166" t="s">
        <v>224</v>
      </c>
      <c r="E262" s="166"/>
      <c r="F262" s="146" t="n">
        <f aca="false">E240*10</f>
        <v>90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</v>
      </c>
      <c r="C263" s="32"/>
      <c r="D263" s="39" t="s">
        <v>220</v>
      </c>
      <c r="E263" s="39"/>
      <c r="F263" s="146" t="n">
        <f aca="false">(B254-F254)+B255</f>
        <v>1247.63919213878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7" colorId="64" zoomScale="85" zoomScaleNormal="85" zoomScalePageLayoutView="100" workbookViewId="0">
      <selection pane="topLeft" activeCell="H31" activeCellId="0" sqref="H31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353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128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182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183</v>
      </c>
      <c r="B30" s="172" t="s">
        <v>348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83</v>
      </c>
      <c r="B32" s="215" t="s">
        <v>84</v>
      </c>
      <c r="C32" s="215"/>
      <c r="D32" s="458" t="s">
        <v>354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552.861519485774</v>
      </c>
      <c r="E33" s="216"/>
      <c r="F33" s="63"/>
      <c r="G33" s="219" t="s">
        <v>355</v>
      </c>
      <c r="H33" s="460" t="n">
        <f aca="false">E21-E11</f>
        <v>17583.33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371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356</v>
      </c>
      <c r="B35" s="215" t="s">
        <v>357</v>
      </c>
      <c r="C35" s="215"/>
      <c r="D35" s="215" t="s">
        <v>358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552.861519485774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359</v>
      </c>
      <c r="B39" s="215" t="s">
        <v>360</v>
      </c>
      <c r="C39" s="215"/>
      <c r="D39" s="215" t="s">
        <v>361</v>
      </c>
      <c r="E39" s="216"/>
      <c r="F39" s="63"/>
      <c r="G39" s="63" t="s">
        <v>85</v>
      </c>
      <c r="H39" s="238" t="n">
        <f aca="false">H33</f>
        <v>17583.33</v>
      </c>
      <c r="I39" s="238" t="n">
        <f aca="false">(I48*H46)+H44</f>
        <v>44525.9095313712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107</v>
      </c>
      <c r="H40" s="238" t="n">
        <f aca="false">A40/1.2</f>
        <v>0</v>
      </c>
      <c r="I40" s="238" t="n">
        <f aca="false">H39-I39</f>
        <v>-26942.5795313712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362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363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364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77</v>
      </c>
      <c r="B44" s="215"/>
      <c r="C44" s="363" t="s">
        <v>78</v>
      </c>
      <c r="D44" s="363"/>
      <c r="E44" s="216"/>
      <c r="F44" s="63"/>
      <c r="G44" s="63" t="s">
        <v>372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373</v>
      </c>
      <c r="H45" s="238" t="n">
        <f aca="false">(H39-H44)</f>
        <v>17583.33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374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368</v>
      </c>
      <c r="H47" s="238" t="n">
        <f aca="false">H45/H46</f>
        <v>552.861519485774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464" t="s">
        <v>369</v>
      </c>
      <c r="H48" s="238" t="n">
        <f aca="false">IF(B26="YES", H47+H42, H47)</f>
        <v>552.861519485774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370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552.861519485774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85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85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86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86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375</v>
      </c>
      <c r="B60" s="215" t="n">
        <f aca="false">E19</f>
        <v>21099.996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91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91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0.01</v>
      </c>
      <c r="C65" s="215"/>
      <c r="D65" s="291"/>
      <c r="E65" s="216"/>
      <c r="F65" s="63"/>
      <c r="G65" s="292" t="s">
        <v>92</v>
      </c>
      <c r="H65" s="293" t="n">
        <v>0.01</v>
      </c>
      <c r="I65" s="215"/>
      <c r="J65" s="215"/>
      <c r="K65" s="216"/>
      <c r="L65" s="63"/>
      <c r="M65" s="292" t="s">
        <v>92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0.0195833333333333</v>
      </c>
      <c r="C66" s="467" t="s">
        <v>223</v>
      </c>
      <c r="D66" s="215"/>
      <c r="E66" s="216"/>
      <c r="F66" s="63"/>
      <c r="G66" s="214" t="s">
        <v>93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93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B60*B66</f>
        <v>413.208255</v>
      </c>
      <c r="C67" s="468" t="s">
        <v>223</v>
      </c>
      <c r="D67" s="469"/>
      <c r="E67" s="216"/>
      <c r="F67" s="63"/>
      <c r="G67" s="285" t="s">
        <v>94</v>
      </c>
      <c r="H67" s="133" t="n">
        <f aca="false">(H61*H66)/1.2</f>
        <v>0</v>
      </c>
      <c r="I67" s="215"/>
      <c r="J67" s="291"/>
      <c r="K67" s="216"/>
      <c r="L67" s="63"/>
      <c r="M67" s="285" t="s">
        <v>94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470"/>
      <c r="D68" s="291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292" t="s">
        <v>95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295" t="s">
        <v>96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297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285" t="s">
        <v>97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200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292" t="s">
        <v>98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5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295" t="s">
        <v>99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229</v>
      </c>
      <c r="F73" s="63"/>
      <c r="G73" s="285" t="s">
        <v>100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100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101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101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22.1428571428571</v>
      </c>
      <c r="F80" s="63"/>
      <c r="G80" s="301" t="s">
        <v>102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102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11441.6666666667</v>
      </c>
      <c r="C81" s="473"/>
      <c r="D81" s="474"/>
      <c r="E81" s="466"/>
      <c r="F81" s="63"/>
      <c r="G81" s="303" t="s">
        <v>103</v>
      </c>
      <c r="H81" s="304" t="n">
        <f aca="false">SUM(J64:J80)</f>
        <v>1047.5</v>
      </c>
      <c r="I81" s="215"/>
      <c r="J81" s="215"/>
      <c r="K81" s="216"/>
      <c r="L81" s="63"/>
      <c r="M81" s="303" t="s">
        <v>103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326.904761904762</v>
      </c>
      <c r="C82" s="473"/>
      <c r="D82" s="215"/>
      <c r="E82" s="466"/>
      <c r="F82" s="63"/>
      <c r="G82" s="214" t="s">
        <v>104</v>
      </c>
      <c r="H82" s="300" t="n">
        <f aca="false">H81/H29</f>
        <v>29.9285714285714</v>
      </c>
      <c r="I82" s="215"/>
      <c r="J82" s="215"/>
      <c r="K82" s="216"/>
      <c r="L82" s="63"/>
      <c r="M82" s="214" t="s">
        <v>104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H47</f>
        <v>552.861519485774</v>
      </c>
      <c r="C83" s="473"/>
      <c r="D83" s="215"/>
      <c r="E83" s="466" t="n">
        <f aca="false">B83+E80+E77+E64</f>
        <v>873.41707504133</v>
      </c>
      <c r="F83" s="63"/>
      <c r="G83" s="305" t="s">
        <v>105</v>
      </c>
      <c r="H83" s="306" t="n">
        <f aca="false">H47</f>
        <v>552.861519485774</v>
      </c>
      <c r="I83" s="215"/>
      <c r="J83" s="215"/>
      <c r="K83" s="216"/>
      <c r="L83" s="63"/>
      <c r="M83" s="305" t="s">
        <v>105</v>
      </c>
      <c r="N83" s="306" t="n">
        <f aca="false">H47</f>
        <v>552.861519485774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((B83*H29)+B81)</f>
        <v>30791.8198486688</v>
      </c>
      <c r="C85" s="473"/>
      <c r="D85" s="473"/>
      <c r="E85" s="466" t="n">
        <f aca="false">B85/(B58+B57)</f>
        <v>879.766281390536</v>
      </c>
      <c r="F85" s="63"/>
      <c r="G85" s="288" t="s">
        <v>115</v>
      </c>
      <c r="H85" s="131" t="n">
        <f aca="false">((H83*H29)+H81)*1.2</f>
        <v>24477.1838184025</v>
      </c>
      <c r="I85" s="215"/>
      <c r="J85" s="215"/>
      <c r="K85" s="216"/>
      <c r="L85" s="63"/>
      <c r="M85" s="288" t="s">
        <v>115</v>
      </c>
      <c r="N85" s="131" t="n">
        <f aca="false">((N83*H29)+N81)</f>
        <v>20067.6531820021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(((B83*H29)+B81)/(1-B70))*B70</f>
        <v>260.842362574443</v>
      </c>
      <c r="C86" s="473" t="s">
        <v>232</v>
      </c>
      <c r="D86" s="215"/>
      <c r="E86" s="466" t="n">
        <f aca="false">B86/(B58+B57)</f>
        <v>7.45263893069837</v>
      </c>
      <c r="F86" s="63"/>
      <c r="G86" s="214" t="s">
        <v>116</v>
      </c>
      <c r="H86" s="300" t="n">
        <f aca="false">((((H83*H29)+H81))/(1-H70))*H70</f>
        <v>172.791737322325</v>
      </c>
      <c r="I86" s="215"/>
      <c r="J86" s="215"/>
      <c r="K86" s="216"/>
      <c r="L86" s="63"/>
      <c r="M86" s="214" t="s">
        <v>116</v>
      </c>
      <c r="N86" s="300" t="n">
        <f aca="false">(N85/(1-N70))*N70</f>
        <v>169.996255273112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IF(B110="YES",((B85+B86)-E114),((B85+B86)))</f>
        <v>31052.6622112432</v>
      </c>
      <c r="C87" s="473"/>
      <c r="D87" s="475"/>
      <c r="E87" s="466" t="n">
        <f aca="false">E86+E85</f>
        <v>887.218920321235</v>
      </c>
      <c r="F87" s="63"/>
      <c r="G87" s="285" t="s">
        <v>117</v>
      </c>
      <c r="H87" s="133" t="n">
        <f aca="false">IF(H110="YES",((H85+H86)-K114),(H85+H86))</f>
        <v>24649.9755557248</v>
      </c>
      <c r="I87" s="215"/>
      <c r="J87" s="215"/>
      <c r="K87" s="216"/>
      <c r="L87" s="63"/>
      <c r="M87" s="285" t="s">
        <v>117</v>
      </c>
      <c r="N87" s="133" t="n">
        <f aca="false">IF(N110="YES",((N85+N86)-Q114),(N85+N86))</f>
        <v>20237.6494372752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118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118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IF(B99=Y98, (B87-D105)/(B58), B87/(B57+B58))</f>
        <v>887.218920321235</v>
      </c>
      <c r="C90" s="473"/>
      <c r="D90" s="215"/>
      <c r="E90" s="476"/>
      <c r="F90" s="63"/>
      <c r="G90" s="308" t="s">
        <v>119</v>
      </c>
      <c r="H90" s="309" t="n">
        <f aca="false">IF(H99=Y98, (H87-J105)/(H58), H87/(H57+H58))</f>
        <v>616.249388893121</v>
      </c>
      <c r="I90" s="215"/>
      <c r="J90" s="215"/>
      <c r="K90" s="216"/>
      <c r="L90" s="63"/>
      <c r="M90" s="308" t="s">
        <v>119</v>
      </c>
      <c r="N90" s="309" t="n">
        <f aca="false">IF(N99=Y98, (N87-P105)/(N58), N87/(N57+N58))</f>
        <v>505.94123593188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887.218920321235</v>
      </c>
      <c r="C91" s="473"/>
      <c r="D91" s="477"/>
      <c r="E91" s="430"/>
      <c r="F91" s="63"/>
      <c r="G91" s="310" t="s">
        <v>120</v>
      </c>
      <c r="H91" s="311" t="n">
        <f aca="false">IF(G105="YES", H90+H89, H90)</f>
        <v>616.249388893121</v>
      </c>
      <c r="I91" s="215"/>
      <c r="J91" s="215"/>
      <c r="K91" s="216"/>
      <c r="L91" s="63"/>
      <c r="M91" s="310" t="s">
        <v>120</v>
      </c>
      <c r="N91" s="311" t="n">
        <f aca="false">IF(M105="YES", N90+N89, N90)</f>
        <v>505.94123593188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341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376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217" t="s">
        <v>126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130</v>
      </c>
      <c r="Z97" s="63"/>
      <c r="AC97" s="388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214" t="s">
        <v>127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130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377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214" t="s">
        <v>287</v>
      </c>
      <c r="N101" s="215" t="s">
        <v>288</v>
      </c>
      <c r="O101" s="215"/>
      <c r="P101" s="215" t="s">
        <v>289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220" t="s">
        <v>128</v>
      </c>
      <c r="N104" s="63" t="s">
        <v>131</v>
      </c>
      <c r="O104" s="215"/>
      <c r="P104" s="215" t="s">
        <v>142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342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217" t="s">
        <v>290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291</v>
      </c>
      <c r="B110" s="222" t="s">
        <v>19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214" t="s">
        <v>291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0</v>
      </c>
      <c r="E112" s="107" t="n">
        <v>6000</v>
      </c>
      <c r="F112" s="63"/>
      <c r="G112" s="214" t="s">
        <v>176</v>
      </c>
      <c r="H112" s="215"/>
      <c r="I112" s="215"/>
      <c r="J112" s="313" t="n">
        <v>0</v>
      </c>
      <c r="K112" s="107" t="n">
        <v>0</v>
      </c>
      <c r="L112" s="63"/>
      <c r="M112" s="214" t="s">
        <v>176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177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177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178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178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-6000</v>
      </c>
      <c r="E115" s="216"/>
      <c r="F115" s="63"/>
      <c r="G115" s="214" t="s">
        <v>179</v>
      </c>
      <c r="H115" s="215"/>
      <c r="I115" s="215"/>
      <c r="J115" s="166" t="n">
        <f aca="false">J114-K114</f>
        <v>0</v>
      </c>
      <c r="K115" s="216"/>
      <c r="L115" s="63"/>
      <c r="M115" s="214" t="s">
        <v>179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v>1000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288" t="s">
        <v>138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292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292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217" t="s">
        <v>293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214" t="s">
        <v>183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296</v>
      </c>
      <c r="H126" s="328" t="s">
        <v>297</v>
      </c>
      <c r="I126" s="328"/>
      <c r="J126" s="328" t="s">
        <v>298</v>
      </c>
      <c r="K126" s="216"/>
      <c r="L126" s="63"/>
      <c r="M126" s="327" t="s">
        <v>343</v>
      </c>
      <c r="N126" s="328" t="s">
        <v>252</v>
      </c>
      <c r="O126" s="328"/>
      <c r="P126" s="328" t="s">
        <v>120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333" t="n">
        <f aca="false">H90</f>
        <v>616.249388893121</v>
      </c>
      <c r="H127" s="177" t="n">
        <f aca="false">IF(G105="YES", H89*H57, 0)</f>
        <v>0</v>
      </c>
      <c r="I127" s="177"/>
      <c r="J127" s="334" t="n">
        <f aca="false">H91</f>
        <v>616.249388893121</v>
      </c>
      <c r="K127" s="216"/>
      <c r="L127" s="63"/>
      <c r="M127" s="333" t="n">
        <f aca="false">N90</f>
        <v>505.94123593188</v>
      </c>
      <c r="N127" s="177" t="n">
        <f aca="false">IF(M105="YES", N89*N57, 0)</f>
        <v>0</v>
      </c>
      <c r="O127" s="177"/>
      <c r="P127" s="177" t="n">
        <f aca="false">N91</f>
        <v>505.94123593188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887.218920321235</v>
      </c>
      <c r="B128" s="321" t="n">
        <f aca="false">IF(A105="YES", B89, 0)</f>
        <v>0</v>
      </c>
      <c r="C128" s="325"/>
      <c r="D128" s="321" t="n">
        <f aca="false">B91</f>
        <v>887.218920321235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83</v>
      </c>
      <c r="H129" s="215" t="s">
        <v>84</v>
      </c>
      <c r="I129" s="215"/>
      <c r="J129" s="215" t="s">
        <v>86</v>
      </c>
      <c r="K129" s="216"/>
      <c r="L129" s="63"/>
      <c r="M129" s="214" t="s">
        <v>83</v>
      </c>
      <c r="N129" s="215" t="s">
        <v>84</v>
      </c>
      <c r="O129" s="215"/>
      <c r="P129" s="215" t="s">
        <v>86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887.218920321235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214" t="s">
        <v>344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3697.49633335873</v>
      </c>
      <c r="H133" s="103" t="n">
        <f aca="false">IF(G105="YES", H89*H57, 0)</f>
        <v>0</v>
      </c>
      <c r="I133" s="221"/>
      <c r="J133" s="184" t="n">
        <f aca="false">H91*H57</f>
        <v>3697.49633335873</v>
      </c>
      <c r="K133" s="216"/>
      <c r="L133" s="63"/>
      <c r="M133" s="185" t="n">
        <f aca="false">N90*N57</f>
        <v>3035.64741559128</v>
      </c>
      <c r="N133" s="103" t="n">
        <f aca="false">IF(M105="YES", N89*N57, 0)</f>
        <v>0</v>
      </c>
      <c r="O133" s="221"/>
      <c r="P133" s="184" t="n">
        <f aca="false">N91*N57</f>
        <v>3035.64741559128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887.218920321235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887.218920321235</v>
      </c>
      <c r="B137" s="38" t="n">
        <f aca="false">IF(A105="YES", B89, 0)</f>
        <v>0</v>
      </c>
      <c r="C137" s="317"/>
      <c r="D137" s="38" t="n">
        <f aca="false">B91</f>
        <v>887.218920321235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214" t="s">
        <v>141</v>
      </c>
      <c r="N138" s="215" t="s">
        <v>310</v>
      </c>
      <c r="O138" s="215"/>
      <c r="P138" s="215" t="s">
        <v>311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214" t="s">
        <v>313</v>
      </c>
      <c r="N141" s="215" t="s">
        <v>314</v>
      </c>
      <c r="O141" s="215"/>
      <c r="P141" s="215" t="s">
        <v>315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214" t="s">
        <v>317</v>
      </c>
      <c r="N144" s="215" t="s">
        <v>318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345</v>
      </c>
      <c r="N147" s="166" t="s">
        <v>346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413.208255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913.198255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323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616.249388893121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83</v>
      </c>
      <c r="N153" s="251" t="s">
        <v>84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505.94123593188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887.218920321235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887.218920321235</v>
      </c>
      <c r="B177" s="355" t="n">
        <f aca="false">IF(A105="YES", B89, 0)</f>
        <v>0</v>
      </c>
      <c r="C177" s="357"/>
      <c r="D177" s="355" t="n">
        <f aca="false">B91</f>
        <v>887.218920321235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887.218920321235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887.218920321235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887.218920321235</v>
      </c>
      <c r="B186" s="103" t="n">
        <f aca="false">IF(A105="YES", B89, 0)</f>
        <v>0</v>
      </c>
      <c r="C186" s="353"/>
      <c r="D186" s="103" t="n">
        <f aca="false">B91</f>
        <v>887.218920321235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413.208255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913.198255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0.065</v>
      </c>
      <c r="C209" s="321" t="s">
        <v>217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413.208255</v>
      </c>
      <c r="C211" s="320" t="s">
        <v>219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9926.781745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D64</f>
        <v>10000</v>
      </c>
      <c r="C217" s="375" t="s">
        <v>223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B67</f>
        <v>413.208255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(B77-(B77*(E219*100)))*0.1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B78-(B78*(E219*100))</f>
        <v>200</v>
      </c>
      <c r="C223" s="336" t="s">
        <v>220</v>
      </c>
      <c r="D223" s="317"/>
      <c r="E223" s="33" t="n">
        <f aca="false">(B217-B211+D211)</f>
        <v>9926.781745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B71</f>
        <v>200</v>
      </c>
      <c r="C229" s="336" t="s">
        <v>228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B68</f>
        <v>0.0075</v>
      </c>
      <c r="C231" s="336" t="s">
        <v>231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B86</f>
        <v>260.842362574443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B79</f>
        <v>200</v>
      </c>
      <c r="C233" s="382" t="s">
        <v>330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B80</f>
        <v>200</v>
      </c>
      <c r="C235" s="386" t="s">
        <v>331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H31" activeCellId="0" sqref="H31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353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128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182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12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183</v>
      </c>
      <c r="B30" s="172" t="s">
        <v>348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15450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83</v>
      </c>
      <c r="B32" s="215" t="s">
        <v>84</v>
      </c>
      <c r="C32" s="215"/>
      <c r="D32" s="458" t="s">
        <v>354</v>
      </c>
      <c r="E32" s="216"/>
      <c r="F32" s="63"/>
      <c r="G32" s="218" t="s">
        <v>36</v>
      </c>
      <c r="I32" s="449" t="n">
        <v>1040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12</v>
      </c>
      <c r="B33" s="229" t="n">
        <v>10000</v>
      </c>
      <c r="C33" s="230"/>
      <c r="D33" s="459" t="n">
        <f aca="false">H48</f>
        <v>1232.66338128253</v>
      </c>
      <c r="E33" s="216"/>
      <c r="F33" s="63"/>
      <c r="G33" s="219" t="s">
        <v>355</v>
      </c>
      <c r="H33" s="460" t="n">
        <f aca="false">E21-E11</f>
        <v>17583.33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371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356</v>
      </c>
      <c r="B35" s="215" t="s">
        <v>357</v>
      </c>
      <c r="C35" s="215"/>
      <c r="D35" s="215" t="s">
        <v>358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1206.66338128253</v>
      </c>
      <c r="B36" s="103" t="n">
        <f aca="false">IF(B26="YES", H42, "")</f>
        <v>26</v>
      </c>
      <c r="C36" s="221"/>
      <c r="D36" s="184" t="n">
        <f aca="false">H31</f>
        <v>15450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359</v>
      </c>
      <c r="B39" s="215" t="s">
        <v>360</v>
      </c>
      <c r="C39" s="215"/>
      <c r="D39" s="215" t="s">
        <v>361</v>
      </c>
      <c r="E39" s="216"/>
      <c r="F39" s="63"/>
      <c r="G39" s="63" t="s">
        <v>85</v>
      </c>
      <c r="H39" s="238" t="n">
        <f aca="false">H33</f>
        <v>17583.33</v>
      </c>
      <c r="I39" s="238" t="n">
        <f aca="false">(I48*H46)+H44</f>
        <v>19522.4211536279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4635</v>
      </c>
      <c r="B40" s="107" t="n">
        <f aca="false">IF(B26="YES",H42,"0")</f>
        <v>26</v>
      </c>
      <c r="C40" s="107"/>
      <c r="D40" s="184" t="n">
        <f aca="false">I32</f>
        <v>1040</v>
      </c>
      <c r="E40" s="216"/>
      <c r="F40" s="63"/>
      <c r="G40" s="63" t="s">
        <v>107</v>
      </c>
      <c r="H40" s="238" t="n">
        <f aca="false">A40/1.2</f>
        <v>3862.5</v>
      </c>
      <c r="I40" s="238" t="n">
        <f aca="false">H39-I39</f>
        <v>-1939.09115362792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362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363</v>
      </c>
      <c r="H42" s="238" t="n">
        <f aca="false">(I32/H34)*(C45/100)</f>
        <v>26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364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77</v>
      </c>
      <c r="B44" s="215"/>
      <c r="C44" s="363" t="s">
        <v>78</v>
      </c>
      <c r="D44" s="363"/>
      <c r="E44" s="216"/>
      <c r="F44" s="63"/>
      <c r="G44" s="63" t="s">
        <v>372</v>
      </c>
      <c r="H44" s="238" t="n">
        <f aca="false">(H40/(1+H41)^(H34+1))</f>
        <v>3600.55500439506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373</v>
      </c>
      <c r="H45" s="238" t="n">
        <f aca="false">(H39-H44)</f>
        <v>13982.7749956049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374</v>
      </c>
      <c r="H46" s="238" t="n">
        <f aca="false">((1-(1/((1+H41)^H34)))/H41)</f>
        <v>11.5879666297182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368</v>
      </c>
      <c r="H47" s="238" t="n">
        <f aca="false">H45/H46</f>
        <v>1206.66338128253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464" t="s">
        <v>369</v>
      </c>
      <c r="H48" s="238" t="n">
        <f aca="false">IF(B26="YES", H47+H42, H47)</f>
        <v>1232.66338128253</v>
      </c>
      <c r="I48" s="238" t="n">
        <f aca="false">I49-H42</f>
        <v>1374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370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H48</f>
        <v>1232.66338128253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85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85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IF(B99=Y97,H29-B57,IF(B99=Y98,H29-B57,IF(B99=Y99,H29-1,IF(B99=Y100,H29-1,IF(B99=Y101,H29-1,IF(B99=Y102,H29-1,IF(B99=Y103,H29-B57,IF(B99=Y104,H29-B57,IF(B99=Y105,H29-B57,0)))))))))</f>
        <v>11</v>
      </c>
      <c r="C58" s="215"/>
      <c r="D58" s="215"/>
      <c r="E58" s="216"/>
      <c r="F58" s="63"/>
      <c r="G58" s="214" t="s">
        <v>86</v>
      </c>
      <c r="H58" s="215" t="n">
        <f aca="false">IF(H99=Y97,H29-H57,IF(H99=Y98,H29-H57,IF(H99=Y99,H29-1,IF(H99=Y100,H29-1,IF(H99=Y101,H29-1,IF(H99=Y102,H29-1,IF(H99=Y103,H29-H57,IF(H99=Y104,H29-H57,IF(H99=Y105,H29-H57,0)))))))))</f>
        <v>11</v>
      </c>
      <c r="I58" s="215"/>
      <c r="J58" s="215"/>
      <c r="K58" s="216"/>
      <c r="L58" s="63"/>
      <c r="M58" s="214" t="s">
        <v>86</v>
      </c>
      <c r="N58" s="215" t="n">
        <f aca="false">IF(N99=Y97,H29-N57,IF(N99=Y98,H29-N57,IF(N99=Y99,H29-1,IF(N99=Y100,H29-1,IF(N99=Y101,H29-1,IF(N99=Y102,H29-1,IF(N99=Y103,H29-N57,IF(N99=Y104,H29-N57,IF(N99=Y105,H29-N57,0)))))))))</f>
        <v>11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375</v>
      </c>
      <c r="B60" s="215" t="n">
        <f aca="false">E19</f>
        <v>21099.996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0.07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B60*B63</f>
        <v>1476.99972</v>
      </c>
      <c r="C64" s="465" t="n">
        <v>10000</v>
      </c>
      <c r="D64" s="291" t="n">
        <f aca="false">B64</f>
        <v>1476.99972</v>
      </c>
      <c r="E64" s="466" t="n">
        <f aca="false">D64/(B58+B57)</f>
        <v>123.08331</v>
      </c>
      <c r="F64" s="63"/>
      <c r="G64" s="285" t="s">
        <v>91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91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0.01</v>
      </c>
      <c r="C65" s="215"/>
      <c r="D65" s="291"/>
      <c r="E65" s="216"/>
      <c r="F65" s="63"/>
      <c r="G65" s="292" t="s">
        <v>92</v>
      </c>
      <c r="H65" s="293" t="n">
        <v>0.01</v>
      </c>
      <c r="I65" s="215"/>
      <c r="J65" s="215"/>
      <c r="K65" s="216"/>
      <c r="L65" s="63"/>
      <c r="M65" s="292" t="s">
        <v>92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0.01</v>
      </c>
      <c r="C66" s="467" t="s">
        <v>223</v>
      </c>
      <c r="D66" s="215"/>
      <c r="E66" s="216"/>
      <c r="F66" s="63"/>
      <c r="G66" s="214" t="s">
        <v>93</v>
      </c>
      <c r="H66" s="294" t="n">
        <f aca="false">H65+(H65*0.5*(H29/12-1))</f>
        <v>0.01</v>
      </c>
      <c r="I66" s="215"/>
      <c r="J66" s="215"/>
      <c r="K66" s="216"/>
      <c r="L66" s="63"/>
      <c r="M66" s="214" t="s">
        <v>93</v>
      </c>
      <c r="N66" s="294" t="n">
        <f aca="false">N65+(N65*0.5*(H29/12-1))</f>
        <v>0.01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B60*B66</f>
        <v>210.99996</v>
      </c>
      <c r="C67" s="468" t="s">
        <v>223</v>
      </c>
      <c r="D67" s="469"/>
      <c r="E67" s="216"/>
      <c r="F67" s="63"/>
      <c r="G67" s="285" t="s">
        <v>94</v>
      </c>
      <c r="H67" s="133" t="n">
        <f aca="false">(H61*H66)/1.2</f>
        <v>0</v>
      </c>
      <c r="I67" s="215"/>
      <c r="J67" s="291"/>
      <c r="K67" s="216"/>
      <c r="L67" s="63"/>
      <c r="M67" s="285" t="s">
        <v>94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470"/>
      <c r="D68" s="291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292" t="s">
        <v>95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295" t="s">
        <v>96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297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285" t="s">
        <v>97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200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292" t="s">
        <v>98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5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295" t="s">
        <v>99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60</v>
      </c>
      <c r="C73" s="215"/>
      <c r="D73" s="472" t="n">
        <f aca="false">B73+B71</f>
        <v>260</v>
      </c>
      <c r="E73" s="216" t="s">
        <v>229</v>
      </c>
      <c r="F73" s="63"/>
      <c r="G73" s="285" t="s">
        <v>100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285" t="s">
        <v>100</v>
      </c>
      <c r="N73" s="133" t="n">
        <f aca="false">N72*H29</f>
        <v>54</v>
      </c>
      <c r="O73" s="215"/>
      <c r="P73" s="291" t="n">
        <f aca="false">N73+N71</f>
        <v>214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275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297.916666666667</v>
      </c>
      <c r="C76" s="215"/>
      <c r="D76" s="291" t="n">
        <f aca="false">B76</f>
        <v>297.916666666667</v>
      </c>
      <c r="E76" s="216"/>
      <c r="F76" s="63"/>
      <c r="G76" s="285" t="s">
        <v>281</v>
      </c>
      <c r="H76" s="133" t="n">
        <f aca="false">((H74+H75)/12)*(H29-11)</f>
        <v>13.75</v>
      </c>
      <c r="I76" s="215"/>
      <c r="J76" s="291" t="n">
        <f aca="false">H76</f>
        <v>13.75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101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101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79.8263888888889</v>
      </c>
      <c r="F80" s="63"/>
      <c r="G80" s="301" t="s">
        <v>102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102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2434.91638666667</v>
      </c>
      <c r="C81" s="473"/>
      <c r="D81" s="474"/>
      <c r="E81" s="466"/>
      <c r="F81" s="63"/>
      <c r="G81" s="303" t="s">
        <v>103</v>
      </c>
      <c r="H81" s="304" t="n">
        <f aca="false">SUM(J64:J80)</f>
        <v>627.75</v>
      </c>
      <c r="I81" s="215"/>
      <c r="J81" s="215"/>
      <c r="K81" s="216"/>
      <c r="L81" s="63"/>
      <c r="M81" s="303" t="s">
        <v>103</v>
      </c>
      <c r="N81" s="304" t="n">
        <f aca="false">SUM(P64:P80)</f>
        <v>614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202.909698888889</v>
      </c>
      <c r="C82" s="473"/>
      <c r="D82" s="215"/>
      <c r="E82" s="466"/>
      <c r="F82" s="63"/>
      <c r="G82" s="214" t="s">
        <v>104</v>
      </c>
      <c r="H82" s="300" t="n">
        <f aca="false">H81/H29</f>
        <v>52.3125</v>
      </c>
      <c r="I82" s="215"/>
      <c r="J82" s="215"/>
      <c r="K82" s="216"/>
      <c r="L82" s="63"/>
      <c r="M82" s="214" t="s">
        <v>104</v>
      </c>
      <c r="N82" s="300" t="n">
        <f aca="false">N81/H29</f>
        <v>51.1666666666667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H47</f>
        <v>1206.66338128253</v>
      </c>
      <c r="C83" s="473"/>
      <c r="D83" s="215"/>
      <c r="E83" s="466" t="n">
        <f aca="false">B83+E80+E77+E64</f>
        <v>1409.57308017142</v>
      </c>
      <c r="F83" s="63"/>
      <c r="G83" s="305" t="s">
        <v>105</v>
      </c>
      <c r="H83" s="306" t="n">
        <f aca="false">H47</f>
        <v>1206.66338128253</v>
      </c>
      <c r="I83" s="215"/>
      <c r="J83" s="215"/>
      <c r="K83" s="216"/>
      <c r="L83" s="63"/>
      <c r="M83" s="305" t="s">
        <v>105</v>
      </c>
      <c r="N83" s="306" t="n">
        <f aca="false">H47</f>
        <v>1206.66338128253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((B83*H29)+B81)*1.2</f>
        <v>20297.8523544684</v>
      </c>
      <c r="C85" s="473"/>
      <c r="D85" s="473"/>
      <c r="E85" s="466" t="n">
        <f aca="false">B85/(B58+B57)</f>
        <v>1691.4876962057</v>
      </c>
      <c r="F85" s="63"/>
      <c r="G85" s="288" t="s">
        <v>115</v>
      </c>
      <c r="H85" s="131" t="n">
        <f aca="false">((H83*H29)+H81)*1.2</f>
        <v>18129.2526904684</v>
      </c>
      <c r="I85" s="215"/>
      <c r="J85" s="215"/>
      <c r="K85" s="216"/>
      <c r="L85" s="63"/>
      <c r="M85" s="288" t="s">
        <v>115</v>
      </c>
      <c r="N85" s="131" t="n">
        <f aca="false">((N83*H29)+N81)</f>
        <v>15093.9605753904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(((B83*H29)+B81)/(1-B70))*B70</f>
        <v>143.288590642678</v>
      </c>
      <c r="C86" s="473" t="s">
        <v>232</v>
      </c>
      <c r="D86" s="215"/>
      <c r="E86" s="466" t="n">
        <f aca="false">B86/(B58+B57)</f>
        <v>11.9407158868898</v>
      </c>
      <c r="F86" s="63"/>
      <c r="G86" s="214" t="s">
        <v>116</v>
      </c>
      <c r="H86" s="300" t="n">
        <f aca="false">((((H83*H29)+H81))/(1-H70))*H70</f>
        <v>127.979799146106</v>
      </c>
      <c r="I86" s="215"/>
      <c r="J86" s="215"/>
      <c r="K86" s="216"/>
      <c r="L86" s="63"/>
      <c r="M86" s="214" t="s">
        <v>116</v>
      </c>
      <c r="N86" s="300" t="n">
        <f aca="false">(N85/(1-N70))*N70</f>
        <v>127.863320727389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IF(B110="YES",((B85+B86)-E114),((B85+B86)))</f>
        <v>20441.1409451111</v>
      </c>
      <c r="C87" s="473"/>
      <c r="D87" s="475"/>
      <c r="E87" s="466" t="n">
        <f aca="false">E86+E85</f>
        <v>1703.42841209259</v>
      </c>
      <c r="F87" s="63"/>
      <c r="G87" s="285" t="s">
        <v>117</v>
      </c>
      <c r="H87" s="133" t="n">
        <f aca="false">IF(H110="YES",((H85+H86)-K114),(H85+H86))</f>
        <v>18257.2324896146</v>
      </c>
      <c r="I87" s="215"/>
      <c r="J87" s="215"/>
      <c r="K87" s="216"/>
      <c r="L87" s="63"/>
      <c r="M87" s="285" t="s">
        <v>117</v>
      </c>
      <c r="N87" s="133" t="n">
        <f aca="false">IF(N110="YES",((N85+N86)-Q114),(N85+N86))</f>
        <v>15221.8238961178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4" t="n">
        <f aca="false">IF(B99=Y98, (I32+(I32*B105))/(B58), (I32+(I32*B105))/(B57+B58))*(C45/100)*1.2</f>
        <v>37.44</v>
      </c>
      <c r="C89" s="473"/>
      <c r="D89" s="215"/>
      <c r="E89" s="216"/>
      <c r="F89" s="63"/>
      <c r="G89" s="303" t="s">
        <v>118</v>
      </c>
      <c r="H89" s="304" t="n">
        <f aca="false">IF(H99=Y98, (D40+(D40*H105))/(H58), (D40+(D40*H105))/(H57+H58))*1.2</f>
        <v>88.0941176470588</v>
      </c>
      <c r="I89" s="215"/>
      <c r="J89" s="215"/>
      <c r="K89" s="216"/>
      <c r="L89" s="63"/>
      <c r="M89" s="303" t="s">
        <v>118</v>
      </c>
      <c r="N89" s="304" t="n">
        <f aca="false">IF(N99=Y98, (D40+(D40*N105))/(N58), (D40+(D40*N105))/(N57+N58))</f>
        <v>73.4117647058824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IF(B99=Y98, (B87-D105)/(B58), B87/(B57+B58))</f>
        <v>1703.42841209259</v>
      </c>
      <c r="C90" s="473"/>
      <c r="D90" s="215"/>
      <c r="E90" s="476"/>
      <c r="F90" s="63"/>
      <c r="G90" s="308" t="s">
        <v>119</v>
      </c>
      <c r="H90" s="309" t="n">
        <f aca="false">IF(H99=Y98, (H87-J105)/(H58), H87/(H57+H58))</f>
        <v>1073.95485233027</v>
      </c>
      <c r="I90" s="215"/>
      <c r="J90" s="215"/>
      <c r="K90" s="216"/>
      <c r="L90" s="63"/>
      <c r="M90" s="308" t="s">
        <v>119</v>
      </c>
      <c r="N90" s="309" t="n">
        <f aca="false">IF(N99=Y98, (N87-P105)/(N58), N87/(N57+N58))</f>
        <v>895.401405653986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1740.86841209259</v>
      </c>
      <c r="C91" s="473"/>
      <c r="D91" s="477"/>
      <c r="E91" s="430"/>
      <c r="F91" s="63"/>
      <c r="G91" s="310" t="s">
        <v>120</v>
      </c>
      <c r="H91" s="311" t="n">
        <f aca="false">IF(G105="YES", H90+H89, H90)</f>
        <v>1162.04896997733</v>
      </c>
      <c r="I91" s="215"/>
      <c r="J91" s="215"/>
      <c r="K91" s="216"/>
      <c r="L91" s="63"/>
      <c r="M91" s="310" t="s">
        <v>120</v>
      </c>
      <c r="N91" s="311" t="n">
        <f aca="false">IF(M105="YES", N90+N89, N90)</f>
        <v>968.813170359868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341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376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217" t="s">
        <v>126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130</v>
      </c>
      <c r="Z97" s="63"/>
      <c r="AC97" s="388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214" t="s">
        <v>127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130</v>
      </c>
      <c r="C99" s="312"/>
      <c r="D99" s="107" t="n">
        <v>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377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214" t="s">
        <v>287</v>
      </c>
      <c r="N101" s="215" t="s">
        <v>288</v>
      </c>
      <c r="O101" s="215"/>
      <c r="P101" s="215" t="s">
        <v>289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220" t="s">
        <v>128</v>
      </c>
      <c r="N104" s="63" t="s">
        <v>131</v>
      </c>
      <c r="O104" s="215"/>
      <c r="P104" s="215" t="s">
        <v>142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342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217" t="s">
        <v>290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291</v>
      </c>
      <c r="B110" s="222" t="s">
        <v>19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214" t="s">
        <v>291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0</v>
      </c>
      <c r="E112" s="107" t="n">
        <v>0</v>
      </c>
      <c r="F112" s="63"/>
      <c r="G112" s="214" t="s">
        <v>176</v>
      </c>
      <c r="H112" s="215"/>
      <c r="I112" s="215"/>
      <c r="J112" s="313" t="n">
        <v>0</v>
      </c>
      <c r="K112" s="107" t="n">
        <v>0</v>
      </c>
      <c r="L112" s="63"/>
      <c r="M112" s="214" t="s">
        <v>176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0</v>
      </c>
      <c r="E113" s="107" t="n">
        <v>0</v>
      </c>
      <c r="F113" s="63"/>
      <c r="G113" s="214" t="s">
        <v>177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177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0</v>
      </c>
      <c r="E114" s="167" t="n">
        <f aca="false">E112-E113</f>
        <v>0</v>
      </c>
      <c r="F114" s="63"/>
      <c r="G114" s="214" t="s">
        <v>178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178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0</v>
      </c>
      <c r="E115" s="216"/>
      <c r="F115" s="63"/>
      <c r="G115" s="214" t="s">
        <v>179</v>
      </c>
      <c r="H115" s="215"/>
      <c r="I115" s="215"/>
      <c r="J115" s="166" t="n">
        <f aca="false">J114-K114</f>
        <v>0</v>
      </c>
      <c r="K115" s="216"/>
      <c r="L115" s="63"/>
      <c r="M115" s="214" t="s">
        <v>179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f aca="false">D99</f>
        <v>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288" t="s">
        <v>138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(E118)+E117-E114</f>
        <v>239.99</v>
      </c>
      <c r="F119" s="63"/>
      <c r="G119" s="315" t="s">
        <v>292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292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217" t="s">
        <v>293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214" t="s">
        <v>183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296</v>
      </c>
      <c r="H126" s="328" t="s">
        <v>297</v>
      </c>
      <c r="I126" s="328"/>
      <c r="J126" s="328" t="s">
        <v>298</v>
      </c>
      <c r="K126" s="216"/>
      <c r="L126" s="63"/>
      <c r="M126" s="327" t="s">
        <v>343</v>
      </c>
      <c r="N126" s="328" t="s">
        <v>252</v>
      </c>
      <c r="O126" s="328"/>
      <c r="P126" s="328" t="s">
        <v>120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333" t="n">
        <f aca="false">H90</f>
        <v>1073.95485233027</v>
      </c>
      <c r="H127" s="177" t="n">
        <f aca="false">IF(G105="YES", H89*H57, 0)</f>
        <v>528.564705882353</v>
      </c>
      <c r="I127" s="177"/>
      <c r="J127" s="334" t="n">
        <f aca="false">H91</f>
        <v>1162.04896997733</v>
      </c>
      <c r="K127" s="216"/>
      <c r="L127" s="63"/>
      <c r="M127" s="333" t="n">
        <f aca="false">N90</f>
        <v>895.401405653986</v>
      </c>
      <c r="N127" s="177" t="n">
        <f aca="false">IF(M105="YES", N89*N57, 0)</f>
        <v>440.470588235294</v>
      </c>
      <c r="O127" s="177"/>
      <c r="P127" s="177" t="n">
        <f aca="false">N91</f>
        <v>968.813170359868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1703.42841209259</v>
      </c>
      <c r="B128" s="321" t="n">
        <f aca="false">IF(A105="YES", B89, 0)</f>
        <v>37.44</v>
      </c>
      <c r="C128" s="325"/>
      <c r="D128" s="321" t="n">
        <f aca="false">B91</f>
        <v>1740.86841209259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83</v>
      </c>
      <c r="H129" s="215" t="s">
        <v>84</v>
      </c>
      <c r="I129" s="215"/>
      <c r="J129" s="215" t="s">
        <v>86</v>
      </c>
      <c r="K129" s="216"/>
      <c r="L129" s="63"/>
      <c r="M129" s="214" t="s">
        <v>83</v>
      </c>
      <c r="N129" s="215" t="s">
        <v>84</v>
      </c>
      <c r="O129" s="215"/>
      <c r="P129" s="215" t="s">
        <v>86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228" t="n">
        <f aca="false">G152</f>
        <v>12</v>
      </c>
      <c r="H130" s="229" t="n">
        <f aca="false">B151</f>
        <v>0</v>
      </c>
      <c r="I130" s="230"/>
      <c r="J130" s="229" t="n">
        <f aca="false">B58</f>
        <v>11</v>
      </c>
      <c r="K130" s="216"/>
      <c r="L130" s="63"/>
      <c r="M130" s="228" t="n">
        <f aca="false">M155</f>
        <v>12</v>
      </c>
      <c r="N130" s="229" t="n">
        <f aca="false">B151</f>
        <v>0</v>
      </c>
      <c r="O130" s="230"/>
      <c r="P130" s="229" t="n">
        <f aca="false">B58</f>
        <v>11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1703.42841209259</v>
      </c>
      <c r="C131" s="317"/>
      <c r="D131" s="38" t="n">
        <f aca="false">IF(A105="YES", B89*B57, 0)</f>
        <v>37.44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214" t="s">
        <v>344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6443.72911398161</v>
      </c>
      <c r="H133" s="103" t="n">
        <f aca="false">IF(G105="YES", H89*H57, 0)</f>
        <v>528.564705882353</v>
      </c>
      <c r="I133" s="221"/>
      <c r="J133" s="184" t="n">
        <f aca="false">H91*H57</f>
        <v>6972.29381986396</v>
      </c>
      <c r="K133" s="216"/>
      <c r="L133" s="63"/>
      <c r="M133" s="185" t="n">
        <f aca="false">N90*N57</f>
        <v>5372.40843392392</v>
      </c>
      <c r="N133" s="103" t="n">
        <f aca="false">IF(M105="YES", N89*N57, 0)</f>
        <v>440.470588235294</v>
      </c>
      <c r="O133" s="221"/>
      <c r="P133" s="184" t="n">
        <f aca="false">N91*N57</f>
        <v>5812.87902215921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1740.86841209259</v>
      </c>
      <c r="B134" s="38" t="n">
        <f aca="false">E114</f>
        <v>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1703.42841209259</v>
      </c>
      <c r="B137" s="38" t="n">
        <f aca="false">IF(A105="YES", B89, 0)</f>
        <v>37.44</v>
      </c>
      <c r="C137" s="317"/>
      <c r="D137" s="38" t="n">
        <f aca="false">B91</f>
        <v>1740.86841209259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214" t="s">
        <v>141</v>
      </c>
      <c r="N138" s="215" t="s">
        <v>310</v>
      </c>
      <c r="O138" s="215"/>
      <c r="P138" s="215" t="s">
        <v>311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214" t="s">
        <v>313</v>
      </c>
      <c r="N141" s="215" t="s">
        <v>314</v>
      </c>
      <c r="O141" s="215"/>
      <c r="P141" s="215" t="s">
        <v>315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6.24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6.24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214" t="s">
        <v>317</v>
      </c>
      <c r="N144" s="215" t="s">
        <v>318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345</v>
      </c>
      <c r="N147" s="166" t="s">
        <v>346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210.99996</v>
      </c>
      <c r="B148" s="103" t="n">
        <f aca="false">B102</f>
        <v>0</v>
      </c>
      <c r="C148" s="38"/>
      <c r="D148" s="38" t="n">
        <f aca="false">IF(A105="YES", (B40*B105)*B125, 0)*0.1</f>
        <v>6.24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317.231626666667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323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1162.04896997733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83</v>
      </c>
      <c r="N153" s="251" t="s">
        <v>84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12</v>
      </c>
      <c r="N155" s="74" t="n">
        <f aca="false">N91</f>
        <v>968.813170359868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1740.86841209259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12</v>
      </c>
      <c r="C174" s="357"/>
      <c r="D174" s="324" t="n">
        <f aca="false">D125</f>
        <v>35000</v>
      </c>
      <c r="E174" s="322"/>
      <c r="F174" s="63"/>
      <c r="G174" s="387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1703.42841209259</v>
      </c>
      <c r="B177" s="355" t="n">
        <f aca="false">IF(A105="YES", B89, 0)</f>
        <v>37.44</v>
      </c>
      <c r="C177" s="357"/>
      <c r="D177" s="355" t="n">
        <f aca="false">B91</f>
        <v>1740.86841209259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1703.42841209259</v>
      </c>
      <c r="C180" s="353"/>
      <c r="D180" s="103" t="n">
        <f aca="false">IF(A105="YES", B89*B57, 0)</f>
        <v>37.44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1740.86841209259</v>
      </c>
      <c r="B183" s="103" t="n">
        <f aca="false">E114</f>
        <v>0</v>
      </c>
      <c r="C183" s="353"/>
      <c r="D183" s="361" t="n">
        <f aca="false">B58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1703.42841209259</v>
      </c>
      <c r="B186" s="103" t="n">
        <f aca="false">IF(A105="YES", B89, 0)</f>
        <v>37.44</v>
      </c>
      <c r="C186" s="353"/>
      <c r="D186" s="103" t="n">
        <f aca="false">B91</f>
        <v>1740.86841209259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210.99996</v>
      </c>
      <c r="B197" s="103" t="n">
        <f aca="false">B102</f>
        <v>0</v>
      </c>
      <c r="C197" s="103"/>
      <c r="D197" s="103" t="n">
        <f aca="false">IF(A105="YES", (B40*B105)*B125, 0)*0.1</f>
        <v>6.24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317.231626666667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0.065</v>
      </c>
      <c r="C209" s="321" t="s">
        <v>217</v>
      </c>
      <c r="D209" s="370" t="n">
        <f aca="false">D64</f>
        <v>1476.99972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210.99996</v>
      </c>
      <c r="C211" s="320" t="s">
        <v>219</v>
      </c>
      <c r="D211" s="370" t="n">
        <f aca="false">B225+E221+B221+B223</f>
        <v>162.391666666667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1428.39142666667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D64</f>
        <v>1476.99972</v>
      </c>
      <c r="C217" s="375" t="s">
        <v>223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B67</f>
        <v>210.99996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(B77-(B77*(E219*100)))*0.1</f>
        <v>0</v>
      </c>
      <c r="C221" s="336" t="s">
        <v>225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B78-(B78*(E219*100))</f>
        <v>0</v>
      </c>
      <c r="C223" s="336" t="s">
        <v>220</v>
      </c>
      <c r="D223" s="317"/>
      <c r="E223" s="33" t="n">
        <f aca="false">(B217-B211+D211)</f>
        <v>1428.39142666667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62.4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B71</f>
        <v>200</v>
      </c>
      <c r="C229" s="336" t="s">
        <v>228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D73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B68</f>
        <v>0.0075</v>
      </c>
      <c r="C231" s="336" t="s">
        <v>231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B86</f>
        <v>143.288590642678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B79</f>
        <v>200</v>
      </c>
      <c r="C233" s="382" t="s">
        <v>330</v>
      </c>
      <c r="D233" s="383"/>
      <c r="E233" s="149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B80</f>
        <v>200</v>
      </c>
      <c r="C235" s="386" t="s">
        <v>331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22" colorId="64" zoomScale="85" zoomScaleNormal="85" zoomScalePageLayoutView="100" workbookViewId="0">
      <selection pane="topLeft" activeCell="I32" activeCellId="0" sqref="I32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353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128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182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 t="n">
        <v>35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183</v>
      </c>
      <c r="B30" s="172" t="s">
        <v>348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 t="n">
        <v>35000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</v>
      </c>
      <c r="I31" s="63"/>
      <c r="J31" s="63"/>
      <c r="K31" s="63" t="n">
        <v>80000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83</v>
      </c>
      <c r="B32" s="215" t="s">
        <v>84</v>
      </c>
      <c r="C32" s="215"/>
      <c r="D32" s="458" t="s">
        <v>354</v>
      </c>
      <c r="E32" s="216"/>
      <c r="F32" s="63"/>
      <c r="G32" s="218" t="s">
        <v>36</v>
      </c>
      <c r="I32" s="449" t="n">
        <v>0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552.861519485774</v>
      </c>
      <c r="E33" s="216"/>
      <c r="F33" s="63"/>
      <c r="G33" s="219" t="s">
        <v>355</v>
      </c>
      <c r="H33" s="460" t="n">
        <f aca="false">E21-E11</f>
        <v>17583.33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371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356</v>
      </c>
      <c r="B35" s="215" t="s">
        <v>357</v>
      </c>
      <c r="C35" s="215"/>
      <c r="D35" s="215" t="s">
        <v>358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552.861519485774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359</v>
      </c>
      <c r="B39" s="215" t="s">
        <v>360</v>
      </c>
      <c r="C39" s="215"/>
      <c r="D39" s="215" t="s">
        <v>361</v>
      </c>
      <c r="E39" s="216"/>
      <c r="F39" s="63"/>
      <c r="G39" s="63" t="s">
        <v>85</v>
      </c>
      <c r="H39" s="238" t="n">
        <f aca="false">H33</f>
        <v>17583.33</v>
      </c>
      <c r="I39" s="238" t="n">
        <f aca="false">(I48*H46)+H44</f>
        <v>44525.9095313712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107</v>
      </c>
      <c r="H40" s="238" t="n">
        <f aca="false">A40/1.2</f>
        <v>0</v>
      </c>
      <c r="I40" s="238" t="n">
        <f aca="false">H39-I39</f>
        <v>-26942.5795313712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362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363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364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77</v>
      </c>
      <c r="B44" s="215"/>
      <c r="C44" s="363" t="s">
        <v>78</v>
      </c>
      <c r="D44" s="363"/>
      <c r="E44" s="216"/>
      <c r="F44" s="63"/>
      <c r="G44" s="63" t="s">
        <v>372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373</v>
      </c>
      <c r="H45" s="238" t="n">
        <f aca="false">(H39-H44)</f>
        <v>17583.33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374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368</v>
      </c>
      <c r="H47" s="238" t="n">
        <f aca="false">H45/H46</f>
        <v>552.861519485774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464" t="s">
        <v>369</v>
      </c>
      <c r="H48" s="238" t="n">
        <f aca="false">IF(B26="YES", H47+H42, H47)</f>
        <v>552.861519485774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370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552.861519485774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85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85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86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86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375</v>
      </c>
      <c r="B60" s="215" t="n">
        <f aca="false">E19</f>
        <v>21099.996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91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91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0.01</v>
      </c>
      <c r="C65" s="215"/>
      <c r="D65" s="291"/>
      <c r="E65" s="216"/>
      <c r="F65" s="63"/>
      <c r="G65" s="292" t="s">
        <v>92</v>
      </c>
      <c r="H65" s="293" t="n">
        <v>0.01</v>
      </c>
      <c r="I65" s="215"/>
      <c r="J65" s="215"/>
      <c r="K65" s="216"/>
      <c r="L65" s="63"/>
      <c r="M65" s="292" t="s">
        <v>92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0.0195833333333333</v>
      </c>
      <c r="C66" s="467" t="s">
        <v>223</v>
      </c>
      <c r="D66" s="215"/>
      <c r="E66" s="216"/>
      <c r="F66" s="63"/>
      <c r="G66" s="214" t="s">
        <v>93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93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B60*B66</f>
        <v>413.208255</v>
      </c>
      <c r="C67" s="468" t="s">
        <v>223</v>
      </c>
      <c r="D67" s="469"/>
      <c r="E67" s="216"/>
      <c r="F67" s="63"/>
      <c r="G67" s="285" t="s">
        <v>94</v>
      </c>
      <c r="H67" s="133" t="n">
        <f aca="false">(H61*H66)/1.2</f>
        <v>0</v>
      </c>
      <c r="I67" s="215"/>
      <c r="J67" s="291"/>
      <c r="K67" s="216"/>
      <c r="L67" s="63"/>
      <c r="M67" s="285" t="s">
        <v>94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470"/>
      <c r="D68" s="291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292" t="s">
        <v>95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295" t="s">
        <v>96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297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285" t="s">
        <v>97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200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292" t="s">
        <v>98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5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295" t="s">
        <v>99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229</v>
      </c>
      <c r="F73" s="63"/>
      <c r="G73" s="285" t="s">
        <v>100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100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275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825</v>
      </c>
      <c r="C76" s="215"/>
      <c r="D76" s="291" t="n">
        <f aca="false">B76</f>
        <v>825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101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101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45.7142857142857</v>
      </c>
      <c r="F80" s="63"/>
      <c r="G80" s="301" t="s">
        <v>102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102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12266.6666666667</v>
      </c>
      <c r="C81" s="473"/>
      <c r="D81" s="474"/>
      <c r="E81" s="466"/>
      <c r="F81" s="63"/>
      <c r="G81" s="303" t="s">
        <v>103</v>
      </c>
      <c r="H81" s="304" t="n">
        <f aca="false">SUM(J64:J80)</f>
        <v>1047.5</v>
      </c>
      <c r="I81" s="215"/>
      <c r="J81" s="215"/>
      <c r="K81" s="216"/>
      <c r="L81" s="63"/>
      <c r="M81" s="303" t="s">
        <v>103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350.47619047619</v>
      </c>
      <c r="C82" s="473"/>
      <c r="D82" s="215"/>
      <c r="E82" s="466"/>
      <c r="F82" s="63"/>
      <c r="G82" s="214" t="s">
        <v>104</v>
      </c>
      <c r="H82" s="300" t="n">
        <f aca="false">H81/H29</f>
        <v>29.9285714285714</v>
      </c>
      <c r="I82" s="215"/>
      <c r="J82" s="215"/>
      <c r="K82" s="216"/>
      <c r="L82" s="63"/>
      <c r="M82" s="214" t="s">
        <v>104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H47</f>
        <v>552.861519485774</v>
      </c>
      <c r="C83" s="473"/>
      <c r="D83" s="215"/>
      <c r="E83" s="466" t="n">
        <f aca="false">B83+E80+E77+E64</f>
        <v>896.988503612758</v>
      </c>
      <c r="F83" s="63"/>
      <c r="G83" s="305" t="s">
        <v>105</v>
      </c>
      <c r="H83" s="306" t="n">
        <f aca="false">H47</f>
        <v>552.861519485774</v>
      </c>
      <c r="I83" s="215"/>
      <c r="J83" s="215"/>
      <c r="K83" s="216"/>
      <c r="L83" s="63"/>
      <c r="M83" s="305" t="s">
        <v>105</v>
      </c>
      <c r="N83" s="306" t="n">
        <f aca="false">H47</f>
        <v>552.861519485774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((B83*H29)+B81)</f>
        <v>31616.8198486688</v>
      </c>
      <c r="C85" s="473"/>
      <c r="D85" s="473"/>
      <c r="E85" s="466" t="n">
        <f aca="false">B85/(B58+B57)</f>
        <v>903.337709961965</v>
      </c>
      <c r="F85" s="63"/>
      <c r="G85" s="288" t="s">
        <v>115</v>
      </c>
      <c r="H85" s="131" t="n">
        <f aca="false">((H83*H29)+H81)*1.2</f>
        <v>24477.1838184025</v>
      </c>
      <c r="I85" s="215"/>
      <c r="J85" s="215"/>
      <c r="K85" s="216"/>
      <c r="L85" s="63"/>
      <c r="M85" s="288" t="s">
        <v>115</v>
      </c>
      <c r="N85" s="131" t="n">
        <f aca="false">((N83*H29)+N81)</f>
        <v>20067.6531820021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(((B83*H29)+B81)/(1-B70))*B70</f>
        <v>267.831067697476</v>
      </c>
      <c r="C86" s="473" t="s">
        <v>232</v>
      </c>
      <c r="D86" s="215"/>
      <c r="E86" s="466" t="n">
        <f aca="false">B86/(B58+B57)</f>
        <v>7.6523162199279</v>
      </c>
      <c r="F86" s="63"/>
      <c r="G86" s="214" t="s">
        <v>116</v>
      </c>
      <c r="H86" s="300" t="n">
        <f aca="false">((((H83*H29)+H81))/(1-H70))*H70</f>
        <v>172.791737322325</v>
      </c>
      <c r="I86" s="215"/>
      <c r="J86" s="215"/>
      <c r="K86" s="216"/>
      <c r="L86" s="63"/>
      <c r="M86" s="214" t="s">
        <v>116</v>
      </c>
      <c r="N86" s="300" t="n">
        <f aca="false">(N85/(1-N70))*N70</f>
        <v>169.996255273112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IF(B110="YES",((B85+B86)-E114),((B85+B86)))</f>
        <v>31884.6509163662</v>
      </c>
      <c r="C87" s="473"/>
      <c r="D87" s="475"/>
      <c r="E87" s="466" t="n">
        <f aca="false">E86+E85</f>
        <v>910.990026181893</v>
      </c>
      <c r="F87" s="63"/>
      <c r="G87" s="285" t="s">
        <v>117</v>
      </c>
      <c r="H87" s="133" t="n">
        <f aca="false">IF(H110="YES",((H85+H86)-K114),(H85+H86))</f>
        <v>24649.9755557248</v>
      </c>
      <c r="I87" s="215"/>
      <c r="J87" s="215"/>
      <c r="K87" s="216"/>
      <c r="L87" s="63"/>
      <c r="M87" s="285" t="s">
        <v>117</v>
      </c>
      <c r="N87" s="133" t="n">
        <f aca="false">IF(N110="YES",((N85+N86)-Q114),(N85+N86))</f>
        <v>20237.6494372752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118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118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IF(B99=Y98, (B87-D105)/(B58), B87/(B57+B58))</f>
        <v>910.990026181893</v>
      </c>
      <c r="C90" s="473"/>
      <c r="D90" s="215"/>
      <c r="E90" s="476"/>
      <c r="F90" s="63"/>
      <c r="G90" s="308" t="s">
        <v>119</v>
      </c>
      <c r="H90" s="309" t="n">
        <f aca="false">IF(H99=Y98, (H87-J105)/(H58), H87/(H57+H58))</f>
        <v>616.249388893121</v>
      </c>
      <c r="I90" s="215"/>
      <c r="J90" s="215"/>
      <c r="K90" s="216"/>
      <c r="L90" s="63"/>
      <c r="M90" s="308" t="s">
        <v>119</v>
      </c>
      <c r="N90" s="309" t="n">
        <f aca="false">IF(N99=Y98, (N87-P105)/(N58), N87/(N57+N58))</f>
        <v>505.94123593188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910.990026181893</v>
      </c>
      <c r="C91" s="473"/>
      <c r="D91" s="477"/>
      <c r="E91" s="430"/>
      <c r="F91" s="63"/>
      <c r="G91" s="310" t="s">
        <v>120</v>
      </c>
      <c r="H91" s="311" t="n">
        <f aca="false">IF(G105="YES", H90+H89, H90)</f>
        <v>616.249388893121</v>
      </c>
      <c r="I91" s="215"/>
      <c r="J91" s="215"/>
      <c r="K91" s="216"/>
      <c r="L91" s="63"/>
      <c r="M91" s="310" t="s">
        <v>120</v>
      </c>
      <c r="N91" s="311" t="n">
        <f aca="false">IF(M105="YES", N90+N89, N90)</f>
        <v>505.94123593188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341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376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217" t="s">
        <v>126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130</v>
      </c>
      <c r="Z97" s="63"/>
      <c r="AC97" s="388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214" t="s">
        <v>127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130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377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214" t="s">
        <v>287</v>
      </c>
      <c r="N101" s="215" t="s">
        <v>288</v>
      </c>
      <c r="O101" s="215"/>
      <c r="P101" s="215" t="s">
        <v>289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220" t="s">
        <v>128</v>
      </c>
      <c r="N104" s="63" t="s">
        <v>131</v>
      </c>
      <c r="O104" s="215"/>
      <c r="P104" s="215" t="s">
        <v>142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342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217" t="s">
        <v>290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291</v>
      </c>
      <c r="B110" s="222" t="s">
        <v>19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214" t="s">
        <v>291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0</v>
      </c>
      <c r="E112" s="107" t="n">
        <v>6000</v>
      </c>
      <c r="F112" s="63"/>
      <c r="G112" s="214" t="s">
        <v>176</v>
      </c>
      <c r="H112" s="215"/>
      <c r="I112" s="215"/>
      <c r="J112" s="313" t="n">
        <v>0</v>
      </c>
      <c r="K112" s="107" t="n">
        <v>0</v>
      </c>
      <c r="L112" s="63"/>
      <c r="M112" s="214" t="s">
        <v>176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177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177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178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178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-6000</v>
      </c>
      <c r="E115" s="216"/>
      <c r="F115" s="63"/>
      <c r="G115" s="214" t="s">
        <v>179</v>
      </c>
      <c r="H115" s="215"/>
      <c r="I115" s="215"/>
      <c r="J115" s="166" t="n">
        <f aca="false">J114-K114</f>
        <v>0</v>
      </c>
      <c r="K115" s="216"/>
      <c r="L115" s="63"/>
      <c r="M115" s="214" t="s">
        <v>179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f aca="false">D99</f>
        <v>1000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288" t="s">
        <v>138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292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292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217" t="s">
        <v>293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214" t="s">
        <v>183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296</v>
      </c>
      <c r="H126" s="328" t="s">
        <v>297</v>
      </c>
      <c r="I126" s="328"/>
      <c r="J126" s="328" t="s">
        <v>298</v>
      </c>
      <c r="K126" s="216"/>
      <c r="L126" s="63"/>
      <c r="M126" s="327" t="s">
        <v>343</v>
      </c>
      <c r="N126" s="328" t="s">
        <v>252</v>
      </c>
      <c r="O126" s="328"/>
      <c r="P126" s="328" t="s">
        <v>120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333" t="n">
        <f aca="false">H90</f>
        <v>616.249388893121</v>
      </c>
      <c r="H127" s="177" t="n">
        <f aca="false">IF(G105="YES", H89*H57, 0)</f>
        <v>0</v>
      </c>
      <c r="I127" s="177"/>
      <c r="J127" s="334" t="n">
        <f aca="false">H91</f>
        <v>616.249388893121</v>
      </c>
      <c r="K127" s="216"/>
      <c r="L127" s="63"/>
      <c r="M127" s="333" t="n">
        <f aca="false">N90</f>
        <v>505.94123593188</v>
      </c>
      <c r="N127" s="177" t="n">
        <f aca="false">IF(M105="YES", N89*N57, 0)</f>
        <v>0</v>
      </c>
      <c r="O127" s="177"/>
      <c r="P127" s="177" t="n">
        <f aca="false">N91</f>
        <v>505.94123593188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910.990026181893</v>
      </c>
      <c r="B128" s="321" t="n">
        <f aca="false">IF(A105="YES", B89, 0)</f>
        <v>0</v>
      </c>
      <c r="C128" s="325"/>
      <c r="D128" s="321" t="n">
        <f aca="false">B91</f>
        <v>910.990026181893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83</v>
      </c>
      <c r="H129" s="215" t="s">
        <v>84</v>
      </c>
      <c r="I129" s="215"/>
      <c r="J129" s="215" t="s">
        <v>86</v>
      </c>
      <c r="K129" s="216"/>
      <c r="L129" s="63"/>
      <c r="M129" s="214" t="s">
        <v>83</v>
      </c>
      <c r="N129" s="215" t="s">
        <v>84</v>
      </c>
      <c r="O129" s="215"/>
      <c r="P129" s="215" t="s">
        <v>86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910.990026181893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214" t="s">
        <v>344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3697.49633335873</v>
      </c>
      <c r="H133" s="103" t="n">
        <f aca="false">IF(G105="YES", H89*H57, 0)</f>
        <v>0</v>
      </c>
      <c r="I133" s="221"/>
      <c r="J133" s="184" t="n">
        <f aca="false">H91*H57</f>
        <v>3697.49633335873</v>
      </c>
      <c r="K133" s="216"/>
      <c r="L133" s="63"/>
      <c r="M133" s="185" t="n">
        <f aca="false">N90*N57</f>
        <v>3035.64741559128</v>
      </c>
      <c r="N133" s="103" t="n">
        <f aca="false">IF(M105="YES", N89*N57, 0)</f>
        <v>0</v>
      </c>
      <c r="O133" s="221"/>
      <c r="P133" s="184" t="n">
        <f aca="false">N91*N57</f>
        <v>3035.64741559128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910.990026181893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910.990026181893</v>
      </c>
      <c r="B137" s="38" t="n">
        <f aca="false">IF(A105="YES", B89, 0)</f>
        <v>0</v>
      </c>
      <c r="C137" s="317"/>
      <c r="D137" s="38" t="n">
        <f aca="false">B91</f>
        <v>910.990026181893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214" t="s">
        <v>141</v>
      </c>
      <c r="N138" s="215" t="s">
        <v>310</v>
      </c>
      <c r="O138" s="215"/>
      <c r="P138" s="215" t="s">
        <v>311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214" t="s">
        <v>313</v>
      </c>
      <c r="N141" s="215" t="s">
        <v>314</v>
      </c>
      <c r="O141" s="215"/>
      <c r="P141" s="215" t="s">
        <v>315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214" t="s">
        <v>317</v>
      </c>
      <c r="N144" s="215" t="s">
        <v>318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345</v>
      </c>
      <c r="N147" s="166" t="s">
        <v>346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413.208255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913.198255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323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616.249388893121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83</v>
      </c>
      <c r="N153" s="251" t="s">
        <v>84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505.94123593188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910.990026181893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910.990026181893</v>
      </c>
      <c r="B177" s="355" t="n">
        <f aca="false">IF(A105="YES", B89, 0)</f>
        <v>0</v>
      </c>
      <c r="C177" s="357"/>
      <c r="D177" s="355" t="n">
        <f aca="false">B91</f>
        <v>910.990026181893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910.990026181893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910.990026181893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910.990026181893</v>
      </c>
      <c r="B186" s="103" t="n">
        <f aca="false">IF(A105="YES", B89, 0)</f>
        <v>0</v>
      </c>
      <c r="C186" s="353"/>
      <c r="D186" s="103" t="n">
        <f aca="false">B91</f>
        <v>910.990026181893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413.208255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913.198255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0.065</v>
      </c>
      <c r="C209" s="321" t="s">
        <v>217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413.208255</v>
      </c>
      <c r="C211" s="320" t="s">
        <v>219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9926.781745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D64</f>
        <v>10000</v>
      </c>
      <c r="C217" s="375" t="s">
        <v>223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B67</f>
        <v>413.208255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(B77-(B77*(E219*100)))*0.1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B78-(B78*(E219*100))</f>
        <v>200</v>
      </c>
      <c r="C223" s="336" t="s">
        <v>220</v>
      </c>
      <c r="D223" s="317"/>
      <c r="E223" s="33" t="n">
        <f aca="false">(B217-B211+D211)</f>
        <v>9926.781745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B71</f>
        <v>200</v>
      </c>
      <c r="C229" s="336" t="s">
        <v>228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B68</f>
        <v>0.0075</v>
      </c>
      <c r="C231" s="336" t="s">
        <v>231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B86</f>
        <v>267.831067697476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B79</f>
        <v>200</v>
      </c>
      <c r="C233" s="382" t="s">
        <v>330</v>
      </c>
      <c r="D233" s="383"/>
      <c r="E233" s="149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B80</f>
        <v>200</v>
      </c>
      <c r="C235" s="386" t="s">
        <v>331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0" colorId="64" zoomScale="85" zoomScaleNormal="85" zoomScalePageLayoutView="100" workbookViewId="0">
      <selection pane="topLeft" activeCell="A37" activeCellId="0" sqref="A37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22050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18000.0</v>
      </c>
      <c r="C9" s="14" t="n">
        <f aca="false">B9*0.2</f>
        <v>3675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394</v>
      </c>
      <c r="B34" s="32"/>
      <c r="C34" s="41" t="s">
        <v>401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E19</f>
        <v>22050</v>
      </c>
      <c r="B37" s="32"/>
      <c r="C37" s="41" t="s">
        <v>399</v>
      </c>
      <c r="D37" s="41"/>
      <c r="E37" s="32"/>
      <c r="F37" s="43" t="n">
        <f aca="false">A37-C37</f>
        <v>21050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394</v>
      </c>
      <c r="B40" s="32"/>
      <c r="C40" s="54" t="n">
        <f aca="false">A34-1</f>
        <v>11</v>
      </c>
      <c r="D40" s="54"/>
      <c r="E40" s="32"/>
      <c r="F40" s="41" t="s">
        <v>393</v>
      </c>
      <c r="G40" s="41"/>
      <c r="H40" s="47"/>
      <c r="J40" s="2" t="s">
        <v>58</v>
      </c>
      <c r="K40" s="2" t="n">
        <f aca="false">C15</f>
        <v>3675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222.916666666667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277.083333333333</v>
      </c>
      <c r="L45" s="2"/>
    </row>
    <row r="46" customFormat="false" ht="17.35" hidden="false" customHeight="false" outlineLevel="0" collapsed="false">
      <c r="A46" s="40" t="s">
        <v>405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71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72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73</v>
      </c>
      <c r="B48" s="43"/>
      <c r="C48" s="43"/>
      <c r="D48" s="43"/>
      <c r="E48" s="43"/>
      <c r="F48" s="43"/>
      <c r="G48" s="43"/>
      <c r="H48" s="47"/>
      <c r="J48" s="55" t="s">
        <v>74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75</v>
      </c>
      <c r="K49" s="2" t="n">
        <f aca="false">K45+K48+K47</f>
        <v>279.75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76</v>
      </c>
      <c r="K50" s="2" t="n">
        <f aca="false">K49-A46</f>
        <v>279.75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77</v>
      </c>
      <c r="B52" s="32"/>
      <c r="C52" s="32" t="s">
        <v>78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79</v>
      </c>
      <c r="K53" s="64" t="s">
        <v>419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81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82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83</v>
      </c>
      <c r="B58" s="71" t="s">
        <v>84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279.75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85</v>
      </c>
      <c r="B67" s="32" t="n">
        <v>1</v>
      </c>
      <c r="C67" s="32"/>
      <c r="D67" s="32"/>
      <c r="E67" s="23"/>
      <c r="F67" s="23"/>
      <c r="G67" s="23"/>
      <c r="H67" s="33"/>
      <c r="J67" s="31" t="s">
        <v>85</v>
      </c>
      <c r="K67" s="32" t="n">
        <v>1</v>
      </c>
      <c r="L67" s="32"/>
      <c r="M67" s="32"/>
      <c r="N67" s="23"/>
      <c r="O67" s="23"/>
      <c r="P67" s="23"/>
      <c r="Q67" s="33"/>
      <c r="S67" s="31" t="s">
        <v>85</v>
      </c>
      <c r="T67" s="32" t="n">
        <v>1</v>
      </c>
      <c r="U67" s="32"/>
      <c r="V67" s="32"/>
      <c r="W67" s="23"/>
      <c r="X67" s="23"/>
      <c r="Y67" s="23"/>
      <c r="Z67" s="33"/>
      <c r="AB67" s="31" t="s">
        <v>85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86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86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86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86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87</v>
      </c>
      <c r="B69" s="77" t="n">
        <v>10.0</v>
      </c>
      <c r="C69" s="32"/>
      <c r="D69" s="32"/>
      <c r="E69" s="23"/>
      <c r="F69" s="23"/>
      <c r="G69" s="23"/>
      <c r="H69" s="33"/>
      <c r="J69" s="76" t="s">
        <v>87</v>
      </c>
      <c r="K69" s="77" t="n">
        <v>20</v>
      </c>
      <c r="L69" s="32"/>
      <c r="M69" s="32"/>
      <c r="N69" s="23"/>
      <c r="O69" s="23"/>
      <c r="P69" s="23"/>
      <c r="Q69" s="33"/>
      <c r="S69" s="76" t="s">
        <v>87</v>
      </c>
      <c r="T69" s="77" t="n">
        <v>10</v>
      </c>
      <c r="U69" s="32"/>
      <c r="V69" s="32"/>
      <c r="W69" s="23"/>
      <c r="X69" s="23"/>
      <c r="Y69" s="23"/>
      <c r="Z69" s="33"/>
      <c r="AB69" s="76" t="s">
        <v>87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88</v>
      </c>
      <c r="B71" s="79" t="n">
        <v>0.0105</v>
      </c>
      <c r="C71" s="32"/>
      <c r="D71" s="32"/>
      <c r="E71" s="23"/>
      <c r="F71" s="23"/>
      <c r="G71" s="23"/>
      <c r="H71" s="33"/>
      <c r="J71" s="78" t="s">
        <v>88</v>
      </c>
      <c r="K71" s="79" t="n">
        <v>0.06</v>
      </c>
      <c r="L71" s="32"/>
      <c r="M71" s="32"/>
      <c r="N71" s="23"/>
      <c r="O71" s="23"/>
      <c r="P71" s="23"/>
      <c r="Q71" s="33"/>
      <c r="S71" s="78" t="s">
        <v>88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88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89</v>
      </c>
      <c r="B72" s="81" t="n">
        <v>0.065</v>
      </c>
      <c r="C72" s="32"/>
      <c r="D72" s="32"/>
      <c r="E72" s="23"/>
      <c r="F72" s="23"/>
      <c r="G72" s="23"/>
      <c r="H72" s="33"/>
      <c r="J72" s="80" t="s">
        <v>89</v>
      </c>
      <c r="K72" s="81" t="n">
        <v>0.08</v>
      </c>
      <c r="L72" s="32"/>
      <c r="M72" s="32"/>
      <c r="N72" s="23"/>
      <c r="O72" s="23"/>
      <c r="P72" s="23"/>
      <c r="Q72" s="33"/>
      <c r="S72" s="80" t="s">
        <v>89</v>
      </c>
      <c r="T72" s="81" t="n">
        <v>0.059</v>
      </c>
      <c r="U72" s="32"/>
      <c r="V72" s="32"/>
      <c r="W72" s="23"/>
      <c r="X72" s="23"/>
      <c r="Y72" s="23"/>
      <c r="Z72" s="33"/>
      <c r="AB72" s="80" t="s">
        <v>89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90</v>
      </c>
      <c r="B73" s="83" t="n">
        <v>0.05</v>
      </c>
      <c r="C73" s="32"/>
      <c r="D73" s="32"/>
      <c r="E73" s="23"/>
      <c r="F73" s="23"/>
      <c r="G73" s="23"/>
      <c r="H73" s="33"/>
      <c r="J73" s="82" t="s">
        <v>90</v>
      </c>
      <c r="K73" s="83" t="n">
        <v>0.1</v>
      </c>
      <c r="L73" s="32"/>
      <c r="M73" s="32"/>
      <c r="N73" s="23"/>
      <c r="O73" s="23"/>
      <c r="P73" s="23"/>
      <c r="Q73" s="33"/>
      <c r="S73" s="82" t="s">
        <v>90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90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91</v>
      </c>
      <c r="B74" s="65" t="n">
        <f aca="false">(B98*B68)-(K47*K29)</f>
        <v>17050.2666853322</v>
      </c>
      <c r="C74" s="32"/>
      <c r="D74" s="32"/>
      <c r="E74" s="23"/>
      <c r="F74" s="23"/>
      <c r="G74" s="23"/>
      <c r="H74" s="33"/>
      <c r="J74" s="56" t="s">
        <v>91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91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91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92</v>
      </c>
      <c r="B75" s="79" t="n">
        <v>0.005</v>
      </c>
      <c r="C75" s="32"/>
      <c r="D75" s="32"/>
      <c r="E75" s="23"/>
      <c r="F75" s="23"/>
      <c r="G75" s="23"/>
      <c r="H75" s="33"/>
      <c r="J75" s="78" t="s">
        <v>92</v>
      </c>
      <c r="K75" s="79" t="n">
        <v>0.05</v>
      </c>
      <c r="L75" s="32"/>
      <c r="M75" s="32"/>
      <c r="N75" s="23"/>
      <c r="O75" s="23"/>
      <c r="P75" s="23"/>
      <c r="Q75" s="33"/>
      <c r="S75" s="78" t="s">
        <v>92</v>
      </c>
      <c r="T75" s="79" t="n">
        <v>0.005</v>
      </c>
      <c r="U75" s="32"/>
      <c r="V75" s="32"/>
      <c r="W75" s="23"/>
      <c r="X75" s="23"/>
      <c r="Y75" s="23"/>
      <c r="Z75" s="33"/>
      <c r="AB75" s="78" t="s">
        <v>92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93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93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93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93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94</v>
      </c>
      <c r="B77" s="65" t="n">
        <f aca="false">(G167*B76)</f>
        <v>121.24998</v>
      </c>
      <c r="C77" s="32"/>
      <c r="D77" s="32"/>
      <c r="E77" s="23"/>
      <c r="F77" s="23"/>
      <c r="G77" s="23"/>
      <c r="H77" s="33"/>
      <c r="J77" s="56" t="s">
        <v>94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94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94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95</v>
      </c>
      <c r="B78" s="79" t="n">
        <v>0.0</v>
      </c>
      <c r="C78" s="32"/>
      <c r="D78" s="32"/>
      <c r="E78" s="23"/>
      <c r="F78" s="23"/>
      <c r="G78" s="23"/>
      <c r="H78" s="33"/>
      <c r="J78" s="78" t="s">
        <v>95</v>
      </c>
      <c r="K78" s="79" t="n">
        <v>0</v>
      </c>
      <c r="L78" s="32"/>
      <c r="M78" s="32"/>
      <c r="N78" s="23"/>
      <c r="O78" s="23"/>
      <c r="P78" s="23"/>
      <c r="Q78" s="33"/>
      <c r="S78" s="78" t="s">
        <v>95</v>
      </c>
      <c r="T78" s="79" t="n">
        <v>0</v>
      </c>
      <c r="U78" s="32"/>
      <c r="V78" s="32"/>
      <c r="W78" s="23"/>
      <c r="X78" s="23"/>
      <c r="Y78" s="23"/>
      <c r="Z78" s="33"/>
      <c r="AB78" s="78" t="s">
        <v>95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96</v>
      </c>
      <c r="B79" s="81" t="n">
        <v>0.0</v>
      </c>
      <c r="C79" s="32"/>
      <c r="D79" s="32"/>
      <c r="E79" s="23"/>
      <c r="F79" s="23"/>
      <c r="G79" s="23"/>
      <c r="H79" s="33"/>
      <c r="J79" s="80" t="s">
        <v>96</v>
      </c>
      <c r="K79" s="81" t="n">
        <v>0</v>
      </c>
      <c r="L79" s="32"/>
      <c r="M79" s="32"/>
      <c r="N79" s="23"/>
      <c r="O79" s="23"/>
      <c r="P79" s="23"/>
      <c r="Q79" s="33"/>
      <c r="S79" s="80" t="s">
        <v>96</v>
      </c>
      <c r="T79" s="81" t="n">
        <v>0</v>
      </c>
      <c r="U79" s="32"/>
      <c r="V79" s="32"/>
      <c r="W79" s="23"/>
      <c r="X79" s="23"/>
      <c r="Y79" s="23"/>
      <c r="Z79" s="33"/>
      <c r="AB79" s="80" t="s">
        <v>96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97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97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97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97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98</v>
      </c>
      <c r="B81" s="86" t="n">
        <v>0.0</v>
      </c>
      <c r="C81" s="32"/>
      <c r="D81" s="32"/>
      <c r="E81" s="23"/>
      <c r="F81" s="23"/>
      <c r="G81" s="23"/>
      <c r="H81" s="33"/>
      <c r="J81" s="78" t="s">
        <v>98</v>
      </c>
      <c r="K81" s="86" t="n">
        <v>0</v>
      </c>
      <c r="L81" s="32"/>
      <c r="M81" s="32"/>
      <c r="N81" s="23"/>
      <c r="O81" s="23"/>
      <c r="P81" s="23"/>
      <c r="Q81" s="33"/>
      <c r="S81" s="78" t="s">
        <v>98</v>
      </c>
      <c r="T81" s="86" t="n">
        <v>0</v>
      </c>
      <c r="U81" s="32"/>
      <c r="V81" s="32"/>
      <c r="W81" s="23"/>
      <c r="X81" s="23"/>
      <c r="Y81" s="23"/>
      <c r="Z81" s="33"/>
      <c r="AB81" s="78" t="s">
        <v>98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99</v>
      </c>
      <c r="B82" s="77" t="n">
        <v>0.0</v>
      </c>
      <c r="C82" s="32"/>
      <c r="D82" s="32"/>
      <c r="E82" s="23"/>
      <c r="F82" s="23"/>
      <c r="G82" s="23"/>
      <c r="H82" s="33"/>
      <c r="J82" s="80" t="s">
        <v>99</v>
      </c>
      <c r="K82" s="77" t="n">
        <v>0</v>
      </c>
      <c r="L82" s="32"/>
      <c r="M82" s="32"/>
      <c r="N82" s="23"/>
      <c r="O82" s="23"/>
      <c r="P82" s="23"/>
      <c r="Q82" s="33"/>
      <c r="S82" s="80" t="s">
        <v>99</v>
      </c>
      <c r="T82" s="77" t="n">
        <v>0</v>
      </c>
      <c r="U82" s="32"/>
      <c r="V82" s="32"/>
      <c r="W82" s="23"/>
      <c r="X82" s="23"/>
      <c r="Y82" s="23"/>
      <c r="Z82" s="33"/>
      <c r="AB82" s="80" t="s">
        <v>99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100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100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100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100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101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101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101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101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102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102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102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102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103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103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103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103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104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104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104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104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105</v>
      </c>
      <c r="B88" s="59" t="n">
        <f aca="false">K49</f>
        <v>279.75</v>
      </c>
      <c r="C88" s="32"/>
      <c r="D88" s="32"/>
      <c r="E88" s="23"/>
      <c r="F88" s="23"/>
      <c r="G88" s="23"/>
      <c r="H88" s="33"/>
      <c r="J88" s="90" t="s">
        <v>105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105</v>
      </c>
      <c r="T88" s="59" t="n">
        <f aca="false">B60</f>
        <v>279.75</v>
      </c>
      <c r="U88" s="32"/>
      <c r="V88" s="32"/>
      <c r="W88" s="23"/>
      <c r="X88" s="23"/>
      <c r="Y88" s="23"/>
      <c r="Z88" s="33"/>
      <c r="AB88" s="90" t="s">
        <v>105</v>
      </c>
      <c r="AC88" s="59" t="n">
        <f aca="false">B60</f>
        <v>279.75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106</v>
      </c>
      <c r="B90" s="27" t="n">
        <f aca="false">F37</f>
        <v>21050</v>
      </c>
      <c r="C90" s="32"/>
      <c r="D90" s="32"/>
      <c r="E90" s="23"/>
      <c r="F90" s="25" t="s">
        <v>106</v>
      </c>
      <c r="G90" s="27" t="n">
        <f aca="false">F37</f>
        <v>21050</v>
      </c>
      <c r="H90" s="33"/>
      <c r="J90" s="25" t="s">
        <v>106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106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106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107</v>
      </c>
      <c r="B91" s="33" t="n">
        <f aca="false">IF(A111="YES",A43,0)</f>
        <v>6000</v>
      </c>
      <c r="C91" s="32"/>
      <c r="D91" s="32"/>
      <c r="E91" s="23"/>
      <c r="F91" s="31" t="s">
        <v>107</v>
      </c>
      <c r="G91" s="33" t="n">
        <f aca="false">IF(A111="YES",A43,0)</f>
        <v>6000</v>
      </c>
      <c r="H91" s="33"/>
      <c r="J91" s="31" t="s">
        <v>107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107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107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108</v>
      </c>
      <c r="B92" s="84" t="n">
        <f aca="false">B71+B72+B73</f>
        <v>0.1475</v>
      </c>
      <c r="C92" s="32"/>
      <c r="D92" s="32"/>
      <c r="E92" s="23"/>
      <c r="F92" s="31" t="s">
        <v>108</v>
      </c>
      <c r="G92" s="91" t="n">
        <f aca="false">B72</f>
        <v>0.065</v>
      </c>
      <c r="H92" s="33"/>
      <c r="J92" s="31" t="s">
        <v>108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108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108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109</v>
      </c>
      <c r="B93" s="84" t="n">
        <f aca="false">B92/12</f>
        <v>0.0122916666666667</v>
      </c>
      <c r="C93" s="32"/>
      <c r="D93" s="32"/>
      <c r="E93" s="23"/>
      <c r="F93" s="31" t="s">
        <v>109</v>
      </c>
      <c r="G93" s="92" t="n">
        <f aca="false">G92/12</f>
        <v>0.00541666666666667</v>
      </c>
      <c r="H93" s="33"/>
      <c r="J93" s="31" t="s">
        <v>109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109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109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110</v>
      </c>
      <c r="B94" s="33" t="n">
        <f aca="false">IF(B91=0, (B68+B67), (B68))</f>
        <v>11</v>
      </c>
      <c r="C94" s="32"/>
      <c r="D94" s="32"/>
      <c r="E94" s="23"/>
      <c r="F94" s="31" t="s">
        <v>110</v>
      </c>
      <c r="G94" s="33" t="n">
        <f aca="false">IF(G91=0, (B68+B67), (B68))</f>
        <v>11</v>
      </c>
      <c r="H94" s="33"/>
      <c r="J94" s="31" t="s">
        <v>110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110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110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111</v>
      </c>
      <c r="B95" s="33" t="n">
        <f aca="false">(B91/((1+B93)^(B94+1)))</f>
        <v>5181.83177930431</v>
      </c>
      <c r="C95" s="32"/>
      <c r="D95" s="32"/>
      <c r="E95" s="23"/>
      <c r="F95" s="31" t="s">
        <v>111</v>
      </c>
      <c r="G95" s="33" t="n">
        <f aca="false">(G91/((1+G93)^(G94+1)))</f>
        <v>5623.39108453416</v>
      </c>
      <c r="H95" s="33"/>
      <c r="J95" s="31" t="s">
        <v>111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111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111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112</v>
      </c>
      <c r="B96" s="33" t="n">
        <f aca="false">((1-(1/((1+B93)^B94)))/B93)</f>
        <v>10.2301677524304</v>
      </c>
      <c r="C96" s="32"/>
      <c r="D96" s="32"/>
      <c r="E96" s="23"/>
      <c r="F96" s="31" t="s">
        <v>112</v>
      </c>
      <c r="G96" s="33" t="n">
        <f aca="false">((1-(1/((1+G93)^G94)))/G93)</f>
        <v>10.6507347822959</v>
      </c>
      <c r="H96" s="33"/>
      <c r="J96" s="31" t="s">
        <v>112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112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112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113</v>
      </c>
      <c r="B97" s="33" t="n">
        <f aca="false">B90-B95</f>
        <v>15868.1682206957</v>
      </c>
      <c r="C97" s="32"/>
      <c r="D97" s="32"/>
      <c r="E97" s="23"/>
      <c r="F97" s="31" t="s">
        <v>113</v>
      </c>
      <c r="G97" s="33" t="n">
        <f aca="false">G90-G95</f>
        <v>15426.6089154658</v>
      </c>
      <c r="H97" s="33"/>
      <c r="J97" s="31" t="s">
        <v>113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113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113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114</v>
      </c>
      <c r="B98" s="33" t="n">
        <f aca="false">(B97/B96)</f>
        <v>1551.11515321202</v>
      </c>
      <c r="C98" s="32"/>
      <c r="D98" s="32"/>
      <c r="E98" s="23"/>
      <c r="F98" s="31" t="s">
        <v>114</v>
      </c>
      <c r="G98" s="33" t="n">
        <f aca="false">(G97/G96)</f>
        <v>1448.40794844583</v>
      </c>
      <c r="H98" s="33"/>
      <c r="J98" s="31" t="s">
        <v>114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114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114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115</v>
      </c>
      <c r="B99" s="33" t="n">
        <f aca="false">((B98*(B94))+B86)</f>
        <v>17062.2666853322</v>
      </c>
      <c r="C99" s="32"/>
      <c r="D99" s="32"/>
      <c r="E99" s="23"/>
      <c r="F99" s="31" t="s">
        <v>115</v>
      </c>
      <c r="G99" s="33" t="n">
        <f aca="false">((G98*(G94))+G86)</f>
        <v>15932.4874329041</v>
      </c>
      <c r="H99" s="33"/>
      <c r="J99" s="31" t="s">
        <v>115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115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115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116</v>
      </c>
      <c r="B100" s="33" t="n">
        <f aca="false">(((B98*(B94))+B86)/(1-B80))*B80</f>
        <v>0</v>
      </c>
      <c r="C100" s="32"/>
      <c r="D100" s="32"/>
      <c r="E100" s="23"/>
      <c r="F100" s="31" t="s">
        <v>116</v>
      </c>
      <c r="G100" s="33" t="n">
        <f aca="false">(((G98*(G94))+G86)/(1-G80))*G80</f>
        <v>0</v>
      </c>
      <c r="H100" s="33"/>
      <c r="J100" s="31" t="s">
        <v>116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116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116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117</v>
      </c>
      <c r="B101" s="65" t="n">
        <f aca="false">(B99+B100)</f>
        <v>17062.2666853322</v>
      </c>
      <c r="C101" s="32"/>
      <c r="D101" s="32"/>
      <c r="E101" s="23"/>
      <c r="F101" s="56" t="s">
        <v>117</v>
      </c>
      <c r="G101" s="65" t="n">
        <f aca="false">(G99+G100)</f>
        <v>15932.4874329041</v>
      </c>
      <c r="H101" s="33"/>
      <c r="J101" s="56" t="s">
        <v>117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117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117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118</v>
      </c>
      <c r="B103" s="89" t="n">
        <f aca="false">((A46 * A34) + ((A46 * A34)*A117))/(B68)*1.2</f>
        <v>0</v>
      </c>
      <c r="C103" s="32"/>
      <c r="D103" s="32"/>
      <c r="E103" s="23"/>
      <c r="F103" s="88" t="s">
        <v>118</v>
      </c>
      <c r="G103" s="94" t="str">
        <f aca="false">IF(B35="YES",((E49/B94)*(1+A117)*(C54/100)),"0")</f>
        <v>0</v>
      </c>
      <c r="H103" s="33"/>
      <c r="J103" s="88" t="s">
        <v>118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118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118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119</v>
      </c>
      <c r="B104" s="96" t="n">
        <f aca="false">B101/(B94)</f>
        <v>1551.11515321202</v>
      </c>
      <c r="C104" s="32"/>
      <c r="D104" s="32"/>
      <c r="E104" s="23"/>
      <c r="F104" s="95" t="s">
        <v>119</v>
      </c>
      <c r="G104" s="96" t="n">
        <f aca="false">G101/(G94)</f>
        <v>1448.40794844583</v>
      </c>
      <c r="H104" s="33"/>
      <c r="J104" s="95" t="s">
        <v>119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119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119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120</v>
      </c>
      <c r="B105" s="98" t="n">
        <f aca="false">B103+B104</f>
        <v>1551.11515321202</v>
      </c>
      <c r="C105" s="32"/>
      <c r="D105" s="32"/>
      <c r="E105" s="23" t="s">
        <v>390</v>
      </c>
      <c r="F105" s="97" t="s">
        <v>120</v>
      </c>
      <c r="G105" s="98" t="n">
        <f aca="false">G103+G104</f>
        <v>1448.40794844583</v>
      </c>
      <c r="H105" s="33"/>
      <c r="J105" s="97" t="s">
        <v>120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120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120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396</v>
      </c>
      <c r="C108" s="23"/>
      <c r="D108" s="23" t="n">
        <v>0.0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122</v>
      </c>
      <c r="B109" s="100"/>
      <c r="C109" s="100"/>
      <c r="D109" s="100"/>
      <c r="E109" s="100"/>
      <c r="F109" s="100"/>
      <c r="G109" s="100"/>
      <c r="H109" s="100"/>
      <c r="J109" s="24" t="s">
        <v>123</v>
      </c>
      <c r="K109" s="24"/>
      <c r="L109" s="24"/>
      <c r="M109" s="24"/>
      <c r="N109" s="24"/>
      <c r="O109" s="24"/>
      <c r="P109" s="24"/>
      <c r="Q109" s="24"/>
      <c r="S109" s="100" t="s">
        <v>124</v>
      </c>
      <c r="T109" s="100"/>
      <c r="U109" s="100"/>
      <c r="V109" s="100"/>
      <c r="W109" s="100"/>
      <c r="X109" s="100"/>
      <c r="Y109" s="100"/>
      <c r="Z109" s="100"/>
      <c r="AB109" s="100" t="s">
        <v>125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390</v>
      </c>
      <c r="B111" s="28" t="n">
        <v>0.0</v>
      </c>
      <c r="C111" s="28"/>
      <c r="D111" s="28"/>
      <c r="E111" s="28" t="n">
        <v>0.0</v>
      </c>
      <c r="F111" s="28"/>
      <c r="G111" s="28"/>
      <c r="H111" s="28"/>
      <c r="J111" s="28" t="s">
        <v>126</v>
      </c>
      <c r="K111" s="28"/>
      <c r="L111" s="28"/>
      <c r="M111" s="28"/>
      <c r="N111" s="28"/>
      <c r="O111" s="28"/>
      <c r="P111" s="28"/>
      <c r="Q111" s="28"/>
      <c r="S111" s="28" t="s">
        <v>126</v>
      </c>
      <c r="T111" s="28"/>
      <c r="U111" s="28"/>
      <c r="V111" s="28"/>
      <c r="W111" s="28"/>
      <c r="X111" s="28"/>
      <c r="Y111" s="28"/>
      <c r="Z111" s="28"/>
      <c r="AB111" s="28" t="s">
        <v>126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127</v>
      </c>
      <c r="B113" s="32" t="s">
        <v>23</v>
      </c>
      <c r="C113" s="32"/>
      <c r="D113" s="32"/>
      <c r="E113" s="32" t="s">
        <v>128</v>
      </c>
      <c r="F113" s="32"/>
      <c r="G113" s="32"/>
      <c r="H113" s="33"/>
      <c r="J113" s="31" t="s">
        <v>127</v>
      </c>
      <c r="K113" s="32" t="s">
        <v>23</v>
      </c>
      <c r="L113" s="32"/>
      <c r="M113" s="32"/>
      <c r="N113" s="32" t="s">
        <v>128</v>
      </c>
      <c r="O113" s="32"/>
      <c r="P113" s="32"/>
      <c r="Q113" s="33"/>
      <c r="S113" s="31" t="s">
        <v>127</v>
      </c>
      <c r="T113" s="32" t="s">
        <v>23</v>
      </c>
      <c r="U113" s="32"/>
      <c r="V113" s="32"/>
      <c r="W113" s="32" t="s">
        <v>128</v>
      </c>
      <c r="X113" s="32"/>
      <c r="Y113" s="32"/>
      <c r="Z113" s="33"/>
      <c r="AB113" s="31" t="s">
        <v>127</v>
      </c>
      <c r="AC113" s="32" t="s">
        <v>23</v>
      </c>
      <c r="AD113" s="32"/>
      <c r="AE113" s="32"/>
      <c r="AF113" s="32" t="s">
        <v>128</v>
      </c>
      <c r="AG113" s="32"/>
      <c r="AH113" s="32"/>
      <c r="AI113" s="33"/>
    </row>
    <row r="114" customFormat="false" ht="17.35" hidden="false" customHeight="false" outlineLevel="0" collapsed="false">
      <c r="A114" s="36" t="s">
        <v>129</v>
      </c>
      <c r="B114" s="103" t="s">
        <v>130</v>
      </c>
      <c r="C114" s="103"/>
      <c r="D114" s="103"/>
      <c r="E114" s="104" t="s">
        <v>19</v>
      </c>
      <c r="F114" s="104"/>
      <c r="G114" s="104"/>
      <c r="H114" s="102"/>
      <c r="J114" s="36" t="s">
        <v>129</v>
      </c>
      <c r="K114" s="105" t="s">
        <v>130</v>
      </c>
      <c r="L114" s="105"/>
      <c r="M114" s="105"/>
      <c r="N114" s="104" t="s">
        <v>18</v>
      </c>
      <c r="O114" s="104"/>
      <c r="P114" s="104"/>
      <c r="Q114" s="102"/>
      <c r="S114" s="36" t="s">
        <v>129</v>
      </c>
      <c r="T114" s="103" t="s">
        <v>130</v>
      </c>
      <c r="U114" s="103"/>
      <c r="V114" s="103"/>
      <c r="W114" s="104" t="s">
        <v>18</v>
      </c>
      <c r="X114" s="104"/>
      <c r="Y114" s="104"/>
      <c r="Z114" s="102"/>
      <c r="AB114" s="36" t="s">
        <v>129</v>
      </c>
      <c r="AC114" s="103" t="s">
        <v>130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131</v>
      </c>
      <c r="B116" s="32" t="s">
        <v>132</v>
      </c>
      <c r="C116" s="32"/>
      <c r="D116" s="23"/>
      <c r="E116" s="32" t="s">
        <v>133</v>
      </c>
      <c r="F116" s="32"/>
      <c r="G116" s="23"/>
      <c r="H116" s="102"/>
      <c r="J116" s="31" t="s">
        <v>131</v>
      </c>
      <c r="K116" s="32" t="s">
        <v>132</v>
      </c>
      <c r="L116" s="32"/>
      <c r="M116" s="23"/>
      <c r="N116" s="32" t="s">
        <v>133</v>
      </c>
      <c r="O116" s="32"/>
      <c r="P116" s="23"/>
      <c r="Q116" s="102"/>
      <c r="S116" s="31" t="s">
        <v>131</v>
      </c>
      <c r="T116" s="32" t="s">
        <v>132</v>
      </c>
      <c r="U116" s="32"/>
      <c r="V116" s="23"/>
      <c r="W116" s="32" t="s">
        <v>133</v>
      </c>
      <c r="X116" s="32"/>
      <c r="Y116" s="23"/>
      <c r="Z116" s="102"/>
      <c r="AB116" s="31" t="s">
        <v>131</v>
      </c>
      <c r="AC116" s="32" t="s">
        <v>132</v>
      </c>
      <c r="AD116" s="32"/>
      <c r="AE116" s="23"/>
      <c r="AF116" s="32" t="s">
        <v>133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134</v>
      </c>
      <c r="C117" s="107"/>
      <c r="D117" s="107"/>
      <c r="E117" s="108" t="n">
        <f aca="false">B92</f>
        <v>0.1475</v>
      </c>
      <c r="F117" s="108"/>
      <c r="G117" s="108"/>
      <c r="H117" s="47"/>
      <c r="J117" s="106" t="n">
        <v>0.3</v>
      </c>
      <c r="K117" s="107" t="s">
        <v>134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135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135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136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134</v>
      </c>
    </row>
    <row r="119" customFormat="false" ht="17.35" hidden="false" customHeight="false" outlineLevel="0" collapsed="false">
      <c r="A119" s="31" t="s">
        <v>137</v>
      </c>
      <c r="B119" s="32" t="s">
        <v>138</v>
      </c>
      <c r="C119" s="32"/>
      <c r="D119" s="32"/>
      <c r="E119" s="32" t="s">
        <v>139</v>
      </c>
      <c r="F119" s="32"/>
      <c r="G119" s="32"/>
      <c r="H119" s="33"/>
      <c r="J119" s="31" t="s">
        <v>137</v>
      </c>
      <c r="K119" s="32" t="s">
        <v>138</v>
      </c>
      <c r="L119" s="32"/>
      <c r="M119" s="32"/>
      <c r="N119" s="32" t="s">
        <v>139</v>
      </c>
      <c r="O119" s="32"/>
      <c r="P119" s="32"/>
      <c r="Q119" s="33"/>
      <c r="S119" s="31" t="s">
        <v>137</v>
      </c>
      <c r="T119" s="32" t="s">
        <v>138</v>
      </c>
      <c r="U119" s="32"/>
      <c r="V119" s="32"/>
      <c r="W119" s="32" t="s">
        <v>139</v>
      </c>
      <c r="X119" s="32"/>
      <c r="Y119" s="32"/>
      <c r="Z119" s="33"/>
      <c r="AB119" s="31" t="s">
        <v>137</v>
      </c>
      <c r="AC119" s="32" t="s">
        <v>138</v>
      </c>
      <c r="AD119" s="32"/>
      <c r="AE119" s="32"/>
      <c r="AF119" s="32" t="s">
        <v>139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140</v>
      </c>
      <c r="B122" s="32" t="s">
        <v>141</v>
      </c>
      <c r="C122" s="32"/>
      <c r="D122" s="32"/>
      <c r="E122" s="32" t="s">
        <v>142</v>
      </c>
      <c r="F122" s="32"/>
      <c r="G122" s="23"/>
      <c r="H122" s="102"/>
      <c r="J122" s="110" t="s">
        <v>140</v>
      </c>
      <c r="K122" s="32" t="s">
        <v>141</v>
      </c>
      <c r="L122" s="32"/>
      <c r="M122" s="32"/>
      <c r="N122" s="32" t="s">
        <v>142</v>
      </c>
      <c r="O122" s="32"/>
      <c r="P122" s="23"/>
      <c r="Q122" s="102"/>
      <c r="S122" s="110" t="s">
        <v>140</v>
      </c>
      <c r="T122" s="32" t="s">
        <v>141</v>
      </c>
      <c r="U122" s="32"/>
      <c r="V122" s="32"/>
      <c r="W122" s="32" t="s">
        <v>142</v>
      </c>
      <c r="X122" s="32"/>
      <c r="Y122" s="23"/>
      <c r="Z122" s="102"/>
      <c r="AB122" s="110" t="s">
        <v>140</v>
      </c>
      <c r="AC122" s="32" t="s">
        <v>141</v>
      </c>
      <c r="AD122" s="32"/>
      <c r="AE122" s="32"/>
      <c r="AF122" s="32" t="s">
        <v>142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389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144</v>
      </c>
      <c r="B126" s="28"/>
      <c r="C126" s="28"/>
      <c r="D126" s="28"/>
      <c r="E126" s="28"/>
      <c r="F126" s="28"/>
      <c r="G126" s="28"/>
      <c r="H126" s="28"/>
      <c r="J126" s="28" t="s">
        <v>144</v>
      </c>
      <c r="K126" s="28"/>
      <c r="L126" s="28"/>
      <c r="M126" s="28"/>
      <c r="N126" s="28"/>
      <c r="O126" s="28"/>
      <c r="P126" s="28"/>
      <c r="Q126" s="28"/>
      <c r="S126" s="28" t="s">
        <v>144</v>
      </c>
      <c r="T126" s="28"/>
      <c r="U126" s="28"/>
      <c r="V126" s="28"/>
      <c r="W126" s="28"/>
      <c r="X126" s="28"/>
      <c r="Y126" s="28"/>
      <c r="Z126" s="28"/>
      <c r="AB126" s="28" t="s">
        <v>144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145</v>
      </c>
      <c r="C128" s="114"/>
      <c r="D128" s="114" t="s">
        <v>146</v>
      </c>
      <c r="E128" s="114"/>
      <c r="F128" s="114" t="s">
        <v>147</v>
      </c>
      <c r="G128" s="114"/>
      <c r="H128" s="115" t="s">
        <v>148</v>
      </c>
      <c r="J128" s="78"/>
      <c r="K128" s="114" t="s">
        <v>145</v>
      </c>
      <c r="L128" s="114"/>
      <c r="M128" s="114" t="s">
        <v>146</v>
      </c>
      <c r="N128" s="114"/>
      <c r="O128" s="114" t="s">
        <v>147</v>
      </c>
      <c r="P128" s="114"/>
      <c r="Q128" s="115" t="s">
        <v>148</v>
      </c>
      <c r="S128" s="78"/>
      <c r="T128" s="114" t="s">
        <v>145</v>
      </c>
      <c r="U128" s="114"/>
      <c r="V128" s="114" t="s">
        <v>146</v>
      </c>
      <c r="W128" s="114"/>
      <c r="X128" s="114" t="s">
        <v>147</v>
      </c>
      <c r="Y128" s="114"/>
      <c r="Z128" s="115" t="s">
        <v>148</v>
      </c>
      <c r="AB128" s="78"/>
      <c r="AC128" s="114" t="s">
        <v>145</v>
      </c>
      <c r="AD128" s="114"/>
      <c r="AE128" s="114" t="s">
        <v>146</v>
      </c>
      <c r="AF128" s="114"/>
      <c r="AG128" s="114" t="s">
        <v>147</v>
      </c>
      <c r="AH128" s="114"/>
      <c r="AI128" s="115" t="s">
        <v>148</v>
      </c>
    </row>
    <row r="129" customFormat="false" ht="19.7" hidden="false" customHeight="false" outlineLevel="0" collapsed="false">
      <c r="A129" s="80"/>
      <c r="B129" s="116" t="s">
        <v>149</v>
      </c>
      <c r="C129" s="117" t="s">
        <v>150</v>
      </c>
      <c r="D129" s="116" t="s">
        <v>149</v>
      </c>
      <c r="E129" s="118" t="s">
        <v>150</v>
      </c>
      <c r="F129" s="116" t="s">
        <v>149</v>
      </c>
      <c r="G129" s="118" t="s">
        <v>150</v>
      </c>
      <c r="H129" s="119"/>
      <c r="J129" s="80"/>
      <c r="K129" s="116" t="s">
        <v>149</v>
      </c>
      <c r="L129" s="117" t="s">
        <v>150</v>
      </c>
      <c r="M129" s="116" t="s">
        <v>149</v>
      </c>
      <c r="N129" s="118" t="s">
        <v>150</v>
      </c>
      <c r="O129" s="116" t="s">
        <v>149</v>
      </c>
      <c r="P129" s="118" t="s">
        <v>150</v>
      </c>
      <c r="Q129" s="119"/>
      <c r="S129" s="80"/>
      <c r="T129" s="116" t="s">
        <v>149</v>
      </c>
      <c r="U129" s="117" t="s">
        <v>150</v>
      </c>
      <c r="V129" s="116" t="s">
        <v>149</v>
      </c>
      <c r="W129" s="118" t="s">
        <v>150</v>
      </c>
      <c r="X129" s="116" t="s">
        <v>149</v>
      </c>
      <c r="Y129" s="118" t="s">
        <v>150</v>
      </c>
      <c r="Z129" s="119"/>
      <c r="AB129" s="80"/>
      <c r="AC129" s="116" t="s">
        <v>149</v>
      </c>
      <c r="AD129" s="117" t="s">
        <v>150</v>
      </c>
      <c r="AE129" s="116" t="s">
        <v>149</v>
      </c>
      <c r="AF129" s="118" t="s">
        <v>150</v>
      </c>
      <c r="AG129" s="116" t="s">
        <v>149</v>
      </c>
      <c r="AH129" s="118" t="s">
        <v>150</v>
      </c>
      <c r="AI129" s="119"/>
    </row>
    <row r="130" customFormat="false" ht="17.35" hidden="false" customHeight="false" outlineLevel="0" collapsed="false">
      <c r="A130" s="25" t="s">
        <v>151</v>
      </c>
      <c r="B130" s="120" t="n">
        <f aca="false">E19</f>
        <v>22050</v>
      </c>
      <c r="C130" s="121" t="n">
        <v>19791.67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151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151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151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152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152</v>
      </c>
      <c r="K131" s="127" t="n">
        <f aca="false">B4</f>
        <v>22050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152</v>
      </c>
      <c r="T131" s="127" t="n">
        <f aca="false">B4</f>
        <v>22050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152</v>
      </c>
      <c r="AC131" s="127" t="n">
        <f aca="false">B4</f>
        <v>22050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153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153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153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153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154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154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154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154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155</v>
      </c>
      <c r="B134" s="132" t="n">
        <f aca="false">B130-B133</f>
        <v>22050</v>
      </c>
      <c r="C134" s="133" t="n">
        <f aca="false">C130-C133</f>
        <v>20208.33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155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155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155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149</v>
      </c>
      <c r="H136" s="137" t="s">
        <v>150</v>
      </c>
      <c r="J136" s="134"/>
      <c r="K136" s="138"/>
      <c r="L136" s="138"/>
      <c r="M136" s="138"/>
      <c r="N136" s="138"/>
      <c r="O136" s="138"/>
      <c r="P136" s="139" t="s">
        <v>149</v>
      </c>
      <c r="Q136" s="137" t="s">
        <v>150</v>
      </c>
      <c r="S136" s="134"/>
      <c r="T136" s="138"/>
      <c r="U136" s="138"/>
      <c r="V136" s="138"/>
      <c r="W136" s="138"/>
      <c r="X136" s="138"/>
      <c r="Y136" s="139" t="s">
        <v>149</v>
      </c>
      <c r="Z136" s="137" t="s">
        <v>150</v>
      </c>
      <c r="AB136" s="134"/>
      <c r="AC136" s="138"/>
      <c r="AD136" s="138"/>
      <c r="AE136" s="138"/>
      <c r="AF136" s="138"/>
      <c r="AG136" s="138"/>
      <c r="AH136" s="139" t="s">
        <v>149</v>
      </c>
      <c r="AI136" s="137" t="s">
        <v>150</v>
      </c>
    </row>
    <row r="137" customFormat="false" ht="17.35" hidden="false" customHeight="false" outlineLevel="0" collapsed="false">
      <c r="A137" s="140" t="s">
        <v>156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156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156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156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157</v>
      </c>
      <c r="B139" s="144" t="s">
        <v>158</v>
      </c>
      <c r="C139" s="144"/>
      <c r="D139" s="144" t="s">
        <v>159</v>
      </c>
      <c r="E139" s="144"/>
      <c r="F139" s="144" t="s">
        <v>153</v>
      </c>
      <c r="G139" s="144"/>
      <c r="H139" s="145" t="s">
        <v>150</v>
      </c>
      <c r="J139" s="147" t="s">
        <v>157</v>
      </c>
      <c r="K139" s="148" t="s">
        <v>158</v>
      </c>
      <c r="L139" s="148"/>
      <c r="M139" s="144" t="s">
        <v>159</v>
      </c>
      <c r="N139" s="144"/>
      <c r="O139" s="144" t="s">
        <v>153</v>
      </c>
      <c r="P139" s="144"/>
      <c r="Q139" s="145" t="s">
        <v>150</v>
      </c>
      <c r="S139" s="147" t="s">
        <v>157</v>
      </c>
      <c r="T139" s="144" t="s">
        <v>158</v>
      </c>
      <c r="U139" s="144"/>
      <c r="V139" s="144" t="s">
        <v>159</v>
      </c>
      <c r="W139" s="144"/>
      <c r="X139" s="144" t="s">
        <v>153</v>
      </c>
      <c r="Y139" s="144"/>
      <c r="Z139" s="145" t="s">
        <v>150</v>
      </c>
      <c r="AB139" s="147" t="s">
        <v>157</v>
      </c>
      <c r="AC139" s="144" t="s">
        <v>158</v>
      </c>
      <c r="AD139" s="144"/>
      <c r="AE139" s="144" t="s">
        <v>159</v>
      </c>
      <c r="AF139" s="144"/>
      <c r="AG139" s="144" t="s">
        <v>153</v>
      </c>
      <c r="AH139" s="144"/>
      <c r="AI139" s="145" t="s">
        <v>150</v>
      </c>
    </row>
    <row r="140" customFormat="false" ht="17.35" hidden="false" customHeight="false" outlineLevel="0" collapsed="false">
      <c r="A140" s="31" t="s">
        <v>160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160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160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160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161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161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161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161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162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162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162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162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163</v>
      </c>
      <c r="B144" s="152"/>
      <c r="C144" s="152"/>
      <c r="D144" s="152"/>
      <c r="E144" s="152"/>
      <c r="F144" s="152"/>
      <c r="G144" s="136" t="n">
        <f aca="false">E21</f>
        <v>18375</v>
      </c>
      <c r="H144" s="153" t="n">
        <f aca="false">C134+E134+G134+H137</f>
        <v>20208.33</v>
      </c>
      <c r="J144" s="152" t="s">
        <v>163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163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163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164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164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164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164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165</v>
      </c>
      <c r="B146" s="154"/>
      <c r="C146" s="154"/>
      <c r="D146" s="154"/>
      <c r="E146" s="154"/>
      <c r="F146" s="154"/>
      <c r="G146" s="33" t="n">
        <f aca="false">(G144+G145)*20%</f>
        <v>3675</v>
      </c>
      <c r="H146" s="33" t="n">
        <f aca="false">(H144+H145)*20%</f>
        <v>4041.666</v>
      </c>
      <c r="J146" s="154" t="s">
        <v>165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165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165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166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166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166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166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167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167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167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167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168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168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168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168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169</v>
      </c>
      <c r="B150" s="154"/>
      <c r="C150" s="154"/>
      <c r="D150" s="154"/>
      <c r="E150" s="154"/>
      <c r="F150" s="154"/>
      <c r="G150" s="157" t="n">
        <f aca="false">(G144+G145+G148+G149+G146)-G147</f>
        <v>22050</v>
      </c>
      <c r="H150" s="157" t="n">
        <f aca="false">(H144+H145+H148+H149+H146)-H147</f>
        <v>24249.996</v>
      </c>
      <c r="J150" s="154" t="s">
        <v>169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169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169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170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170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170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170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171</v>
      </c>
      <c r="B152" s="111"/>
      <c r="C152" s="111"/>
      <c r="D152" s="111"/>
      <c r="E152" s="111" t="n">
        <v>0.0</v>
      </c>
      <c r="F152" s="111"/>
      <c r="G152" s="33" t="n">
        <v>0.0</v>
      </c>
      <c r="H152" s="33"/>
      <c r="J152" s="159" t="s">
        <v>171</v>
      </c>
      <c r="K152" s="159"/>
      <c r="L152" s="159"/>
      <c r="M152" s="159"/>
      <c r="N152" s="159"/>
      <c r="O152" s="159"/>
      <c r="P152" s="38"/>
      <c r="Q152" s="33"/>
      <c r="S152" s="111" t="s">
        <v>171</v>
      </c>
      <c r="T152" s="111"/>
      <c r="U152" s="111"/>
      <c r="V152" s="111"/>
      <c r="W152" s="111"/>
      <c r="X152" s="111"/>
      <c r="Y152" s="38"/>
      <c r="Z152" s="33"/>
      <c r="AB152" s="111" t="s">
        <v>171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0.0</v>
      </c>
      <c r="H153" s="40" t="n">
        <v>0</v>
      </c>
      <c r="J153" s="160" t="s">
        <v>13</v>
      </c>
      <c r="K153" s="161" t="s">
        <v>172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172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172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172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172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172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172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172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172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172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172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173</v>
      </c>
      <c r="B156" s="154"/>
      <c r="C156" s="154"/>
      <c r="D156" s="154"/>
      <c r="E156" s="154"/>
      <c r="F156" s="154"/>
      <c r="G156" s="164" t="n">
        <f aca="false">G150-((G153*1.2)+(G154*1.2)+(G155*1.2)+(G151*1.2))</f>
        <v>22050</v>
      </c>
      <c r="H156" s="164" t="n">
        <f aca="false">H150-((H153*1.2)+(H154*1.2)+(H155*1.2)+(H151*1.2))</f>
        <v>24249.996</v>
      </c>
      <c r="J156" s="165" t="s">
        <v>173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173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173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174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1833.33</v>
      </c>
      <c r="I157" s="1" t="n">
        <f aca="false">(H157-G90)/1.2</f>
        <v>-16013.8916666667</v>
      </c>
      <c r="J157" s="154" t="s">
        <v>174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174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174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175</v>
      </c>
      <c r="B159" s="28"/>
      <c r="C159" s="28"/>
      <c r="D159" s="28"/>
      <c r="E159" s="28"/>
      <c r="F159" s="28"/>
      <c r="G159" s="28"/>
      <c r="H159" s="28"/>
      <c r="J159" s="28" t="s">
        <v>175</v>
      </c>
      <c r="K159" s="28"/>
      <c r="L159" s="28"/>
      <c r="M159" s="28"/>
      <c r="N159" s="28"/>
      <c r="O159" s="28"/>
      <c r="P159" s="28"/>
      <c r="Q159" s="28"/>
      <c r="S159" s="28" t="s">
        <v>175</v>
      </c>
      <c r="T159" s="28"/>
      <c r="U159" s="28"/>
      <c r="V159" s="28"/>
      <c r="W159" s="28"/>
      <c r="X159" s="28"/>
      <c r="Y159" s="28"/>
      <c r="Z159" s="28"/>
      <c r="AB159" s="28" t="s">
        <v>175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176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176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176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176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177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177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177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177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178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178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178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178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179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179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179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179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180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180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180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180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181</v>
      </c>
      <c r="B167" s="32"/>
      <c r="C167" s="32"/>
      <c r="D167" s="23"/>
      <c r="E167" s="32"/>
      <c r="F167" s="23"/>
      <c r="G167" s="170" t="n">
        <f aca="false">H156-G163-G166</f>
        <v>24249.996</v>
      </c>
      <c r="H167" s="170"/>
      <c r="J167" s="169" t="s">
        <v>181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181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181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182</v>
      </c>
      <c r="B171" s="28"/>
      <c r="C171" s="28"/>
      <c r="D171" s="28"/>
      <c r="E171" s="28"/>
      <c r="F171" s="28"/>
      <c r="G171" s="28"/>
      <c r="H171" s="28"/>
      <c r="J171" s="28" t="s">
        <v>182</v>
      </c>
      <c r="K171" s="28"/>
      <c r="L171" s="28"/>
      <c r="M171" s="28"/>
      <c r="N171" s="28"/>
      <c r="O171" s="28"/>
      <c r="P171" s="28"/>
      <c r="Q171" s="28"/>
      <c r="S171" s="28" t="s">
        <v>182</v>
      </c>
      <c r="T171" s="28"/>
      <c r="U171" s="28"/>
      <c r="V171" s="28"/>
      <c r="W171" s="28"/>
      <c r="X171" s="28"/>
      <c r="Y171" s="28"/>
      <c r="Z171" s="28"/>
      <c r="AB171" s="28" t="s">
        <v>182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183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183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183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183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184</v>
      </c>
      <c r="B175" s="174" t="s">
        <v>185</v>
      </c>
      <c r="C175" s="174"/>
      <c r="D175" s="174"/>
      <c r="E175" s="174" t="s">
        <v>186</v>
      </c>
      <c r="F175" s="23"/>
      <c r="G175" s="23" t="s">
        <v>187</v>
      </c>
      <c r="H175" s="33"/>
      <c r="J175" s="173" t="s">
        <v>184</v>
      </c>
      <c r="K175" s="175" t="s">
        <v>185</v>
      </c>
      <c r="L175" s="175"/>
      <c r="M175" s="175"/>
      <c r="N175" s="175" t="s">
        <v>186</v>
      </c>
      <c r="O175" s="23"/>
      <c r="P175" s="23"/>
      <c r="Q175" s="33"/>
      <c r="S175" s="173" t="s">
        <v>184</v>
      </c>
      <c r="T175" s="175" t="s">
        <v>185</v>
      </c>
      <c r="U175" s="175"/>
      <c r="V175" s="175"/>
      <c r="W175" s="175" t="s">
        <v>186</v>
      </c>
      <c r="X175" s="23"/>
      <c r="Y175" s="23"/>
      <c r="Z175" s="33"/>
      <c r="AB175" s="173" t="s">
        <v>184</v>
      </c>
      <c r="AC175" s="175" t="s">
        <v>185</v>
      </c>
      <c r="AD175" s="175"/>
      <c r="AE175" s="175"/>
      <c r="AF175" s="175" t="s">
        <v>186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1551.11515321202</v>
      </c>
      <c r="B176" s="177" t="n">
        <f aca="false">B103</f>
        <v>0</v>
      </c>
      <c r="C176" s="174"/>
      <c r="D176" s="174"/>
      <c r="E176" s="177" t="n">
        <f aca="false">B105</f>
        <v>1551.11515321202</v>
      </c>
      <c r="F176" s="23"/>
      <c r="G176" s="23" t="n">
        <f aca="false">ROUND(G104, 2)</f>
        <v>1448.41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83</v>
      </c>
      <c r="B178" s="93" t="s">
        <v>84</v>
      </c>
      <c r="C178" s="93"/>
      <c r="D178" s="23"/>
      <c r="E178" s="93" t="s">
        <v>188</v>
      </c>
      <c r="F178" s="23"/>
      <c r="G178" s="23"/>
      <c r="H178" s="33"/>
      <c r="J178" s="31" t="s">
        <v>83</v>
      </c>
      <c r="K178" s="32" t="s">
        <v>84</v>
      </c>
      <c r="L178" s="32"/>
      <c r="M178" s="23"/>
      <c r="N178" s="32" t="s">
        <v>188</v>
      </c>
      <c r="O178" s="23"/>
      <c r="P178" s="23"/>
      <c r="Q178" s="33"/>
      <c r="S178" s="31" t="s">
        <v>83</v>
      </c>
      <c r="T178" s="32" t="s">
        <v>84</v>
      </c>
      <c r="U178" s="32"/>
      <c r="V178" s="23"/>
      <c r="W178" s="32" t="s">
        <v>188</v>
      </c>
      <c r="X178" s="23"/>
      <c r="Y178" s="23"/>
      <c r="Z178" s="33"/>
      <c r="AB178" s="31" t="s">
        <v>83</v>
      </c>
      <c r="AC178" s="32" t="s">
        <v>84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93" t="s">
        <v>190</v>
      </c>
      <c r="C181" s="93"/>
      <c r="D181" s="23"/>
      <c r="E181" s="93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20208.33</v>
      </c>
      <c r="B182" s="103" t="n">
        <f aca="false">H146</f>
        <v>4041.666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93" t="s">
        <v>138</v>
      </c>
      <c r="C184" s="93"/>
      <c r="D184" s="23"/>
      <c r="E184" s="93" t="s">
        <v>139</v>
      </c>
      <c r="F184" s="23"/>
      <c r="G184" s="23"/>
      <c r="H184" s="33"/>
      <c r="J184" s="31" t="s">
        <v>192</v>
      </c>
      <c r="K184" s="32" t="s">
        <v>138</v>
      </c>
      <c r="L184" s="32"/>
      <c r="M184" s="23"/>
      <c r="N184" s="32" t="s">
        <v>139</v>
      </c>
      <c r="O184" s="23"/>
      <c r="P184" s="23"/>
      <c r="Q184" s="33"/>
      <c r="S184" s="31" t="s">
        <v>192</v>
      </c>
      <c r="T184" s="32" t="s">
        <v>138</v>
      </c>
      <c r="U184" s="32"/>
      <c r="V184" s="23"/>
      <c r="W184" s="32" t="s">
        <v>139</v>
      </c>
      <c r="X184" s="23"/>
      <c r="Y184" s="23"/>
      <c r="Z184" s="33"/>
      <c r="AB184" s="31" t="s">
        <v>192</v>
      </c>
      <c r="AC184" s="32" t="s">
        <v>138</v>
      </c>
      <c r="AD184" s="32"/>
      <c r="AE184" s="23"/>
      <c r="AF184" s="32" t="s">
        <v>139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24249.996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140</v>
      </c>
      <c r="B187" s="93" t="s">
        <v>176</v>
      </c>
      <c r="C187" s="93"/>
      <c r="D187" s="23"/>
      <c r="E187" s="93" t="s">
        <v>181</v>
      </c>
      <c r="F187" s="23"/>
      <c r="G187" s="23"/>
      <c r="H187" s="33"/>
      <c r="J187" s="31" t="s">
        <v>140</v>
      </c>
      <c r="K187" s="32" t="s">
        <v>176</v>
      </c>
      <c r="L187" s="32"/>
      <c r="M187" s="23"/>
      <c r="N187" s="32" t="s">
        <v>181</v>
      </c>
      <c r="O187" s="23"/>
      <c r="P187" s="23"/>
      <c r="Q187" s="33"/>
      <c r="S187" s="31" t="s">
        <v>140</v>
      </c>
      <c r="T187" s="32" t="s">
        <v>176</v>
      </c>
      <c r="U187" s="32"/>
      <c r="V187" s="23"/>
      <c r="W187" s="32" t="s">
        <v>181</v>
      </c>
      <c r="X187" s="23"/>
      <c r="Y187" s="23"/>
      <c r="Z187" s="33"/>
      <c r="AB187" s="31" t="s">
        <v>140</v>
      </c>
      <c r="AC187" s="32" t="s">
        <v>176</v>
      </c>
      <c r="AD187" s="32"/>
      <c r="AE187" s="23"/>
      <c r="AF187" s="32" t="s">
        <v>181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24249.996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93" t="s">
        <v>53</v>
      </c>
      <c r="C190" s="93"/>
      <c r="D190" s="23"/>
      <c r="E190" s="93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-1187.72931466777</v>
      </c>
      <c r="B191" s="103" t="str">
        <f aca="false">B123</f>
        <v>239.99</v>
      </c>
      <c r="C191" s="103"/>
      <c r="D191" s="23"/>
      <c r="E191" s="103" t="n">
        <f aca="false">E188+A191+B191+A194</f>
        <v>23312.2566853322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93" t="s">
        <v>196</v>
      </c>
      <c r="C193" s="93"/>
      <c r="D193" s="23"/>
      <c r="E193" s="93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93" t="s">
        <v>199</v>
      </c>
      <c r="C196" s="93"/>
      <c r="D196" s="93"/>
      <c r="E196" s="166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8.97696</v>
      </c>
      <c r="B197" s="103" t="n">
        <f aca="false">(G167*B76)/1.2</f>
        <v>101.04165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6" t="s">
        <v>202</v>
      </c>
      <c r="C199" s="93"/>
      <c r="D199" s="93"/>
      <c r="E199" s="166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201.033316666667</v>
      </c>
      <c r="C200" s="93"/>
      <c r="D200" s="93"/>
      <c r="E200" s="103" t="n">
        <f aca="false">H157</f>
        <v>1833.33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93"/>
      <c r="C202" s="93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83</v>
      </c>
      <c r="B204" s="71" t="s">
        <v>84</v>
      </c>
      <c r="C204" s="71"/>
      <c r="D204" s="71"/>
      <c r="E204" s="23"/>
      <c r="F204" s="23"/>
      <c r="G204" s="23"/>
      <c r="H204" s="33"/>
      <c r="J204" s="187" t="s">
        <v>83</v>
      </c>
      <c r="K204" s="188" t="s">
        <v>84</v>
      </c>
      <c r="L204" s="188"/>
      <c r="M204" s="188"/>
      <c r="N204" s="23"/>
      <c r="O204" s="23"/>
      <c r="P204" s="23"/>
      <c r="Q204" s="33"/>
      <c r="S204" s="187" t="s">
        <v>83</v>
      </c>
      <c r="T204" s="71" t="s">
        <v>84</v>
      </c>
      <c r="U204" s="71"/>
      <c r="V204" s="71"/>
      <c r="W204" s="23"/>
      <c r="X204" s="23"/>
      <c r="Y204" s="23"/>
      <c r="Z204" s="33"/>
      <c r="AB204" s="187" t="s">
        <v>83</v>
      </c>
      <c r="AC204" s="71" t="s">
        <v>84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1551.11515321202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205</v>
      </c>
      <c r="B209" s="93" t="s">
        <v>206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-2317.486</v>
      </c>
      <c r="B210" s="186" t="n">
        <f aca="false">E188+A210+B191+A194</f>
        <v>22182.5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182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127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207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184</v>
      </c>
      <c r="B220" s="192" t="s">
        <v>185</v>
      </c>
      <c r="C220" s="192"/>
      <c r="D220" s="192"/>
      <c r="E220" s="192" t="s">
        <v>186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1551.11515321202</v>
      </c>
      <c r="B221" s="177" t="n">
        <f aca="false">B176</f>
        <v>0</v>
      </c>
      <c r="C221" s="174"/>
      <c r="D221" s="174"/>
      <c r="E221" s="177" t="n">
        <f aca="false">E176</f>
        <v>1551.11515321202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189</v>
      </c>
      <c r="B223" s="93" t="s">
        <v>190</v>
      </c>
      <c r="C223" s="93"/>
      <c r="D223" s="113"/>
      <c r="E223" s="93" t="s">
        <v>191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20208.33</v>
      </c>
      <c r="B224" s="103" t="n">
        <f aca="false">B182</f>
        <v>4041.666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192</v>
      </c>
      <c r="B226" s="93" t="s">
        <v>138</v>
      </c>
      <c r="C226" s="93"/>
      <c r="D226" s="113"/>
      <c r="E226" s="93" t="s">
        <v>139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24249.996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140</v>
      </c>
      <c r="B229" s="93" t="s">
        <v>176</v>
      </c>
      <c r="C229" s="93"/>
      <c r="D229" s="113"/>
      <c r="E229" s="93" t="s">
        <v>181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24249.996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193</v>
      </c>
      <c r="B232" s="93" t="s">
        <v>53</v>
      </c>
      <c r="C232" s="93"/>
      <c r="D232" s="113"/>
      <c r="E232" s="93" t="s">
        <v>194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-1187.72931466777</v>
      </c>
      <c r="B233" s="103" t="str">
        <f aca="false">B191</f>
        <v>239.99</v>
      </c>
      <c r="C233" s="103"/>
      <c r="D233" s="113"/>
      <c r="E233" s="103" t="n">
        <f aca="false">E191</f>
        <v>23312.2566853322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195</v>
      </c>
      <c r="B235" s="93" t="s">
        <v>196</v>
      </c>
      <c r="C235" s="93"/>
      <c r="D235" s="113"/>
      <c r="E235" s="93" t="s">
        <v>208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184</v>
      </c>
      <c r="B238" s="93" t="s">
        <v>185</v>
      </c>
      <c r="C238" s="93"/>
      <c r="D238" s="93"/>
      <c r="E238" s="93" t="s">
        <v>186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1551.11515321202</v>
      </c>
      <c r="B239" s="103" t="n">
        <f aca="false">B176</f>
        <v>0</v>
      </c>
      <c r="C239" s="186"/>
      <c r="D239" s="186"/>
      <c r="E239" s="103" t="n">
        <f aca="false">E176</f>
        <v>1551.11515321202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209</v>
      </c>
      <c r="B241" s="93" t="s">
        <v>210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26.93088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211</v>
      </c>
      <c r="B244" s="166" t="s">
        <v>73</v>
      </c>
      <c r="C244" s="93"/>
      <c r="D244" s="93"/>
      <c r="E244" s="166" t="s">
        <v>132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8.97696</v>
      </c>
      <c r="B245" s="103" t="n">
        <f aca="false">E242+A245</f>
        <v>35.90784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212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213</v>
      </c>
      <c r="B248" s="93" t="s">
        <v>199</v>
      </c>
      <c r="C248" s="93"/>
      <c r="D248" s="93"/>
      <c r="E248" s="166" t="s">
        <v>200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1833.33</v>
      </c>
      <c r="B249" s="103" t="n">
        <f aca="false">B197</f>
        <v>101.04165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201</v>
      </c>
      <c r="B251" s="166" t="s">
        <v>202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2034.36331666667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214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215</v>
      </c>
      <c r="B262" s="196" t="n">
        <f aca="false">B72</f>
        <v>0.065</v>
      </c>
      <c r="C262" s="197"/>
      <c r="D262" s="198" t="s">
        <v>216</v>
      </c>
      <c r="E262" s="198"/>
      <c r="F262" s="196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91" t="s">
        <v>217</v>
      </c>
      <c r="B263" s="199" t="n">
        <f aca="false">(E191-B191)-(B210-B191-A194)</f>
        <v>1139.75668533223</v>
      </c>
      <c r="C263" s="197"/>
      <c r="D263" s="198" t="s">
        <v>218</v>
      </c>
      <c r="E263" s="198"/>
      <c r="F263" s="200" t="n">
        <f aca="false">F270+F276+F278+B279+B280</f>
        <v>121.24998</v>
      </c>
      <c r="G263" s="23"/>
      <c r="H263" s="33"/>
    </row>
    <row r="264" customFormat="false" ht="17.35" hidden="false" customHeight="false" outlineLevel="0" collapsed="false">
      <c r="A264" s="191" t="s">
        <v>219</v>
      </c>
      <c r="B264" s="200" t="n">
        <f aca="false">F271+B272</f>
        <v>99.9916666666667</v>
      </c>
      <c r="C264" s="197"/>
      <c r="D264" s="198" t="s">
        <v>220</v>
      </c>
      <c r="E264" s="198"/>
      <c r="F264" s="200" t="n">
        <f aca="false">(B263-F263)+B264</f>
        <v>1118.49837199889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215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221</v>
      </c>
      <c r="B268" s="205" t="n">
        <f aca="false">B73</f>
        <v>0.072</v>
      </c>
      <c r="C268" s="32"/>
      <c r="D268" s="166" t="s">
        <v>222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216</v>
      </c>
      <c r="B269" s="209" t="n">
        <f aca="false">B92</f>
        <v>0.1475</v>
      </c>
      <c r="C269" s="43"/>
      <c r="D269" s="166" t="s">
        <v>217</v>
      </c>
      <c r="E269" s="166"/>
      <c r="F269" s="146" t="n">
        <f aca="false">B263</f>
        <v>1139.75668533223</v>
      </c>
      <c r="G269" s="23"/>
      <c r="H269" s="33"/>
    </row>
    <row r="270" customFormat="false" ht="17.35" hidden="false" customHeight="false" outlineLevel="0" collapsed="false">
      <c r="A270" s="31" t="s">
        <v>223</v>
      </c>
      <c r="B270" s="209" t="n">
        <f aca="false">B76</f>
        <v>0.005</v>
      </c>
      <c r="C270" s="32"/>
      <c r="D270" s="166" t="s">
        <v>223</v>
      </c>
      <c r="E270" s="166"/>
      <c r="F270" s="151" t="n">
        <f aca="false">B77</f>
        <v>121.24998</v>
      </c>
      <c r="G270" s="23"/>
      <c r="H270" s="33"/>
    </row>
    <row r="271" customFormat="false" ht="17.35" hidden="false" customHeight="false" outlineLevel="0" collapsed="false">
      <c r="A271" s="31" t="s">
        <v>224</v>
      </c>
      <c r="B271" s="205" t="n">
        <f aca="false">A117</f>
        <v>0.2</v>
      </c>
      <c r="C271" s="32"/>
      <c r="D271" s="166" t="s">
        <v>224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225</v>
      </c>
      <c r="B272" s="146" t="n">
        <f aca="false">A252</f>
        <v>99.9916666666667</v>
      </c>
      <c r="C272" s="32"/>
      <c r="D272" s="39" t="s">
        <v>220</v>
      </c>
      <c r="E272" s="39"/>
      <c r="F272" s="146" t="n">
        <f aca="false">(B263-F263)+B264</f>
        <v>1118.49837199889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226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227</v>
      </c>
      <c r="B275" s="151" t="n">
        <v>0</v>
      </c>
      <c r="C275" s="32"/>
      <c r="D275" s="210" t="s">
        <v>228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229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230</v>
      </c>
      <c r="B277" s="211" t="s">
        <v>4</v>
      </c>
      <c r="C277" s="32"/>
      <c r="D277" s="166" t="s">
        <v>231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232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233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234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7" colorId="64" zoomScale="85" zoomScaleNormal="85" zoomScalePageLayoutView="100" workbookViewId="0">
      <selection pane="topLeft" activeCell="A37" activeCellId="0" sqref="A37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22050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18000.0</v>
      </c>
      <c r="C9" s="14" t="n">
        <f aca="false">B9*0.2</f>
        <v>3675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394</v>
      </c>
      <c r="B34" s="32"/>
      <c r="C34" s="41" t="s">
        <v>401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E19</f>
        <v>22050</v>
      </c>
      <c r="B37" s="32"/>
      <c r="C37" s="41" t="s">
        <v>399</v>
      </c>
      <c r="D37" s="41"/>
      <c r="E37" s="32"/>
      <c r="F37" s="43" t="n">
        <f aca="false">A37-C37</f>
        <v>21050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394</v>
      </c>
      <c r="B40" s="32"/>
      <c r="C40" s="54" t="n">
        <f aca="false">A34-1</f>
        <v>11</v>
      </c>
      <c r="D40" s="54"/>
      <c r="E40" s="32"/>
      <c r="F40" s="41" t="s">
        <v>393</v>
      </c>
      <c r="G40" s="41"/>
      <c r="H40" s="47"/>
      <c r="J40" s="2" t="s">
        <v>58</v>
      </c>
      <c r="K40" s="2" t="n">
        <f aca="false">C15</f>
        <v>3675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222.916666666667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277.083333333333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71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72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73</v>
      </c>
      <c r="B48" s="43"/>
      <c r="C48" s="43"/>
      <c r="D48" s="43"/>
      <c r="E48" s="43"/>
      <c r="F48" s="43"/>
      <c r="G48" s="43"/>
      <c r="H48" s="47"/>
      <c r="J48" s="55" t="s">
        <v>74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75</v>
      </c>
      <c r="K49" s="2" t="n">
        <f aca="false">K45+K48+K47</f>
        <v>279.75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76</v>
      </c>
      <c r="K50" s="2" t="n">
        <f aca="false">K49-A46</f>
        <v>279.75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77</v>
      </c>
      <c r="B52" s="32"/>
      <c r="C52" s="32" t="s">
        <v>78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79</v>
      </c>
      <c r="K53" s="64" t="s">
        <v>419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81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82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83</v>
      </c>
      <c r="B58" s="71" t="s">
        <v>84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279.75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85</v>
      </c>
      <c r="B67" s="32" t="n">
        <v>1</v>
      </c>
      <c r="C67" s="32"/>
      <c r="D67" s="32"/>
      <c r="E67" s="23"/>
      <c r="F67" s="23"/>
      <c r="G67" s="23"/>
      <c r="H67" s="33"/>
      <c r="J67" s="31" t="s">
        <v>85</v>
      </c>
      <c r="K67" s="32" t="n">
        <v>1</v>
      </c>
      <c r="L67" s="32"/>
      <c r="M67" s="32"/>
      <c r="N67" s="23"/>
      <c r="O67" s="23"/>
      <c r="P67" s="23"/>
      <c r="Q67" s="33"/>
      <c r="S67" s="31" t="s">
        <v>85</v>
      </c>
      <c r="T67" s="32" t="n">
        <v>1</v>
      </c>
      <c r="U67" s="32"/>
      <c r="V67" s="32"/>
      <c r="W67" s="23"/>
      <c r="X67" s="23"/>
      <c r="Y67" s="23"/>
      <c r="Z67" s="33"/>
      <c r="AB67" s="31" t="s">
        <v>85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86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86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86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86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87</v>
      </c>
      <c r="B69" s="77" t="n">
        <v>10.0</v>
      </c>
      <c r="C69" s="32"/>
      <c r="D69" s="32"/>
      <c r="E69" s="23"/>
      <c r="F69" s="23"/>
      <c r="G69" s="23"/>
      <c r="H69" s="33"/>
      <c r="J69" s="76" t="s">
        <v>87</v>
      </c>
      <c r="K69" s="77" t="n">
        <v>20</v>
      </c>
      <c r="L69" s="32"/>
      <c r="M69" s="32"/>
      <c r="N69" s="23"/>
      <c r="O69" s="23"/>
      <c r="P69" s="23"/>
      <c r="Q69" s="33"/>
      <c r="S69" s="76" t="s">
        <v>87</v>
      </c>
      <c r="T69" s="77" t="n">
        <v>10</v>
      </c>
      <c r="U69" s="32"/>
      <c r="V69" s="32"/>
      <c r="W69" s="23"/>
      <c r="X69" s="23"/>
      <c r="Y69" s="23"/>
      <c r="Z69" s="33"/>
      <c r="AB69" s="76" t="s">
        <v>87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88</v>
      </c>
      <c r="B71" s="79" t="n">
        <v>0.0105</v>
      </c>
      <c r="C71" s="32"/>
      <c r="D71" s="32"/>
      <c r="E71" s="23"/>
      <c r="F71" s="23"/>
      <c r="G71" s="23"/>
      <c r="H71" s="33"/>
      <c r="J71" s="78" t="s">
        <v>88</v>
      </c>
      <c r="K71" s="79" t="n">
        <v>0.06</v>
      </c>
      <c r="L71" s="32"/>
      <c r="M71" s="32"/>
      <c r="N71" s="23"/>
      <c r="O71" s="23"/>
      <c r="P71" s="23"/>
      <c r="Q71" s="33"/>
      <c r="S71" s="78" t="s">
        <v>88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88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89</v>
      </c>
      <c r="B72" s="81" t="n">
        <v>0.065</v>
      </c>
      <c r="C72" s="32"/>
      <c r="D72" s="32"/>
      <c r="E72" s="23"/>
      <c r="F72" s="23"/>
      <c r="G72" s="23"/>
      <c r="H72" s="33"/>
      <c r="J72" s="80" t="s">
        <v>89</v>
      </c>
      <c r="K72" s="81" t="n">
        <v>0.08</v>
      </c>
      <c r="L72" s="32"/>
      <c r="M72" s="32"/>
      <c r="N72" s="23"/>
      <c r="O72" s="23"/>
      <c r="P72" s="23"/>
      <c r="Q72" s="33"/>
      <c r="S72" s="80" t="s">
        <v>89</v>
      </c>
      <c r="T72" s="81" t="n">
        <v>0.059</v>
      </c>
      <c r="U72" s="32"/>
      <c r="V72" s="32"/>
      <c r="W72" s="23"/>
      <c r="X72" s="23"/>
      <c r="Y72" s="23"/>
      <c r="Z72" s="33"/>
      <c r="AB72" s="80" t="s">
        <v>89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90</v>
      </c>
      <c r="B73" s="83" t="n">
        <v>0.05</v>
      </c>
      <c r="C73" s="32"/>
      <c r="D73" s="32"/>
      <c r="E73" s="23"/>
      <c r="F73" s="23"/>
      <c r="G73" s="23"/>
      <c r="H73" s="33"/>
      <c r="J73" s="82" t="s">
        <v>90</v>
      </c>
      <c r="K73" s="83" t="n">
        <v>0.1</v>
      </c>
      <c r="L73" s="32"/>
      <c r="M73" s="32"/>
      <c r="N73" s="23"/>
      <c r="O73" s="23"/>
      <c r="P73" s="23"/>
      <c r="Q73" s="33"/>
      <c r="S73" s="82" t="s">
        <v>90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90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91</v>
      </c>
      <c r="B74" s="65" t="n">
        <f aca="false">(B98*B68)-(K47*K29)</f>
        <v>17050.2666853322</v>
      </c>
      <c r="C74" s="32"/>
      <c r="D74" s="32"/>
      <c r="E74" s="23"/>
      <c r="F74" s="23"/>
      <c r="G74" s="23"/>
      <c r="H74" s="33"/>
      <c r="J74" s="56" t="s">
        <v>91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91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91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92</v>
      </c>
      <c r="B75" s="79" t="n">
        <v>0.005</v>
      </c>
      <c r="C75" s="32"/>
      <c r="D75" s="32"/>
      <c r="E75" s="23"/>
      <c r="F75" s="23"/>
      <c r="G75" s="23"/>
      <c r="H75" s="33"/>
      <c r="J75" s="78" t="s">
        <v>92</v>
      </c>
      <c r="K75" s="79" t="n">
        <v>0.05</v>
      </c>
      <c r="L75" s="32"/>
      <c r="M75" s="32"/>
      <c r="N75" s="23"/>
      <c r="O75" s="23"/>
      <c r="P75" s="23"/>
      <c r="Q75" s="33"/>
      <c r="S75" s="78" t="s">
        <v>92</v>
      </c>
      <c r="T75" s="79" t="n">
        <v>0.005</v>
      </c>
      <c r="U75" s="32"/>
      <c r="V75" s="32"/>
      <c r="W75" s="23"/>
      <c r="X75" s="23"/>
      <c r="Y75" s="23"/>
      <c r="Z75" s="33"/>
      <c r="AB75" s="78" t="s">
        <v>92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93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93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93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93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94</v>
      </c>
      <c r="B77" s="65" t="n">
        <f aca="false">(G167*B76)</f>
        <v>121.24998</v>
      </c>
      <c r="C77" s="32"/>
      <c r="D77" s="32"/>
      <c r="E77" s="23"/>
      <c r="F77" s="23"/>
      <c r="G77" s="23"/>
      <c r="H77" s="33"/>
      <c r="J77" s="56" t="s">
        <v>94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94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94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95</v>
      </c>
      <c r="B78" s="79" t="n">
        <v>0.0</v>
      </c>
      <c r="C78" s="32"/>
      <c r="D78" s="32"/>
      <c r="E78" s="23"/>
      <c r="F78" s="23"/>
      <c r="G78" s="23"/>
      <c r="H78" s="33"/>
      <c r="J78" s="78" t="s">
        <v>95</v>
      </c>
      <c r="K78" s="79" t="n">
        <v>0</v>
      </c>
      <c r="L78" s="32"/>
      <c r="M78" s="32"/>
      <c r="N78" s="23"/>
      <c r="O78" s="23"/>
      <c r="P78" s="23"/>
      <c r="Q78" s="33"/>
      <c r="S78" s="78" t="s">
        <v>95</v>
      </c>
      <c r="T78" s="79" t="n">
        <v>0</v>
      </c>
      <c r="U78" s="32"/>
      <c r="V78" s="32"/>
      <c r="W78" s="23"/>
      <c r="X78" s="23"/>
      <c r="Y78" s="23"/>
      <c r="Z78" s="33"/>
      <c r="AB78" s="78" t="s">
        <v>95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96</v>
      </c>
      <c r="B79" s="81" t="n">
        <v>0.0</v>
      </c>
      <c r="C79" s="32"/>
      <c r="D79" s="32"/>
      <c r="E79" s="23"/>
      <c r="F79" s="23"/>
      <c r="G79" s="23"/>
      <c r="H79" s="33"/>
      <c r="J79" s="80" t="s">
        <v>96</v>
      </c>
      <c r="K79" s="81" t="n">
        <v>0</v>
      </c>
      <c r="L79" s="32"/>
      <c r="M79" s="32"/>
      <c r="N79" s="23"/>
      <c r="O79" s="23"/>
      <c r="P79" s="23"/>
      <c r="Q79" s="33"/>
      <c r="S79" s="80" t="s">
        <v>96</v>
      </c>
      <c r="T79" s="81" t="n">
        <v>0</v>
      </c>
      <c r="U79" s="32"/>
      <c r="V79" s="32"/>
      <c r="W79" s="23"/>
      <c r="X79" s="23"/>
      <c r="Y79" s="23"/>
      <c r="Z79" s="33"/>
      <c r="AB79" s="80" t="s">
        <v>96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97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97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97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97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98</v>
      </c>
      <c r="B81" s="86" t="n">
        <v>0.0</v>
      </c>
      <c r="C81" s="32"/>
      <c r="D81" s="32"/>
      <c r="E81" s="23"/>
      <c r="F81" s="23"/>
      <c r="G81" s="23"/>
      <c r="H81" s="33"/>
      <c r="J81" s="78" t="s">
        <v>98</v>
      </c>
      <c r="K81" s="86" t="n">
        <v>0</v>
      </c>
      <c r="L81" s="32"/>
      <c r="M81" s="32"/>
      <c r="N81" s="23"/>
      <c r="O81" s="23"/>
      <c r="P81" s="23"/>
      <c r="Q81" s="33"/>
      <c r="S81" s="78" t="s">
        <v>98</v>
      </c>
      <c r="T81" s="86" t="n">
        <v>0</v>
      </c>
      <c r="U81" s="32"/>
      <c r="V81" s="32"/>
      <c r="W81" s="23"/>
      <c r="X81" s="23"/>
      <c r="Y81" s="23"/>
      <c r="Z81" s="33"/>
      <c r="AB81" s="78" t="s">
        <v>98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99</v>
      </c>
      <c r="B82" s="77" t="n">
        <v>0.0</v>
      </c>
      <c r="C82" s="32"/>
      <c r="D82" s="32"/>
      <c r="E82" s="23"/>
      <c r="F82" s="23"/>
      <c r="G82" s="23"/>
      <c r="H82" s="33"/>
      <c r="J82" s="80" t="s">
        <v>99</v>
      </c>
      <c r="K82" s="77" t="n">
        <v>0</v>
      </c>
      <c r="L82" s="32"/>
      <c r="M82" s="32"/>
      <c r="N82" s="23"/>
      <c r="O82" s="23"/>
      <c r="P82" s="23"/>
      <c r="Q82" s="33"/>
      <c r="S82" s="80" t="s">
        <v>99</v>
      </c>
      <c r="T82" s="77" t="n">
        <v>0</v>
      </c>
      <c r="U82" s="32"/>
      <c r="V82" s="32"/>
      <c r="W82" s="23"/>
      <c r="X82" s="23"/>
      <c r="Y82" s="23"/>
      <c r="Z82" s="33"/>
      <c r="AB82" s="80" t="s">
        <v>99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100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100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100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100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101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101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101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101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102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102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102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102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103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103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103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103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104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104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104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104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105</v>
      </c>
      <c r="B88" s="59" t="n">
        <f aca="false">K49</f>
        <v>279.75</v>
      </c>
      <c r="C88" s="32"/>
      <c r="D88" s="32"/>
      <c r="E88" s="23"/>
      <c r="F88" s="23"/>
      <c r="G88" s="23"/>
      <c r="H88" s="33"/>
      <c r="J88" s="90" t="s">
        <v>105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105</v>
      </c>
      <c r="T88" s="59" t="n">
        <f aca="false">B60</f>
        <v>279.75</v>
      </c>
      <c r="U88" s="32"/>
      <c r="V88" s="32"/>
      <c r="W88" s="23"/>
      <c r="X88" s="23"/>
      <c r="Y88" s="23"/>
      <c r="Z88" s="33"/>
      <c r="AB88" s="90" t="s">
        <v>105</v>
      </c>
      <c r="AC88" s="59" t="n">
        <f aca="false">B60</f>
        <v>279.75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106</v>
      </c>
      <c r="B90" s="27" t="n">
        <f aca="false">F37</f>
        <v>21050</v>
      </c>
      <c r="C90" s="32"/>
      <c r="D90" s="32"/>
      <c r="E90" s="23"/>
      <c r="F90" s="25" t="s">
        <v>106</v>
      </c>
      <c r="G90" s="27" t="n">
        <f aca="false">F37</f>
        <v>21050</v>
      </c>
      <c r="H90" s="33"/>
      <c r="J90" s="25" t="s">
        <v>106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106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106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107</v>
      </c>
      <c r="B91" s="33" t="n">
        <f aca="false">IF(A111="YES",A43,0)</f>
        <v>6000</v>
      </c>
      <c r="C91" s="32"/>
      <c r="D91" s="32"/>
      <c r="E91" s="23"/>
      <c r="F91" s="31" t="s">
        <v>107</v>
      </c>
      <c r="G91" s="33" t="n">
        <f aca="false">IF(A111="YES",A43,0)</f>
        <v>6000</v>
      </c>
      <c r="H91" s="33"/>
      <c r="J91" s="31" t="s">
        <v>107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107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107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108</v>
      </c>
      <c r="B92" s="84" t="n">
        <f aca="false">B71+B72+B73</f>
        <v>0.1475</v>
      </c>
      <c r="C92" s="32"/>
      <c r="D92" s="32"/>
      <c r="E92" s="23"/>
      <c r="F92" s="31" t="s">
        <v>108</v>
      </c>
      <c r="G92" s="91" t="n">
        <f aca="false">B72</f>
        <v>0.065</v>
      </c>
      <c r="H92" s="33"/>
      <c r="J92" s="31" t="s">
        <v>108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108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108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109</v>
      </c>
      <c r="B93" s="84" t="n">
        <f aca="false">B92/12</f>
        <v>0.0122916666666667</v>
      </c>
      <c r="C93" s="32"/>
      <c r="D93" s="32"/>
      <c r="E93" s="23"/>
      <c r="F93" s="31" t="s">
        <v>109</v>
      </c>
      <c r="G93" s="92" t="n">
        <f aca="false">G92/12</f>
        <v>0.00541666666666667</v>
      </c>
      <c r="H93" s="33"/>
      <c r="J93" s="31" t="s">
        <v>109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109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109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110</v>
      </c>
      <c r="B94" s="33" t="n">
        <f aca="false">IF(B91=0, (B68+B67), (B68))</f>
        <v>11</v>
      </c>
      <c r="C94" s="32"/>
      <c r="D94" s="32"/>
      <c r="E94" s="23"/>
      <c r="F94" s="31" t="s">
        <v>110</v>
      </c>
      <c r="G94" s="33" t="n">
        <f aca="false">IF(G91=0, (B68+B67), (B68))</f>
        <v>11</v>
      </c>
      <c r="H94" s="33"/>
      <c r="J94" s="31" t="s">
        <v>110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110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110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111</v>
      </c>
      <c r="B95" s="33" t="n">
        <f aca="false">(B91/((1+B93)^(B94+1)))</f>
        <v>5181.83177930431</v>
      </c>
      <c r="C95" s="32"/>
      <c r="D95" s="32"/>
      <c r="E95" s="23"/>
      <c r="F95" s="31" t="s">
        <v>111</v>
      </c>
      <c r="G95" s="33" t="n">
        <f aca="false">(G91/((1+G93)^(G94+1)))</f>
        <v>5623.39108453416</v>
      </c>
      <c r="H95" s="33"/>
      <c r="J95" s="31" t="s">
        <v>111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111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111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112</v>
      </c>
      <c r="B96" s="33" t="n">
        <f aca="false">((1-(1/((1+B93)^B94)))/B93)</f>
        <v>10.2301677524304</v>
      </c>
      <c r="C96" s="32"/>
      <c r="D96" s="32"/>
      <c r="E96" s="23"/>
      <c r="F96" s="31" t="s">
        <v>112</v>
      </c>
      <c r="G96" s="33" t="n">
        <f aca="false">((1-(1/((1+G93)^G94)))/G93)</f>
        <v>10.6507347822959</v>
      </c>
      <c r="H96" s="33"/>
      <c r="J96" s="31" t="s">
        <v>112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112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112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113</v>
      </c>
      <c r="B97" s="33" t="n">
        <f aca="false">B90-B95</f>
        <v>15868.1682206957</v>
      </c>
      <c r="C97" s="32"/>
      <c r="D97" s="32"/>
      <c r="E97" s="23"/>
      <c r="F97" s="31" t="s">
        <v>113</v>
      </c>
      <c r="G97" s="33" t="n">
        <f aca="false">G90-G95</f>
        <v>15426.6089154658</v>
      </c>
      <c r="H97" s="33"/>
      <c r="J97" s="31" t="s">
        <v>113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113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113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114</v>
      </c>
      <c r="B98" s="33" t="n">
        <f aca="false">(B97/B96)</f>
        <v>1551.11515321202</v>
      </c>
      <c r="C98" s="32"/>
      <c r="D98" s="32"/>
      <c r="E98" s="23"/>
      <c r="F98" s="31" t="s">
        <v>114</v>
      </c>
      <c r="G98" s="33" t="n">
        <f aca="false">(G97/G96)</f>
        <v>1448.40794844583</v>
      </c>
      <c r="H98" s="33"/>
      <c r="J98" s="31" t="s">
        <v>114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114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114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115</v>
      </c>
      <c r="B99" s="33" t="n">
        <f aca="false">((B98*(B94))+B86)</f>
        <v>17062.2666853322</v>
      </c>
      <c r="C99" s="32"/>
      <c r="D99" s="32"/>
      <c r="E99" s="23"/>
      <c r="F99" s="31" t="s">
        <v>115</v>
      </c>
      <c r="G99" s="33" t="n">
        <f aca="false">((G98*(G94))+G86)</f>
        <v>15932.4874329041</v>
      </c>
      <c r="H99" s="33"/>
      <c r="J99" s="31" t="s">
        <v>115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115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115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116</v>
      </c>
      <c r="B100" s="33" t="n">
        <f aca="false">(((B98*(B94))+B86)/(1-B80))*B80</f>
        <v>0</v>
      </c>
      <c r="C100" s="32"/>
      <c r="D100" s="32"/>
      <c r="E100" s="23"/>
      <c r="F100" s="31" t="s">
        <v>116</v>
      </c>
      <c r="G100" s="33" t="n">
        <f aca="false">(((G98*(G94))+G86)/(1-G80))*G80</f>
        <v>0</v>
      </c>
      <c r="H100" s="33"/>
      <c r="J100" s="31" t="s">
        <v>116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116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116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117</v>
      </c>
      <c r="B101" s="65" t="n">
        <f aca="false">(B99+B100)</f>
        <v>17062.2666853322</v>
      </c>
      <c r="C101" s="32"/>
      <c r="D101" s="32"/>
      <c r="E101" s="23"/>
      <c r="F101" s="56" t="s">
        <v>117</v>
      </c>
      <c r="G101" s="65" t="n">
        <f aca="false">(G99+G100)</f>
        <v>15932.4874329041</v>
      </c>
      <c r="H101" s="33"/>
      <c r="J101" s="56" t="s">
        <v>117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117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117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118</v>
      </c>
      <c r="B103" s="89" t="n">
        <f aca="false">((A46 * A34) + ((A46 * A34)*A117))/(B68)</f>
        <v>0</v>
      </c>
      <c r="C103" s="32"/>
      <c r="D103" s="32"/>
      <c r="E103" s="23"/>
      <c r="F103" s="88" t="s">
        <v>118</v>
      </c>
      <c r="G103" s="94" t="str">
        <f aca="false">IF(B35="YES",((E49/B94)*(1+A117)*(C54/100)),"0")</f>
        <v>0</v>
      </c>
      <c r="H103" s="33"/>
      <c r="J103" s="88" t="s">
        <v>118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118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118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119</v>
      </c>
      <c r="B104" s="96" t="n">
        <f aca="false">B101/(B94)</f>
        <v>1551.11515321202</v>
      </c>
      <c r="C104" s="32"/>
      <c r="D104" s="32"/>
      <c r="E104" s="23"/>
      <c r="F104" s="95" t="s">
        <v>119</v>
      </c>
      <c r="G104" s="96" t="n">
        <f aca="false">G101/(G94)</f>
        <v>1448.40794844583</v>
      </c>
      <c r="H104" s="33"/>
      <c r="J104" s="95" t="s">
        <v>119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119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119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120</v>
      </c>
      <c r="B105" s="98" t="n">
        <f aca="false">B103+B104</f>
        <v>1551.11515321202</v>
      </c>
      <c r="C105" s="32"/>
      <c r="D105" s="32"/>
      <c r="E105" s="23" t="s">
        <v>390</v>
      </c>
      <c r="F105" s="97" t="s">
        <v>120</v>
      </c>
      <c r="G105" s="98" t="n">
        <f aca="false">G103+G104</f>
        <v>1448.40794844583</v>
      </c>
      <c r="H105" s="33"/>
      <c r="J105" s="97" t="s">
        <v>120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120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120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0.0</v>
      </c>
      <c r="C108" s="23"/>
      <c r="D108" s="23" t="n">
        <v>0.0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122</v>
      </c>
      <c r="B109" s="100"/>
      <c r="C109" s="100"/>
      <c r="D109" s="100"/>
      <c r="E109" s="100"/>
      <c r="F109" s="100"/>
      <c r="G109" s="100"/>
      <c r="H109" s="100"/>
      <c r="J109" s="24" t="s">
        <v>123</v>
      </c>
      <c r="K109" s="24"/>
      <c r="L109" s="24"/>
      <c r="M109" s="24"/>
      <c r="N109" s="24"/>
      <c r="O109" s="24"/>
      <c r="P109" s="24"/>
      <c r="Q109" s="24"/>
      <c r="S109" s="100" t="s">
        <v>124</v>
      </c>
      <c r="T109" s="100"/>
      <c r="U109" s="100"/>
      <c r="V109" s="100"/>
      <c r="W109" s="100"/>
      <c r="X109" s="100"/>
      <c r="Y109" s="100"/>
      <c r="Z109" s="100"/>
      <c r="AB109" s="100" t="s">
        <v>125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390</v>
      </c>
      <c r="B111" s="28" t="n">
        <v>0.0</v>
      </c>
      <c r="C111" s="28"/>
      <c r="D111" s="28"/>
      <c r="E111" s="28" t="n">
        <v>0.0</v>
      </c>
      <c r="F111" s="28"/>
      <c r="G111" s="28"/>
      <c r="H111" s="28"/>
      <c r="J111" s="28" t="s">
        <v>126</v>
      </c>
      <c r="K111" s="28"/>
      <c r="L111" s="28"/>
      <c r="M111" s="28"/>
      <c r="N111" s="28"/>
      <c r="O111" s="28"/>
      <c r="P111" s="28"/>
      <c r="Q111" s="28"/>
      <c r="S111" s="28" t="s">
        <v>126</v>
      </c>
      <c r="T111" s="28"/>
      <c r="U111" s="28"/>
      <c r="V111" s="28"/>
      <c r="W111" s="28"/>
      <c r="X111" s="28"/>
      <c r="Y111" s="28"/>
      <c r="Z111" s="28"/>
      <c r="AB111" s="28" t="s">
        <v>126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127</v>
      </c>
      <c r="B113" s="32" t="s">
        <v>23</v>
      </c>
      <c r="C113" s="32"/>
      <c r="D113" s="32"/>
      <c r="E113" s="32" t="s">
        <v>128</v>
      </c>
      <c r="F113" s="32"/>
      <c r="G113" s="32"/>
      <c r="H113" s="33"/>
      <c r="J113" s="31" t="s">
        <v>127</v>
      </c>
      <c r="K113" s="32" t="s">
        <v>23</v>
      </c>
      <c r="L113" s="32"/>
      <c r="M113" s="32"/>
      <c r="N113" s="32" t="s">
        <v>128</v>
      </c>
      <c r="O113" s="32"/>
      <c r="P113" s="32"/>
      <c r="Q113" s="33"/>
      <c r="S113" s="31" t="s">
        <v>127</v>
      </c>
      <c r="T113" s="32" t="s">
        <v>23</v>
      </c>
      <c r="U113" s="32"/>
      <c r="V113" s="32"/>
      <c r="W113" s="32" t="s">
        <v>128</v>
      </c>
      <c r="X113" s="32"/>
      <c r="Y113" s="32"/>
      <c r="Z113" s="33"/>
      <c r="AB113" s="31" t="s">
        <v>127</v>
      </c>
      <c r="AC113" s="32" t="s">
        <v>23</v>
      </c>
      <c r="AD113" s="32"/>
      <c r="AE113" s="32"/>
      <c r="AF113" s="32" t="s">
        <v>128</v>
      </c>
      <c r="AG113" s="32"/>
      <c r="AH113" s="32"/>
      <c r="AI113" s="33"/>
    </row>
    <row r="114" customFormat="false" ht="17.35" hidden="false" customHeight="false" outlineLevel="0" collapsed="false">
      <c r="A114" s="36" t="s">
        <v>129</v>
      </c>
      <c r="B114" s="103" t="s">
        <v>235</v>
      </c>
      <c r="C114" s="103"/>
      <c r="D114" s="103"/>
      <c r="E114" s="104" t="s">
        <v>388</v>
      </c>
      <c r="F114" s="104"/>
      <c r="G114" s="104"/>
      <c r="H114" s="102"/>
      <c r="J114" s="36" t="s">
        <v>129</v>
      </c>
      <c r="K114" s="105" t="s">
        <v>130</v>
      </c>
      <c r="L114" s="105"/>
      <c r="M114" s="105"/>
      <c r="N114" s="104" t="s">
        <v>18</v>
      </c>
      <c r="O114" s="104"/>
      <c r="P114" s="104"/>
      <c r="Q114" s="102"/>
      <c r="S114" s="36" t="s">
        <v>129</v>
      </c>
      <c r="T114" s="103" t="s">
        <v>130</v>
      </c>
      <c r="U114" s="103"/>
      <c r="V114" s="103"/>
      <c r="W114" s="104" t="s">
        <v>18</v>
      </c>
      <c r="X114" s="104"/>
      <c r="Y114" s="104"/>
      <c r="Z114" s="102"/>
      <c r="AB114" s="36" t="s">
        <v>129</v>
      </c>
      <c r="AC114" s="103" t="s">
        <v>130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131</v>
      </c>
      <c r="B116" s="32" t="s">
        <v>132</v>
      </c>
      <c r="C116" s="32"/>
      <c r="D116" s="23"/>
      <c r="E116" s="32" t="s">
        <v>133</v>
      </c>
      <c r="F116" s="32"/>
      <c r="G116" s="23"/>
      <c r="H116" s="102"/>
      <c r="J116" s="31" t="s">
        <v>131</v>
      </c>
      <c r="K116" s="32" t="s">
        <v>132</v>
      </c>
      <c r="L116" s="32"/>
      <c r="M116" s="23"/>
      <c r="N116" s="32" t="s">
        <v>133</v>
      </c>
      <c r="O116" s="32"/>
      <c r="P116" s="23"/>
      <c r="Q116" s="102"/>
      <c r="S116" s="31" t="s">
        <v>131</v>
      </c>
      <c r="T116" s="32" t="s">
        <v>132</v>
      </c>
      <c r="U116" s="32"/>
      <c r="V116" s="23"/>
      <c r="W116" s="32" t="s">
        <v>133</v>
      </c>
      <c r="X116" s="32"/>
      <c r="Y116" s="23"/>
      <c r="Z116" s="102"/>
      <c r="AB116" s="31" t="s">
        <v>131</v>
      </c>
      <c r="AC116" s="32" t="s">
        <v>132</v>
      </c>
      <c r="AD116" s="32"/>
      <c r="AE116" s="23"/>
      <c r="AF116" s="32" t="s">
        <v>133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134</v>
      </c>
      <c r="C117" s="107"/>
      <c r="D117" s="107"/>
      <c r="E117" s="108" t="n">
        <f aca="false">B92</f>
        <v>0.1475</v>
      </c>
      <c r="F117" s="108"/>
      <c r="G117" s="108"/>
      <c r="H117" s="47"/>
      <c r="J117" s="106" t="n">
        <v>0.3</v>
      </c>
      <c r="K117" s="107" t="s">
        <v>134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135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135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136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134</v>
      </c>
    </row>
    <row r="119" customFormat="false" ht="17.35" hidden="false" customHeight="false" outlineLevel="0" collapsed="false">
      <c r="A119" s="31" t="s">
        <v>137</v>
      </c>
      <c r="B119" s="32" t="s">
        <v>138</v>
      </c>
      <c r="C119" s="32"/>
      <c r="D119" s="32"/>
      <c r="E119" s="32" t="s">
        <v>139</v>
      </c>
      <c r="F119" s="32"/>
      <c r="G119" s="32"/>
      <c r="H119" s="33"/>
      <c r="J119" s="31" t="s">
        <v>137</v>
      </c>
      <c r="K119" s="32" t="s">
        <v>138</v>
      </c>
      <c r="L119" s="32"/>
      <c r="M119" s="32"/>
      <c r="N119" s="32" t="s">
        <v>139</v>
      </c>
      <c r="O119" s="32"/>
      <c r="P119" s="32"/>
      <c r="Q119" s="33"/>
      <c r="S119" s="31" t="s">
        <v>137</v>
      </c>
      <c r="T119" s="32" t="s">
        <v>138</v>
      </c>
      <c r="U119" s="32"/>
      <c r="V119" s="32"/>
      <c r="W119" s="32" t="s">
        <v>139</v>
      </c>
      <c r="X119" s="32"/>
      <c r="Y119" s="32"/>
      <c r="Z119" s="33"/>
      <c r="AB119" s="31" t="s">
        <v>137</v>
      </c>
      <c r="AC119" s="32" t="s">
        <v>138</v>
      </c>
      <c r="AD119" s="32"/>
      <c r="AE119" s="32"/>
      <c r="AF119" s="32" t="s">
        <v>139</v>
      </c>
      <c r="AG119" s="32"/>
      <c r="AH119" s="32"/>
      <c r="AI119" s="33"/>
    </row>
    <row r="120" customFormat="false" ht="17.35" hidden="false" customHeight="false" outlineLevel="0" collapsed="false">
      <c r="A120" s="40" t="s">
        <v>390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140</v>
      </c>
      <c r="B122" s="32" t="s">
        <v>141</v>
      </c>
      <c r="C122" s="32"/>
      <c r="D122" s="32"/>
      <c r="E122" s="32" t="s">
        <v>142</v>
      </c>
      <c r="F122" s="32"/>
      <c r="G122" s="23"/>
      <c r="H122" s="102"/>
      <c r="J122" s="110" t="s">
        <v>140</v>
      </c>
      <c r="K122" s="32" t="s">
        <v>141</v>
      </c>
      <c r="L122" s="32"/>
      <c r="M122" s="32"/>
      <c r="N122" s="32" t="s">
        <v>142</v>
      </c>
      <c r="O122" s="32"/>
      <c r="P122" s="23"/>
      <c r="Q122" s="102"/>
      <c r="S122" s="110" t="s">
        <v>140</v>
      </c>
      <c r="T122" s="32" t="s">
        <v>141</v>
      </c>
      <c r="U122" s="32"/>
      <c r="V122" s="32"/>
      <c r="W122" s="32" t="s">
        <v>142</v>
      </c>
      <c r="X122" s="32"/>
      <c r="Y122" s="23"/>
      <c r="Z122" s="102"/>
      <c r="AB122" s="110" t="s">
        <v>140</v>
      </c>
      <c r="AC122" s="32" t="s">
        <v>141</v>
      </c>
      <c r="AD122" s="32"/>
      <c r="AE122" s="32"/>
      <c r="AF122" s="32" t="s">
        <v>142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397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144</v>
      </c>
      <c r="B126" s="28"/>
      <c r="C126" s="28"/>
      <c r="D126" s="28"/>
      <c r="E126" s="28"/>
      <c r="F126" s="28"/>
      <c r="G126" s="28"/>
      <c r="H126" s="28"/>
      <c r="J126" s="28" t="s">
        <v>144</v>
      </c>
      <c r="K126" s="28"/>
      <c r="L126" s="28"/>
      <c r="M126" s="28"/>
      <c r="N126" s="28"/>
      <c r="O126" s="28"/>
      <c r="P126" s="28"/>
      <c r="Q126" s="28"/>
      <c r="S126" s="28" t="s">
        <v>144</v>
      </c>
      <c r="T126" s="28"/>
      <c r="U126" s="28"/>
      <c r="V126" s="28"/>
      <c r="W126" s="28"/>
      <c r="X126" s="28"/>
      <c r="Y126" s="28"/>
      <c r="Z126" s="28"/>
      <c r="AB126" s="28" t="s">
        <v>144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145</v>
      </c>
      <c r="C128" s="114"/>
      <c r="D128" s="114" t="s">
        <v>146</v>
      </c>
      <c r="E128" s="114"/>
      <c r="F128" s="114" t="s">
        <v>147</v>
      </c>
      <c r="G128" s="114"/>
      <c r="H128" s="115" t="s">
        <v>148</v>
      </c>
      <c r="J128" s="78"/>
      <c r="K128" s="114" t="s">
        <v>145</v>
      </c>
      <c r="L128" s="114"/>
      <c r="M128" s="114" t="s">
        <v>146</v>
      </c>
      <c r="N128" s="114"/>
      <c r="O128" s="114" t="s">
        <v>147</v>
      </c>
      <c r="P128" s="114"/>
      <c r="Q128" s="115" t="s">
        <v>148</v>
      </c>
      <c r="S128" s="78"/>
      <c r="T128" s="114" t="s">
        <v>145</v>
      </c>
      <c r="U128" s="114"/>
      <c r="V128" s="114" t="s">
        <v>146</v>
      </c>
      <c r="W128" s="114"/>
      <c r="X128" s="114" t="s">
        <v>147</v>
      </c>
      <c r="Y128" s="114"/>
      <c r="Z128" s="115" t="s">
        <v>148</v>
      </c>
      <c r="AB128" s="78"/>
      <c r="AC128" s="114" t="s">
        <v>145</v>
      </c>
      <c r="AD128" s="114"/>
      <c r="AE128" s="114" t="s">
        <v>146</v>
      </c>
      <c r="AF128" s="114"/>
      <c r="AG128" s="114" t="s">
        <v>147</v>
      </c>
      <c r="AH128" s="114"/>
      <c r="AI128" s="115" t="s">
        <v>148</v>
      </c>
    </row>
    <row r="129" customFormat="false" ht="19.7" hidden="false" customHeight="false" outlineLevel="0" collapsed="false">
      <c r="A129" s="80"/>
      <c r="B129" s="116" t="s">
        <v>149</v>
      </c>
      <c r="C129" s="117" t="s">
        <v>150</v>
      </c>
      <c r="D129" s="116" t="s">
        <v>149</v>
      </c>
      <c r="E129" s="118" t="s">
        <v>150</v>
      </c>
      <c r="F129" s="116" t="s">
        <v>149</v>
      </c>
      <c r="G129" s="118" t="s">
        <v>150</v>
      </c>
      <c r="H129" s="119"/>
      <c r="J129" s="80"/>
      <c r="K129" s="116" t="s">
        <v>149</v>
      </c>
      <c r="L129" s="117" t="s">
        <v>150</v>
      </c>
      <c r="M129" s="116" t="s">
        <v>149</v>
      </c>
      <c r="N129" s="118" t="s">
        <v>150</v>
      </c>
      <c r="O129" s="116" t="s">
        <v>149</v>
      </c>
      <c r="P129" s="118" t="s">
        <v>150</v>
      </c>
      <c r="Q129" s="119"/>
      <c r="S129" s="80"/>
      <c r="T129" s="116" t="s">
        <v>149</v>
      </c>
      <c r="U129" s="117" t="s">
        <v>150</v>
      </c>
      <c r="V129" s="116" t="s">
        <v>149</v>
      </c>
      <c r="W129" s="118" t="s">
        <v>150</v>
      </c>
      <c r="X129" s="116" t="s">
        <v>149</v>
      </c>
      <c r="Y129" s="118" t="s">
        <v>150</v>
      </c>
      <c r="Z129" s="119"/>
      <c r="AB129" s="80"/>
      <c r="AC129" s="116" t="s">
        <v>149</v>
      </c>
      <c r="AD129" s="117" t="s">
        <v>150</v>
      </c>
      <c r="AE129" s="116" t="s">
        <v>149</v>
      </c>
      <c r="AF129" s="118" t="s">
        <v>150</v>
      </c>
      <c r="AG129" s="116" t="s">
        <v>149</v>
      </c>
      <c r="AH129" s="118" t="s">
        <v>150</v>
      </c>
      <c r="AI129" s="119"/>
    </row>
    <row r="130" customFormat="false" ht="17.35" hidden="false" customHeight="false" outlineLevel="0" collapsed="false">
      <c r="A130" s="25" t="s">
        <v>151</v>
      </c>
      <c r="B130" s="120" t="n">
        <f aca="false">E19</f>
        <v>22050</v>
      </c>
      <c r="C130" s="121" t="n">
        <v>19791.67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151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151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151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152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152</v>
      </c>
      <c r="K131" s="127" t="n">
        <f aca="false">B4</f>
        <v>22050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152</v>
      </c>
      <c r="T131" s="127" t="n">
        <f aca="false">B4</f>
        <v>22050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152</v>
      </c>
      <c r="AC131" s="127" t="n">
        <f aca="false">B4</f>
        <v>22050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153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153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153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153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154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154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154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154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155</v>
      </c>
      <c r="B134" s="132" t="n">
        <f aca="false">B130-B133</f>
        <v>22050</v>
      </c>
      <c r="C134" s="133" t="n">
        <f aca="false">C130-C133</f>
        <v>20208.33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155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155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155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149</v>
      </c>
      <c r="H136" s="137" t="s">
        <v>150</v>
      </c>
      <c r="J136" s="134"/>
      <c r="K136" s="138"/>
      <c r="L136" s="138"/>
      <c r="M136" s="138"/>
      <c r="N136" s="138"/>
      <c r="O136" s="138"/>
      <c r="P136" s="139" t="s">
        <v>149</v>
      </c>
      <c r="Q136" s="137" t="s">
        <v>150</v>
      </c>
      <c r="S136" s="134"/>
      <c r="T136" s="138"/>
      <c r="U136" s="138"/>
      <c r="V136" s="138"/>
      <c r="W136" s="138"/>
      <c r="X136" s="138"/>
      <c r="Y136" s="139" t="s">
        <v>149</v>
      </c>
      <c r="Z136" s="137" t="s">
        <v>150</v>
      </c>
      <c r="AB136" s="134"/>
      <c r="AC136" s="138"/>
      <c r="AD136" s="138"/>
      <c r="AE136" s="138"/>
      <c r="AF136" s="138"/>
      <c r="AG136" s="138"/>
      <c r="AH136" s="139" t="s">
        <v>149</v>
      </c>
      <c r="AI136" s="137" t="s">
        <v>150</v>
      </c>
    </row>
    <row r="137" customFormat="false" ht="17.35" hidden="false" customHeight="false" outlineLevel="0" collapsed="false">
      <c r="A137" s="140" t="s">
        <v>156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156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156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156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157</v>
      </c>
      <c r="B139" s="144" t="s">
        <v>158</v>
      </c>
      <c r="C139" s="144"/>
      <c r="D139" s="144" t="s">
        <v>159</v>
      </c>
      <c r="E139" s="144"/>
      <c r="F139" s="144" t="s">
        <v>153</v>
      </c>
      <c r="G139" s="144"/>
      <c r="H139" s="145" t="s">
        <v>150</v>
      </c>
      <c r="J139" s="147" t="s">
        <v>157</v>
      </c>
      <c r="K139" s="148" t="s">
        <v>158</v>
      </c>
      <c r="L139" s="148"/>
      <c r="M139" s="144" t="s">
        <v>159</v>
      </c>
      <c r="N139" s="144"/>
      <c r="O139" s="144" t="s">
        <v>153</v>
      </c>
      <c r="P139" s="144"/>
      <c r="Q139" s="145" t="s">
        <v>150</v>
      </c>
      <c r="S139" s="147" t="s">
        <v>157</v>
      </c>
      <c r="T139" s="144" t="s">
        <v>158</v>
      </c>
      <c r="U139" s="144"/>
      <c r="V139" s="144" t="s">
        <v>159</v>
      </c>
      <c r="W139" s="144"/>
      <c r="X139" s="144" t="s">
        <v>153</v>
      </c>
      <c r="Y139" s="144"/>
      <c r="Z139" s="145" t="s">
        <v>150</v>
      </c>
      <c r="AB139" s="147" t="s">
        <v>157</v>
      </c>
      <c r="AC139" s="144" t="s">
        <v>158</v>
      </c>
      <c r="AD139" s="144"/>
      <c r="AE139" s="144" t="s">
        <v>159</v>
      </c>
      <c r="AF139" s="144"/>
      <c r="AG139" s="144" t="s">
        <v>153</v>
      </c>
      <c r="AH139" s="144"/>
      <c r="AI139" s="145" t="s">
        <v>150</v>
      </c>
    </row>
    <row r="140" customFormat="false" ht="17.35" hidden="false" customHeight="false" outlineLevel="0" collapsed="false">
      <c r="A140" s="31" t="s">
        <v>160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160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160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160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161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161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161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161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162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162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162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162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163</v>
      </c>
      <c r="B144" s="152"/>
      <c r="C144" s="152"/>
      <c r="D144" s="152"/>
      <c r="E144" s="152"/>
      <c r="F144" s="152"/>
      <c r="G144" s="136" t="n">
        <f aca="false">E21</f>
        <v>18375</v>
      </c>
      <c r="H144" s="153" t="n">
        <f aca="false">C134+E134+G134+H137</f>
        <v>20208.33</v>
      </c>
      <c r="J144" s="152" t="s">
        <v>163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163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163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164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164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164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164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165</v>
      </c>
      <c r="B146" s="154"/>
      <c r="C146" s="154"/>
      <c r="D146" s="154"/>
      <c r="E146" s="154"/>
      <c r="F146" s="154"/>
      <c r="G146" s="33" t="n">
        <f aca="false">(G144+G145)*20%</f>
        <v>3675</v>
      </c>
      <c r="H146" s="33" t="n">
        <f aca="false">(H144+H145)*20%</f>
        <v>4041.666</v>
      </c>
      <c r="J146" s="154" t="s">
        <v>165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165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165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166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166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166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166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167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167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167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167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168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168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168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168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169</v>
      </c>
      <c r="B150" s="154"/>
      <c r="C150" s="154"/>
      <c r="D150" s="154"/>
      <c r="E150" s="154"/>
      <c r="F150" s="154"/>
      <c r="G150" s="157" t="n">
        <f aca="false">(G144+G145+G148+G149+G146)-G147</f>
        <v>22050</v>
      </c>
      <c r="H150" s="157" t="n">
        <f aca="false">(H144+H145+H148+H149+H146)-H147</f>
        <v>24249.996</v>
      </c>
      <c r="J150" s="154" t="s">
        <v>169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169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169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170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170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170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170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171</v>
      </c>
      <c r="B152" s="111"/>
      <c r="C152" s="111"/>
      <c r="D152" s="111"/>
      <c r="E152" s="111" t="n">
        <v>0.0</v>
      </c>
      <c r="F152" s="111"/>
      <c r="G152" s="33" t="n">
        <v>0.0</v>
      </c>
      <c r="H152" s="33"/>
      <c r="J152" s="159" t="s">
        <v>171</v>
      </c>
      <c r="K152" s="159"/>
      <c r="L152" s="159"/>
      <c r="M152" s="159"/>
      <c r="N152" s="159"/>
      <c r="O152" s="159"/>
      <c r="P152" s="38"/>
      <c r="Q152" s="33"/>
      <c r="S152" s="111" t="s">
        <v>171</v>
      </c>
      <c r="T152" s="111"/>
      <c r="U152" s="111"/>
      <c r="V152" s="111"/>
      <c r="W152" s="111"/>
      <c r="X152" s="111"/>
      <c r="Y152" s="38"/>
      <c r="Z152" s="33"/>
      <c r="AB152" s="111" t="s">
        <v>171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0.0</v>
      </c>
      <c r="H153" s="40" t="n">
        <v>0</v>
      </c>
      <c r="J153" s="160" t="s">
        <v>13</v>
      </c>
      <c r="K153" s="161" t="s">
        <v>172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172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172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172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172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172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172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172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172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172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172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173</v>
      </c>
      <c r="B156" s="154"/>
      <c r="C156" s="154"/>
      <c r="D156" s="154"/>
      <c r="E156" s="154"/>
      <c r="F156" s="154"/>
      <c r="G156" s="164" t="n">
        <f aca="false">G150-((G153*1.2)+(G154*1.2)+(G155*1.2)+(G151*1.2))</f>
        <v>22050</v>
      </c>
      <c r="H156" s="164" t="n">
        <f aca="false">H150-((H153*1.2)+(H154*1.2)+(H155*1.2)+(H151*1.2))</f>
        <v>24249.996</v>
      </c>
      <c r="J156" s="165" t="s">
        <v>173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173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173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174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1833.33</v>
      </c>
      <c r="I157" s="1" t="n">
        <f aca="false">(H157-G90)/1.2</f>
        <v>-16013.8916666667</v>
      </c>
      <c r="J157" s="154" t="s">
        <v>174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174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174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175</v>
      </c>
      <c r="B159" s="28"/>
      <c r="C159" s="28"/>
      <c r="D159" s="28"/>
      <c r="E159" s="28"/>
      <c r="F159" s="28"/>
      <c r="G159" s="28"/>
      <c r="H159" s="28"/>
      <c r="J159" s="28" t="s">
        <v>175</v>
      </c>
      <c r="K159" s="28"/>
      <c r="L159" s="28"/>
      <c r="M159" s="28"/>
      <c r="N159" s="28"/>
      <c r="O159" s="28"/>
      <c r="P159" s="28"/>
      <c r="Q159" s="28"/>
      <c r="S159" s="28" t="s">
        <v>175</v>
      </c>
      <c r="T159" s="28"/>
      <c r="U159" s="28"/>
      <c r="V159" s="28"/>
      <c r="W159" s="28"/>
      <c r="X159" s="28"/>
      <c r="Y159" s="28"/>
      <c r="Z159" s="28"/>
      <c r="AB159" s="28" t="s">
        <v>175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176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176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176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176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177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177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177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177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178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178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178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178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179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179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179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179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180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180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180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180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181</v>
      </c>
      <c r="B167" s="32"/>
      <c r="C167" s="32"/>
      <c r="D167" s="23"/>
      <c r="E167" s="32"/>
      <c r="F167" s="23"/>
      <c r="G167" s="170" t="n">
        <f aca="false">H156-G163-G166</f>
        <v>24249.996</v>
      </c>
      <c r="H167" s="170"/>
      <c r="J167" s="169" t="s">
        <v>181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181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181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182</v>
      </c>
      <c r="B171" s="28"/>
      <c r="C171" s="28"/>
      <c r="D171" s="28"/>
      <c r="E171" s="28"/>
      <c r="F171" s="28"/>
      <c r="G171" s="28"/>
      <c r="H171" s="28"/>
      <c r="J171" s="28" t="s">
        <v>182</v>
      </c>
      <c r="K171" s="28"/>
      <c r="L171" s="28"/>
      <c r="M171" s="28"/>
      <c r="N171" s="28"/>
      <c r="O171" s="28"/>
      <c r="P171" s="28"/>
      <c r="Q171" s="28"/>
      <c r="S171" s="28" t="s">
        <v>182</v>
      </c>
      <c r="T171" s="28"/>
      <c r="U171" s="28"/>
      <c r="V171" s="28"/>
      <c r="W171" s="28"/>
      <c r="X171" s="28"/>
      <c r="Y171" s="28"/>
      <c r="Z171" s="28"/>
      <c r="AB171" s="28" t="s">
        <v>182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183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183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183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183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184</v>
      </c>
      <c r="B175" s="174" t="s">
        <v>185</v>
      </c>
      <c r="C175" s="174"/>
      <c r="D175" s="174"/>
      <c r="E175" s="174" t="s">
        <v>186</v>
      </c>
      <c r="F175" s="23"/>
      <c r="G175" s="23" t="s">
        <v>187</v>
      </c>
      <c r="H175" s="33"/>
      <c r="J175" s="173" t="s">
        <v>184</v>
      </c>
      <c r="K175" s="175" t="s">
        <v>185</v>
      </c>
      <c r="L175" s="175"/>
      <c r="M175" s="175"/>
      <c r="N175" s="175" t="s">
        <v>186</v>
      </c>
      <c r="O175" s="23"/>
      <c r="P175" s="23"/>
      <c r="Q175" s="33"/>
      <c r="S175" s="173" t="s">
        <v>184</v>
      </c>
      <c r="T175" s="175" t="s">
        <v>185</v>
      </c>
      <c r="U175" s="175"/>
      <c r="V175" s="175"/>
      <c r="W175" s="175" t="s">
        <v>186</v>
      </c>
      <c r="X175" s="23"/>
      <c r="Y175" s="23"/>
      <c r="Z175" s="33"/>
      <c r="AB175" s="173" t="s">
        <v>184</v>
      </c>
      <c r="AC175" s="175" t="s">
        <v>185</v>
      </c>
      <c r="AD175" s="175"/>
      <c r="AE175" s="175"/>
      <c r="AF175" s="175" t="s">
        <v>186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1551.11515321202</v>
      </c>
      <c r="B176" s="177" t="n">
        <f aca="false">B103</f>
        <v>0</v>
      </c>
      <c r="C176" s="174"/>
      <c r="D176" s="174"/>
      <c r="E176" s="177" t="n">
        <f aca="false">B105</f>
        <v>1551.11515321202</v>
      </c>
      <c r="F176" s="23"/>
      <c r="G176" s="23" t="n">
        <f aca="false">ROUND(G104, 2)</f>
        <v>1448.41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83</v>
      </c>
      <c r="B178" s="93" t="s">
        <v>84</v>
      </c>
      <c r="C178" s="93"/>
      <c r="D178" s="23"/>
      <c r="E178" s="93" t="s">
        <v>188</v>
      </c>
      <c r="F178" s="23"/>
      <c r="G178" s="23"/>
      <c r="H178" s="33"/>
      <c r="J178" s="31" t="s">
        <v>83</v>
      </c>
      <c r="K178" s="32" t="s">
        <v>84</v>
      </c>
      <c r="L178" s="32"/>
      <c r="M178" s="23"/>
      <c r="N178" s="32" t="s">
        <v>188</v>
      </c>
      <c r="O178" s="23"/>
      <c r="P178" s="23"/>
      <c r="Q178" s="33"/>
      <c r="S178" s="31" t="s">
        <v>83</v>
      </c>
      <c r="T178" s="32" t="s">
        <v>84</v>
      </c>
      <c r="U178" s="32"/>
      <c r="V178" s="23"/>
      <c r="W178" s="32" t="s">
        <v>188</v>
      </c>
      <c r="X178" s="23"/>
      <c r="Y178" s="23"/>
      <c r="Z178" s="33"/>
      <c r="AB178" s="31" t="s">
        <v>83</v>
      </c>
      <c r="AC178" s="32" t="s">
        <v>84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93" t="s">
        <v>190</v>
      </c>
      <c r="C181" s="93"/>
      <c r="D181" s="23"/>
      <c r="E181" s="93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20208.33</v>
      </c>
      <c r="B182" s="103" t="n">
        <f aca="false">H146</f>
        <v>4041.666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93" t="s">
        <v>138</v>
      </c>
      <c r="C184" s="93"/>
      <c r="D184" s="23"/>
      <c r="E184" s="93" t="s">
        <v>139</v>
      </c>
      <c r="F184" s="23"/>
      <c r="G184" s="23"/>
      <c r="H184" s="33"/>
      <c r="J184" s="31" t="s">
        <v>192</v>
      </c>
      <c r="K184" s="32" t="s">
        <v>138</v>
      </c>
      <c r="L184" s="32"/>
      <c r="M184" s="23"/>
      <c r="N184" s="32" t="s">
        <v>139</v>
      </c>
      <c r="O184" s="23"/>
      <c r="P184" s="23"/>
      <c r="Q184" s="33"/>
      <c r="S184" s="31" t="s">
        <v>192</v>
      </c>
      <c r="T184" s="32" t="s">
        <v>138</v>
      </c>
      <c r="U184" s="32"/>
      <c r="V184" s="23"/>
      <c r="W184" s="32" t="s">
        <v>139</v>
      </c>
      <c r="X184" s="23"/>
      <c r="Y184" s="23"/>
      <c r="Z184" s="33"/>
      <c r="AB184" s="31" t="s">
        <v>192</v>
      </c>
      <c r="AC184" s="32" t="s">
        <v>138</v>
      </c>
      <c r="AD184" s="32"/>
      <c r="AE184" s="23"/>
      <c r="AF184" s="32" t="s">
        <v>139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24249.996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140</v>
      </c>
      <c r="B187" s="93" t="s">
        <v>176</v>
      </c>
      <c r="C187" s="93"/>
      <c r="D187" s="23"/>
      <c r="E187" s="93" t="s">
        <v>181</v>
      </c>
      <c r="F187" s="23"/>
      <c r="G187" s="23"/>
      <c r="H187" s="33"/>
      <c r="J187" s="31" t="s">
        <v>140</v>
      </c>
      <c r="K187" s="32" t="s">
        <v>176</v>
      </c>
      <c r="L187" s="32"/>
      <c r="M187" s="23"/>
      <c r="N187" s="32" t="s">
        <v>181</v>
      </c>
      <c r="O187" s="23"/>
      <c r="P187" s="23"/>
      <c r="Q187" s="33"/>
      <c r="S187" s="31" t="s">
        <v>140</v>
      </c>
      <c r="T187" s="32" t="s">
        <v>176</v>
      </c>
      <c r="U187" s="32"/>
      <c r="V187" s="23"/>
      <c r="W187" s="32" t="s">
        <v>181</v>
      </c>
      <c r="X187" s="23"/>
      <c r="Y187" s="23"/>
      <c r="Z187" s="33"/>
      <c r="AB187" s="31" t="s">
        <v>140</v>
      </c>
      <c r="AC187" s="32" t="s">
        <v>176</v>
      </c>
      <c r="AD187" s="32"/>
      <c r="AE187" s="23"/>
      <c r="AF187" s="32" t="s">
        <v>181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24249.996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93" t="s">
        <v>53</v>
      </c>
      <c r="C190" s="93"/>
      <c r="D190" s="23"/>
      <c r="E190" s="93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-1187.72931466777</v>
      </c>
      <c r="B191" s="103" t="str">
        <f aca="false">B123</f>
        <v>199.99</v>
      </c>
      <c r="C191" s="103"/>
      <c r="D191" s="23"/>
      <c r="E191" s="103" t="n">
        <f aca="false">E188+A191+(B191*1.2)+A194</f>
        <v>23312.2546853322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93" t="s">
        <v>196</v>
      </c>
      <c r="C193" s="93"/>
      <c r="D193" s="23"/>
      <c r="E193" s="93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93" t="s">
        <v>199</v>
      </c>
      <c r="C196" s="93"/>
      <c r="D196" s="93"/>
      <c r="E196" s="166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7.4808</v>
      </c>
      <c r="B197" s="103" t="n">
        <f aca="false">(G167*B76)/1.2</f>
        <v>101.04165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6" t="s">
        <v>202</v>
      </c>
      <c r="C199" s="93"/>
      <c r="D199" s="93"/>
      <c r="E199" s="166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201.03165</v>
      </c>
      <c r="C200" s="93"/>
      <c r="D200" s="93"/>
      <c r="E200" s="103" t="n">
        <f aca="false">H157</f>
        <v>1833.33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93"/>
      <c r="C202" s="93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83</v>
      </c>
      <c r="B204" s="71" t="s">
        <v>84</v>
      </c>
      <c r="C204" s="71"/>
      <c r="D204" s="71"/>
      <c r="E204" s="23"/>
      <c r="F204" s="23"/>
      <c r="G204" s="23"/>
      <c r="H204" s="33"/>
      <c r="J204" s="187" t="s">
        <v>83</v>
      </c>
      <c r="K204" s="188" t="s">
        <v>84</v>
      </c>
      <c r="L204" s="188"/>
      <c r="M204" s="188"/>
      <c r="N204" s="23"/>
      <c r="O204" s="23"/>
      <c r="P204" s="23"/>
      <c r="Q204" s="33"/>
      <c r="S204" s="187" t="s">
        <v>83</v>
      </c>
      <c r="T204" s="71" t="s">
        <v>84</v>
      </c>
      <c r="U204" s="71"/>
      <c r="V204" s="71"/>
      <c r="W204" s="23"/>
      <c r="X204" s="23"/>
      <c r="Y204" s="23"/>
      <c r="Z204" s="33"/>
      <c r="AB204" s="187" t="s">
        <v>83</v>
      </c>
      <c r="AC204" s="71" t="s">
        <v>84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1551.11515321202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205</v>
      </c>
      <c r="B209" s="93" t="s">
        <v>206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-2317.486</v>
      </c>
      <c r="B210" s="186" t="n">
        <f aca="false">E188+A210+(B191*1.2)+A194</f>
        <v>22182.498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182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127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207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184</v>
      </c>
      <c r="B220" s="192" t="s">
        <v>185</v>
      </c>
      <c r="C220" s="192"/>
      <c r="D220" s="192"/>
      <c r="E220" s="192" t="s">
        <v>186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1551.11515321202</v>
      </c>
      <c r="B221" s="177" t="n">
        <f aca="false">B176</f>
        <v>0</v>
      </c>
      <c r="C221" s="174"/>
      <c r="D221" s="174"/>
      <c r="E221" s="177" t="n">
        <f aca="false">E176</f>
        <v>1551.11515321202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189</v>
      </c>
      <c r="B223" s="93" t="s">
        <v>190</v>
      </c>
      <c r="C223" s="93"/>
      <c r="D223" s="113"/>
      <c r="E223" s="93" t="s">
        <v>191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20208.33</v>
      </c>
      <c r="B224" s="103" t="n">
        <f aca="false">B182</f>
        <v>4041.666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192</v>
      </c>
      <c r="B226" s="93" t="s">
        <v>138</v>
      </c>
      <c r="C226" s="93"/>
      <c r="D226" s="113"/>
      <c r="E226" s="93" t="s">
        <v>139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24249.996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140</v>
      </c>
      <c r="B229" s="93" t="s">
        <v>176</v>
      </c>
      <c r="C229" s="93"/>
      <c r="D229" s="113"/>
      <c r="E229" s="93" t="s">
        <v>181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24249.996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193</v>
      </c>
      <c r="B232" s="93" t="s">
        <v>53</v>
      </c>
      <c r="C232" s="93"/>
      <c r="D232" s="113"/>
      <c r="E232" s="93" t="s">
        <v>194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-1187.72931466777</v>
      </c>
      <c r="B233" s="103" t="str">
        <f aca="false">B191</f>
        <v>199.99</v>
      </c>
      <c r="C233" s="103"/>
      <c r="D233" s="113"/>
      <c r="E233" s="103" t="n">
        <f aca="false">E191</f>
        <v>23312.2546853322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195</v>
      </c>
      <c r="B235" s="93" t="s">
        <v>196</v>
      </c>
      <c r="C235" s="93"/>
      <c r="D235" s="113"/>
      <c r="E235" s="93" t="s">
        <v>208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184</v>
      </c>
      <c r="B238" s="93" t="s">
        <v>185</v>
      </c>
      <c r="C238" s="93"/>
      <c r="D238" s="93"/>
      <c r="E238" s="93" t="s">
        <v>186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1551.11515321202</v>
      </c>
      <c r="B239" s="103" t="n">
        <f aca="false">B176</f>
        <v>0</v>
      </c>
      <c r="C239" s="186"/>
      <c r="D239" s="186"/>
      <c r="E239" s="103" t="n">
        <f aca="false">E176</f>
        <v>1551.11515321202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209</v>
      </c>
      <c r="B241" s="93" t="s">
        <v>210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22.4424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211</v>
      </c>
      <c r="B244" s="166" t="s">
        <v>73</v>
      </c>
      <c r="C244" s="93"/>
      <c r="D244" s="93"/>
      <c r="E244" s="166" t="s">
        <v>132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7.4808</v>
      </c>
      <c r="B245" s="103" t="n">
        <f aca="false">E242+A245</f>
        <v>29.9232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212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213</v>
      </c>
      <c r="B248" s="93" t="s">
        <v>199</v>
      </c>
      <c r="C248" s="93"/>
      <c r="D248" s="93"/>
      <c r="E248" s="166" t="s">
        <v>200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1833.33</v>
      </c>
      <c r="B249" s="103" t="n">
        <f aca="false">B197</f>
        <v>101.04165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201</v>
      </c>
      <c r="B251" s="166" t="s">
        <v>202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2034.36165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214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215</v>
      </c>
      <c r="B262" s="196" t="n">
        <f aca="false">B72</f>
        <v>0.065</v>
      </c>
      <c r="C262" s="197"/>
      <c r="D262" s="198" t="s">
        <v>216</v>
      </c>
      <c r="E262" s="198"/>
      <c r="F262" s="196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91" t="s">
        <v>217</v>
      </c>
      <c r="B263" s="200" t="n">
        <f aca="false">(E191-B191)-(B210-B191-A194)</f>
        <v>1139.75668533223</v>
      </c>
      <c r="C263" s="197"/>
      <c r="D263" s="198" t="s">
        <v>218</v>
      </c>
      <c r="E263" s="198"/>
      <c r="F263" s="200" t="n">
        <f aca="false">F270+F276+F278+B279+B280</f>
        <v>121.24998</v>
      </c>
      <c r="G263" s="23"/>
      <c r="H263" s="33"/>
    </row>
    <row r="264" customFormat="false" ht="17.35" hidden="false" customHeight="false" outlineLevel="0" collapsed="false">
      <c r="A264" s="191" t="s">
        <v>219</v>
      </c>
      <c r="B264" s="200" t="n">
        <f aca="false">F271+B272</f>
        <v>99.99</v>
      </c>
      <c r="C264" s="197"/>
      <c r="D264" s="198" t="s">
        <v>220</v>
      </c>
      <c r="E264" s="198"/>
      <c r="F264" s="200" t="n">
        <f aca="false">(B263-F263)+B264</f>
        <v>1118.49670533223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215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221</v>
      </c>
      <c r="B268" s="205" t="n">
        <f aca="false">B73</f>
        <v>0.072</v>
      </c>
      <c r="C268" s="32"/>
      <c r="D268" s="166" t="s">
        <v>222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216</v>
      </c>
      <c r="B269" s="209" t="n">
        <f aca="false">B92</f>
        <v>0.1475</v>
      </c>
      <c r="C269" s="43"/>
      <c r="D269" s="166" t="s">
        <v>217</v>
      </c>
      <c r="E269" s="166"/>
      <c r="F269" s="146" t="n">
        <f aca="false">B263</f>
        <v>1139.75668533223</v>
      </c>
      <c r="G269" s="23"/>
      <c r="H269" s="33"/>
    </row>
    <row r="270" customFormat="false" ht="17.35" hidden="false" customHeight="false" outlineLevel="0" collapsed="false">
      <c r="A270" s="31" t="s">
        <v>223</v>
      </c>
      <c r="B270" s="209" t="n">
        <f aca="false">B76</f>
        <v>0.005</v>
      </c>
      <c r="C270" s="32"/>
      <c r="D270" s="166" t="s">
        <v>223</v>
      </c>
      <c r="E270" s="166"/>
      <c r="F270" s="151" t="n">
        <f aca="false">B77</f>
        <v>121.24998</v>
      </c>
      <c r="G270" s="23"/>
      <c r="H270" s="33"/>
    </row>
    <row r="271" customFormat="false" ht="17.35" hidden="false" customHeight="false" outlineLevel="0" collapsed="false">
      <c r="A271" s="31" t="s">
        <v>224</v>
      </c>
      <c r="B271" s="205" t="n">
        <f aca="false">A117</f>
        <v>0.2</v>
      </c>
      <c r="C271" s="32"/>
      <c r="D271" s="166" t="s">
        <v>224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225</v>
      </c>
      <c r="B272" s="146" t="n">
        <f aca="false">A252</f>
        <v>99.99</v>
      </c>
      <c r="C272" s="32"/>
      <c r="D272" s="39" t="s">
        <v>220</v>
      </c>
      <c r="E272" s="39"/>
      <c r="F272" s="146" t="n">
        <f aca="false">(B263-F263)+B264</f>
        <v>1118.49670533223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226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227</v>
      </c>
      <c r="B275" s="151" t="n">
        <v>0</v>
      </c>
      <c r="C275" s="32"/>
      <c r="D275" s="210" t="s">
        <v>228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229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230</v>
      </c>
      <c r="B277" s="211" t="s">
        <v>4</v>
      </c>
      <c r="C277" s="32"/>
      <c r="D277" s="166" t="s">
        <v>231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232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233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234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" colorId="64" zoomScale="85" zoomScaleNormal="85" zoomScalePageLayoutView="100" workbookViewId="0">
      <selection pane="topLeft" activeCell="K32" activeCellId="0" sqref="K3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22050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18000.0</v>
      </c>
      <c r="C9" s="14" t="n">
        <f aca="false">B9*0.2</f>
        <v>3675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420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399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400</v>
      </c>
      <c r="C35" s="223"/>
      <c r="D35" s="223" t="s">
        <v>401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79</v>
      </c>
      <c r="H36" s="64" t="n">
        <v>0.0</v>
      </c>
      <c r="I36" s="0"/>
      <c r="J36" s="44" t="s">
        <v>51</v>
      </c>
      <c r="K36" s="52" t="n">
        <f aca="false">K32-K34</f>
        <v>21050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388</v>
      </c>
      <c r="C38" s="223"/>
      <c r="D38" s="104" t="s">
        <v>393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394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83</v>
      </c>
      <c r="B51" s="251" t="s">
        <v>84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85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86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87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88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89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91</v>
      </c>
      <c r="B65" s="65" t="n">
        <f aca="false">(B89*B59)-B53</f>
        <v>18935.4441905013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93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94</v>
      </c>
      <c r="B68" s="65" t="n">
        <f aca="false">(G158*B67)</f>
        <v>0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95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96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98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99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100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101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102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104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105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106</v>
      </c>
      <c r="B81" s="27" t="n">
        <f aca="false">K36</f>
        <v>21050</v>
      </c>
      <c r="C81" s="93"/>
      <c r="D81" s="93"/>
      <c r="E81" s="113"/>
      <c r="F81" s="25" t="s">
        <v>106</v>
      </c>
      <c r="G81" s="27" t="n">
        <f aca="false">B81</f>
        <v>21050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107</v>
      </c>
      <c r="B82" s="33" t="n">
        <f aca="false">IF(A111="YES",D41,0)</f>
        <v>6000</v>
      </c>
      <c r="C82" s="93"/>
      <c r="D82" s="93"/>
      <c r="E82" s="113"/>
      <c r="F82" s="31" t="s">
        <v>107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0.115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109</v>
      </c>
      <c r="B84" s="92" t="n">
        <f aca="false">B83/12</f>
        <v>0.00958333333333333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32</v>
      </c>
      <c r="C85" s="93"/>
      <c r="D85" s="93"/>
      <c r="E85" s="113"/>
      <c r="F85" s="31" t="s">
        <v>110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111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112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113</v>
      </c>
      <c r="B88" s="33" t="n">
        <f aca="false">B81-B86</f>
        <v>16670.1467407538</v>
      </c>
      <c r="C88" s="93" t="n">
        <f aca="false">B81-B86</f>
        <v>16670.1467407538</v>
      </c>
      <c r="D88" s="93"/>
      <c r="E88" s="113"/>
      <c r="F88" s="31" t="s">
        <v>113</v>
      </c>
      <c r="G88" s="33" t="n">
        <f aca="false">G81-G86</f>
        <v>16029.689207262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114</v>
      </c>
      <c r="B89" s="33" t="n">
        <f aca="false">(B88/B87)</f>
        <v>607.368994589529</v>
      </c>
      <c r="C89" s="93" t="n">
        <f aca="false">(B88/B87)</f>
        <v>607.368994589529</v>
      </c>
      <c r="D89" s="93"/>
      <c r="E89" s="113"/>
      <c r="F89" s="31" t="s">
        <v>114</v>
      </c>
      <c r="G89" s="33" t="n">
        <f aca="false">(G88/G87)</f>
        <v>546.947155028288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19435.8078268649</v>
      </c>
      <c r="C90" s="93"/>
      <c r="D90" s="93"/>
      <c r="E90" s="113"/>
      <c r="F90" s="31" t="s">
        <v>115</v>
      </c>
      <c r="G90" s="33" t="n">
        <f aca="false">((G89*(G85))+G77)</f>
        <v>17502.3089609052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117</v>
      </c>
      <c r="B92" s="65" t="n">
        <f aca="false">(B90+B91)</f>
        <v>19435.8078268649</v>
      </c>
      <c r="C92" s="93"/>
      <c r="D92" s="93"/>
      <c r="E92" s="113"/>
      <c r="F92" s="56" t="s">
        <v>117</v>
      </c>
      <c r="G92" s="65" t="n">
        <f aca="false">(G90+G91)</f>
        <v>17502.3089609052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118</v>
      </c>
      <c r="B94" s="94" t="str">
        <f aca="false">IF(B38="YES",((H36/B85)*(1+A108)*1.2),"0")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119</v>
      </c>
      <c r="B95" s="96" t="n">
        <f aca="false">B92/(B85)</f>
        <v>607.368994589529</v>
      </c>
      <c r="C95" s="93"/>
      <c r="D95" s="93"/>
      <c r="E95" s="113"/>
      <c r="F95" s="95" t="s">
        <v>119</v>
      </c>
      <c r="G95" s="96" t="n">
        <f aca="false">G92/(G85)</f>
        <v>546.947155028288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120</v>
      </c>
      <c r="B96" s="98" t="n">
        <f aca="false">B94+B95</f>
        <v>607.368994589529</v>
      </c>
      <c r="C96" s="93"/>
      <c r="D96" s="93"/>
      <c r="E96" s="113"/>
      <c r="F96" s="97" t="s">
        <v>120</v>
      </c>
      <c r="G96" s="98" t="n">
        <f aca="false">G94+G95</f>
        <v>546.947155028288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124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388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396</v>
      </c>
      <c r="C108" s="107"/>
      <c r="D108" s="107" t="n">
        <v>0.0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390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389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151</v>
      </c>
      <c r="B121" s="120" t="n">
        <f aca="false">E19</f>
        <v>22050</v>
      </c>
      <c r="C121" s="121" t="n">
        <v>19791.67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155</v>
      </c>
      <c r="B125" s="132" t="n">
        <f aca="false">B121-B124</f>
        <v>22050</v>
      </c>
      <c r="C125" s="133" t="n">
        <f aca="false">C121-C124</f>
        <v>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E21</f>
        <v>18375</v>
      </c>
      <c r="H135" s="153" t="n">
        <f aca="false">C125+E125+G125+H128</f>
        <v>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3675</v>
      </c>
      <c r="H137" s="33" t="n">
        <f aca="false">(H135+H136)*20%</f>
        <v>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22050</v>
      </c>
      <c r="H141" s="157" t="n">
        <f aca="false">(H135+H136+H139+H140+H137)-H138</f>
        <v>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164" t="n">
        <f aca="false">G141-((G144*1.2)+(G145*1.2)+(G146*1.2)+(G142*1.2))</f>
        <v>22050</v>
      </c>
      <c r="H147" s="164" t="n">
        <f aca="false">H141-((H144*1.2)+(H145*1.2)+(H146*1.2)+(H142*1.2))</f>
        <v>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-18375</v>
      </c>
      <c r="I148" s="1" t="n">
        <f aca="false">(H148-G81)/1.2</f>
        <v>-32854.1666666667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607.368994589529</v>
      </c>
      <c r="B167" s="177" t="str">
        <f aca="false">B94</f>
        <v>0</v>
      </c>
      <c r="C167" s="174"/>
      <c r="D167" s="174"/>
      <c r="E167" s="177" t="n">
        <f aca="false">B96</f>
        <v>607.368994589529</v>
      </c>
      <c r="F167" s="23"/>
      <c r="G167" s="23" t="n">
        <f aca="false">ROUND(G95, 2)</f>
        <v>546.95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0</v>
      </c>
      <c r="B173" s="103" t="n">
        <f aca="false">H137</f>
        <v>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25435.8078268649</v>
      </c>
      <c r="B182" s="103" t="str">
        <f aca="false">B114</f>
        <v>239.99</v>
      </c>
      <c r="C182" s="103"/>
      <c r="D182" s="23"/>
      <c r="E182" s="103" t="n">
        <f aca="false">E179+A182+B182+A185</f>
        <v>25685.7978268649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0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99.9916666666667</v>
      </c>
      <c r="C191" s="93"/>
      <c r="D191" s="93"/>
      <c r="E191" s="103" t="n">
        <f aca="false">H148</f>
        <v>-18375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607.368994589529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23502.4</v>
      </c>
      <c r="B201" s="186" t="n">
        <f aca="false">E179+A201+B182+A185</f>
        <v>23752.39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207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607.368994589529</v>
      </c>
      <c r="B212" s="177" t="str">
        <f aca="false">B167</f>
        <v>0</v>
      </c>
      <c r="C212" s="174"/>
      <c r="D212" s="174"/>
      <c r="E212" s="177" t="n">
        <f aca="false">E167</f>
        <v>607.368994589529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0</v>
      </c>
      <c r="B215" s="103" t="n">
        <f aca="false">B173</f>
        <v>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25435.8078268649</v>
      </c>
      <c r="B224" s="103" t="str">
        <f aca="false">B182</f>
        <v>239.99</v>
      </c>
      <c r="C224" s="103"/>
      <c r="D224" s="113"/>
      <c r="E224" s="103" t="n">
        <f aca="false">E182</f>
        <v>25685.7978268649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607.368994589529</v>
      </c>
      <c r="B230" s="103" t="str">
        <f aca="false">B167</f>
        <v>0</v>
      </c>
      <c r="C230" s="186"/>
      <c r="D230" s="186"/>
      <c r="E230" s="103" t="n">
        <f aca="false">E167</f>
        <v>607.368994589529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209</v>
      </c>
      <c r="B232" s="93" t="s">
        <v>210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26.93088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211</v>
      </c>
      <c r="B235" s="166" t="s">
        <v>73</v>
      </c>
      <c r="C235" s="93"/>
      <c r="D235" s="93"/>
      <c r="E235" s="166" t="s">
        <v>132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8.97696</v>
      </c>
      <c r="B236" s="103" t="n">
        <f aca="false">E233+A236</f>
        <v>35.90784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-18375</v>
      </c>
      <c r="B240" s="103" t="n">
        <f aca="false">B188</f>
        <v>0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-18275.0083333333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B63</f>
        <v>0.065</v>
      </c>
      <c r="C253" s="197"/>
      <c r="D253" s="198" t="s">
        <v>216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1943.40782686494</v>
      </c>
      <c r="C254" s="197"/>
      <c r="D254" s="198" t="s">
        <v>218</v>
      </c>
      <c r="E254" s="198"/>
      <c r="F254" s="200" t="n">
        <f aca="false">F261+F267+F269+B270+B271</f>
        <v>0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99.9916666666667</v>
      </c>
      <c r="C255" s="197"/>
      <c r="D255" s="198" t="s">
        <v>220</v>
      </c>
      <c r="E255" s="198"/>
      <c r="F255" s="200" t="n">
        <f aca="false">(B254-F254)+B255</f>
        <v>2043.3994935316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0.115</v>
      </c>
      <c r="C260" s="43"/>
      <c r="D260" s="166" t="s">
        <v>217</v>
      </c>
      <c r="E260" s="166"/>
      <c r="F260" s="146" t="n">
        <f aca="false">B254</f>
        <v>1943.40782686494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0.009375</v>
      </c>
      <c r="C261" s="32"/>
      <c r="D261" s="166" t="s">
        <v>223</v>
      </c>
      <c r="E261" s="166"/>
      <c r="F261" s="151" t="n">
        <f aca="false">B68</f>
        <v>0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99.9916666666667</v>
      </c>
      <c r="C263" s="32"/>
      <c r="D263" s="39" t="s">
        <v>220</v>
      </c>
      <c r="E263" s="39"/>
      <c r="F263" s="146" t="n">
        <f aca="false">(B254-F254)+B255</f>
        <v>2043.3994935316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23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22050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18000.0</v>
      </c>
      <c r="C9" s="14" t="n">
        <f aca="false">B9*0.2</f>
        <v>3675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420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399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394</v>
      </c>
      <c r="C35" s="223"/>
      <c r="D35" s="223" t="s">
        <v>401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79</v>
      </c>
      <c r="H36" s="64" t="s">
        <v>419</v>
      </c>
      <c r="I36" s="0"/>
      <c r="J36" s="44" t="s">
        <v>51</v>
      </c>
      <c r="K36" s="52" t="n">
        <f aca="false">K32-K34</f>
        <v>21050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390</v>
      </c>
      <c r="C38" s="223"/>
      <c r="D38" s="104" t="s">
        <v>393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394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83</v>
      </c>
      <c r="B51" s="251" t="s">
        <v>84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85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86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87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88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89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91</v>
      </c>
      <c r="B65" s="65" t="n">
        <f aca="false">(B89*B59)-B53</f>
        <v>16258.9303603859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93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94</v>
      </c>
      <c r="B68" s="65" t="n">
        <f aca="false">(G158*B67)</f>
        <v>121.24998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95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96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98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99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100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101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102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104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105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106</v>
      </c>
      <c r="B81" s="27" t="n">
        <f aca="false">K36</f>
        <v>21050</v>
      </c>
      <c r="C81" s="93"/>
      <c r="D81" s="93"/>
      <c r="E81" s="113"/>
      <c r="F81" s="25" t="s">
        <v>106</v>
      </c>
      <c r="G81" s="27" t="n">
        <f aca="false">B81</f>
        <v>21050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107</v>
      </c>
      <c r="B82" s="33" t="n">
        <f aca="false">IF(A111="YES",D41,0)</f>
        <v>6000</v>
      </c>
      <c r="C82" s="93"/>
      <c r="D82" s="93"/>
      <c r="E82" s="113"/>
      <c r="F82" s="31" t="s">
        <v>107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0.1255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109</v>
      </c>
      <c r="B84" s="92" t="n">
        <f aca="false">B83/12</f>
        <v>0.0104583333333333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11</v>
      </c>
      <c r="C85" s="93"/>
      <c r="D85" s="93"/>
      <c r="E85" s="113"/>
      <c r="F85" s="31" t="s">
        <v>110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5295.78483323301</v>
      </c>
      <c r="C86" s="93" t="n">
        <f aca="false">(B82/((1+B84)^(B85+1)))</f>
        <v>5295.78483323301</v>
      </c>
      <c r="D86" s="93"/>
      <c r="E86" s="113"/>
      <c r="F86" s="31" t="s">
        <v>111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112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113</v>
      </c>
      <c r="B88" s="33" t="n">
        <f aca="false">B81-B86</f>
        <v>15754.215166767</v>
      </c>
      <c r="C88" s="93" t="n">
        <f aca="false">B81-B86</f>
        <v>15754.215166767</v>
      </c>
      <c r="D88" s="93"/>
      <c r="E88" s="113"/>
      <c r="F88" s="31" t="s">
        <v>113</v>
      </c>
      <c r="G88" s="33" t="n">
        <f aca="false">G81-G86</f>
        <v>15426.6089154658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114</v>
      </c>
      <c r="B89" s="33" t="n">
        <f aca="false">(B88/B87)</f>
        <v>1523.63003276235</v>
      </c>
      <c r="C89" s="93" t="n">
        <f aca="false">(B88/B87)</f>
        <v>1523.63003276235</v>
      </c>
      <c r="D89" s="93"/>
      <c r="E89" s="113"/>
      <c r="F89" s="31" t="s">
        <v>114</v>
      </c>
      <c r="G89" s="33" t="n">
        <f aca="false">(G88/G87)</f>
        <v>1448.40794844583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16759.9303603859</v>
      </c>
      <c r="C90" s="93"/>
      <c r="D90" s="93"/>
      <c r="E90" s="113"/>
      <c r="F90" s="31" t="s">
        <v>115</v>
      </c>
      <c r="G90" s="33" t="n">
        <f aca="false">((G89*(G85))+G77)</f>
        <v>15932.4874329041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117</v>
      </c>
      <c r="B92" s="65" t="n">
        <f aca="false">(B90+B91)</f>
        <v>16759.9303603859</v>
      </c>
      <c r="C92" s="93"/>
      <c r="D92" s="93"/>
      <c r="E92" s="113"/>
      <c r="F92" s="56" t="s">
        <v>117</v>
      </c>
      <c r="G92" s="65" t="n">
        <f aca="false">(G90+G91)</f>
        <v>15932.4874329041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118</v>
      </c>
      <c r="B94" s="94" t="n">
        <f aca="false">IF(B38="YES",((H36/B85)*(1+A108)),"0")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119</v>
      </c>
      <c r="B95" s="96" t="n">
        <f aca="false">B92/(B85)</f>
        <v>1523.63003276235</v>
      </c>
      <c r="C95" s="93"/>
      <c r="D95" s="93"/>
      <c r="E95" s="113"/>
      <c r="F95" s="95" t="s">
        <v>119</v>
      </c>
      <c r="G95" s="96" t="n">
        <f aca="false">G92/(G85)</f>
        <v>1448.40794844583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120</v>
      </c>
      <c r="B96" s="98" t="n">
        <f aca="false">B94+B95</f>
        <v>1523.63003276235</v>
      </c>
      <c r="C96" s="93"/>
      <c r="D96" s="93"/>
      <c r="E96" s="113"/>
      <c r="F96" s="97" t="s">
        <v>120</v>
      </c>
      <c r="G96" s="98" t="n">
        <f aca="false">G94+G95</f>
        <v>1448.40794844583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124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390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396</v>
      </c>
      <c r="C108" s="107"/>
      <c r="D108" s="107" t="n">
        <v>0.0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390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397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151</v>
      </c>
      <c r="B121" s="120" t="n">
        <f aca="false">E19</f>
        <v>22050</v>
      </c>
      <c r="C121" s="121" t="n">
        <v>19791.67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155</v>
      </c>
      <c r="B125" s="132" t="n">
        <f aca="false">B121-B124</f>
        <v>22050</v>
      </c>
      <c r="C125" s="133" t="n">
        <f aca="false">C121-C124</f>
        <v>20208.33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E21</f>
        <v>18375</v>
      </c>
      <c r="H135" s="153" t="n">
        <f aca="false">C125+E125+G125+H128</f>
        <v>20208.33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3675</v>
      </c>
      <c r="H137" s="33" t="n">
        <f aca="false">(H135+H136)*20%</f>
        <v>4041.666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22050</v>
      </c>
      <c r="H141" s="157" t="n">
        <f aca="false">(H135+H136+H139+H140+H137)-H138</f>
        <v>24249.996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164" t="n">
        <f aca="false">G141-((G144*1.2)+(G145*1.2)+(G146*1.2)+(G142*1.2))</f>
        <v>22050</v>
      </c>
      <c r="H147" s="164" t="n">
        <f aca="false">H141-((H144*1.2)+(H145*1.2)+(H146*1.2)+(H142*1.2))</f>
        <v>24249.996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1833.33</v>
      </c>
      <c r="I148" s="1" t="n">
        <f aca="false">(H148-G81)/1.2</f>
        <v>-16013.8916666667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24249.996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1523.63003276235</v>
      </c>
      <c r="B167" s="177" t="n">
        <f aca="false">B94</f>
        <v>0</v>
      </c>
      <c r="C167" s="174"/>
      <c r="D167" s="174"/>
      <c r="E167" s="177" t="n">
        <f aca="false">B96</f>
        <v>1523.63003276235</v>
      </c>
      <c r="F167" s="23"/>
      <c r="G167" s="23" t="n">
        <f aca="false">ROUND(G95, 2)</f>
        <v>1448.41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20208.33</v>
      </c>
      <c r="B173" s="103" t="n">
        <f aca="false">H137</f>
        <v>4041.666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24249.996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24249.996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-290.065639614106</v>
      </c>
      <c r="B182" s="103" t="str">
        <f aca="false">B114</f>
        <v>199.99</v>
      </c>
      <c r="C182" s="103"/>
      <c r="D182" s="23"/>
      <c r="E182" s="103" t="n">
        <f aca="false">E179+A182+(B182*1.2)+A185</f>
        <v>24209.9183603859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101.04165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201.03165</v>
      </c>
      <c r="C191" s="93"/>
      <c r="D191" s="93"/>
      <c r="E191" s="103" t="n">
        <f aca="false">H148</f>
        <v>1833.33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1523.63003276235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-1117.486</v>
      </c>
      <c r="B201" s="186" t="n">
        <f aca="false">E179+A201+(B182*1.2)+A185</f>
        <v>23382.498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207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1523.63003276235</v>
      </c>
      <c r="B212" s="177" t="n">
        <f aca="false">B167</f>
        <v>0</v>
      </c>
      <c r="C212" s="174"/>
      <c r="D212" s="174"/>
      <c r="E212" s="177" t="n">
        <f aca="false">E167</f>
        <v>1523.63003276235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20208.33</v>
      </c>
      <c r="B215" s="103" t="n">
        <f aca="false">B173</f>
        <v>4041.666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24249.996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24249.996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-290.065639614106</v>
      </c>
      <c r="B224" s="103" t="str">
        <f aca="false">B182</f>
        <v>199.99</v>
      </c>
      <c r="C224" s="103"/>
      <c r="D224" s="113"/>
      <c r="E224" s="103" t="n">
        <f aca="false">E182</f>
        <v>24209.9183603859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1523.63003276235</v>
      </c>
      <c r="B230" s="103" t="n">
        <f aca="false">B167</f>
        <v>0</v>
      </c>
      <c r="C230" s="186"/>
      <c r="D230" s="186"/>
      <c r="E230" s="103" t="n">
        <f aca="false">E167</f>
        <v>1523.63003276235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209</v>
      </c>
      <c r="B232" s="93" t="s">
        <v>210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22.4424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211</v>
      </c>
      <c r="B235" s="166" t="s">
        <v>73</v>
      </c>
      <c r="C235" s="93"/>
      <c r="D235" s="93"/>
      <c r="E235" s="166" t="s">
        <v>132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7.4808</v>
      </c>
      <c r="B236" s="103" t="n">
        <f aca="false">E233+A236</f>
        <v>29.9232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1833.33</v>
      </c>
      <c r="B240" s="103" t="n">
        <f aca="false">B188</f>
        <v>101.04165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2034.36165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B63</f>
        <v>0.065</v>
      </c>
      <c r="C253" s="197"/>
      <c r="D253" s="198" t="s">
        <v>216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200" t="n">
        <f aca="false">(E182-B182)-(B201-B182-A185)</f>
        <v>837.420360385895</v>
      </c>
      <c r="C254" s="197"/>
      <c r="D254" s="198" t="s">
        <v>218</v>
      </c>
      <c r="E254" s="198"/>
      <c r="F254" s="200" t="n">
        <f aca="false">F261+F267+F269+B270+B271</f>
        <v>121.24998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</v>
      </c>
      <c r="C255" s="197"/>
      <c r="D255" s="198" t="s">
        <v>220</v>
      </c>
      <c r="E255" s="198"/>
      <c r="F255" s="200" t="n">
        <f aca="false">(B254-F254)+B255</f>
        <v>816.160380385895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0.1255</v>
      </c>
      <c r="C260" s="43"/>
      <c r="D260" s="166" t="s">
        <v>217</v>
      </c>
      <c r="E260" s="166"/>
      <c r="F260" s="146" t="n">
        <f aca="false">B254</f>
        <v>837.420360385895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0.005</v>
      </c>
      <c r="C261" s="32"/>
      <c r="D261" s="166" t="s">
        <v>223</v>
      </c>
      <c r="E261" s="166"/>
      <c r="F261" s="151" t="n">
        <f aca="false">B68</f>
        <v>121.24998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</v>
      </c>
      <c r="C263" s="32"/>
      <c r="D263" s="39" t="s">
        <v>220</v>
      </c>
      <c r="E263" s="39"/>
      <c r="F263" s="146" t="n">
        <f aca="false">(B254-F254)+B255</f>
        <v>816.160380385895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4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22050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18000.0</v>
      </c>
      <c r="C9" s="14" t="n">
        <f aca="false">B9*0.2</f>
        <v>3675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420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399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394</v>
      </c>
      <c r="C35" s="223"/>
      <c r="D35" s="223" t="s">
        <v>401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79</v>
      </c>
      <c r="H36" s="64" t="n">
        <v>0.0</v>
      </c>
      <c r="I36" s="0"/>
      <c r="J36" s="44" t="s">
        <v>51</v>
      </c>
      <c r="K36" s="52" t="n">
        <f aca="false">K32-K34</f>
        <v>21050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388</v>
      </c>
      <c r="C38" s="223"/>
      <c r="D38" s="104" t="s">
        <v>393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394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83</v>
      </c>
      <c r="B51" s="251" t="s">
        <v>84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85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86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87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88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89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91</v>
      </c>
      <c r="B65" s="65" t="n">
        <f aca="false">(B89*B59)-B53</f>
        <v>16258.9303603859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93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94</v>
      </c>
      <c r="B68" s="65" t="n">
        <f aca="false">(G158*B67)</f>
        <v>121.24998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95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96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98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99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100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101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102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104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105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106</v>
      </c>
      <c r="B81" s="27" t="n">
        <f aca="false">K36</f>
        <v>21050</v>
      </c>
      <c r="C81" s="93"/>
      <c r="D81" s="93"/>
      <c r="E81" s="113"/>
      <c r="F81" s="25" t="s">
        <v>106</v>
      </c>
      <c r="G81" s="27" t="n">
        <f aca="false">B81</f>
        <v>21050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107</v>
      </c>
      <c r="B82" s="33" t="n">
        <f aca="false">IF(A111="YES",D41,0)</f>
        <v>6000</v>
      </c>
      <c r="C82" s="93"/>
      <c r="D82" s="93"/>
      <c r="E82" s="113"/>
      <c r="F82" s="31" t="s">
        <v>107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0.1255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109</v>
      </c>
      <c r="B84" s="92" t="n">
        <f aca="false">B83/12</f>
        <v>0.0104583333333333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11</v>
      </c>
      <c r="C85" s="93"/>
      <c r="D85" s="93"/>
      <c r="E85" s="113"/>
      <c r="F85" s="31" t="s">
        <v>110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5295.78483323301</v>
      </c>
      <c r="C86" s="93" t="n">
        <f aca="false">(B82/((1+B84)^(B85+1)))</f>
        <v>5295.78483323301</v>
      </c>
      <c r="D86" s="93"/>
      <c r="E86" s="113"/>
      <c r="F86" s="31" t="s">
        <v>111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112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113</v>
      </c>
      <c r="B88" s="33" t="n">
        <f aca="false">B81-B86</f>
        <v>15754.215166767</v>
      </c>
      <c r="C88" s="93" t="n">
        <f aca="false">B81-B86</f>
        <v>15754.215166767</v>
      </c>
      <c r="D88" s="93"/>
      <c r="E88" s="113"/>
      <c r="F88" s="31" t="s">
        <v>113</v>
      </c>
      <c r="G88" s="33" t="n">
        <f aca="false">G81-G86</f>
        <v>15426.6089154658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114</v>
      </c>
      <c r="B89" s="33" t="n">
        <f aca="false">(B88/B87)</f>
        <v>1523.63003276235</v>
      </c>
      <c r="C89" s="93" t="n">
        <f aca="false">(B88/B87)</f>
        <v>1523.63003276235</v>
      </c>
      <c r="D89" s="93"/>
      <c r="E89" s="113"/>
      <c r="F89" s="31" t="s">
        <v>114</v>
      </c>
      <c r="G89" s="33" t="n">
        <f aca="false">(G88/G87)</f>
        <v>1448.40794844583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16759.9303603859</v>
      </c>
      <c r="C90" s="93"/>
      <c r="D90" s="93"/>
      <c r="E90" s="113"/>
      <c r="F90" s="31" t="s">
        <v>115</v>
      </c>
      <c r="G90" s="33" t="n">
        <f aca="false">((G89*(G85))+G77)</f>
        <v>15932.4874329041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117</v>
      </c>
      <c r="B92" s="65" t="n">
        <f aca="false">(B90+B91)</f>
        <v>16759.9303603859</v>
      </c>
      <c r="C92" s="93"/>
      <c r="D92" s="93"/>
      <c r="E92" s="113"/>
      <c r="F92" s="56" t="s">
        <v>117</v>
      </c>
      <c r="G92" s="65" t="n">
        <f aca="false">(G90+G91)</f>
        <v>15932.4874329041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118</v>
      </c>
      <c r="B94" s="94" t="str">
        <f aca="false">IF(B38="YES",((H36/B85)*(1+A108)*1.2),"0")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119</v>
      </c>
      <c r="B95" s="96" t="n">
        <f aca="false">B92/(B85)</f>
        <v>1523.63003276235</v>
      </c>
      <c r="C95" s="93"/>
      <c r="D95" s="93"/>
      <c r="E95" s="113"/>
      <c r="F95" s="95" t="s">
        <v>119</v>
      </c>
      <c r="G95" s="96" t="n">
        <f aca="false">G92/(G85)</f>
        <v>1448.40794844583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120</v>
      </c>
      <c r="B96" s="98" t="n">
        <f aca="false">B94+B95</f>
        <v>1523.63003276235</v>
      </c>
      <c r="C96" s="93"/>
      <c r="D96" s="93"/>
      <c r="E96" s="113"/>
      <c r="F96" s="97" t="s">
        <v>120</v>
      </c>
      <c r="G96" s="98" t="n">
        <f aca="false">G94+G95</f>
        <v>1448.40794844583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388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406</v>
      </c>
      <c r="C108" s="107"/>
      <c r="D108" s="107" t="n">
        <v>0.0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390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389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151</v>
      </c>
      <c r="B121" s="120" t="n">
        <f aca="false">E19</f>
        <v>22050</v>
      </c>
      <c r="C121" s="121" t="n">
        <v>19791.67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155</v>
      </c>
      <c r="B125" s="132" t="n">
        <f aca="false">B121-B124</f>
        <v>22050</v>
      </c>
      <c r="C125" s="133" t="n">
        <f aca="false">C121-C124</f>
        <v>20208.33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E21</f>
        <v>18375</v>
      </c>
      <c r="H135" s="153" t="n">
        <f aca="false">C125+E125+G125+H128</f>
        <v>20208.33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3675</v>
      </c>
      <c r="H137" s="33" t="n">
        <f aca="false">(H135+H136)*20%</f>
        <v>4041.666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22050</v>
      </c>
      <c r="H141" s="157" t="n">
        <f aca="false">(H135+H136+H139+H140+H137)-H138</f>
        <v>24249.996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164" t="n">
        <f aca="false">G141-((G144*1.2)+(G145*1.2)+(G146*1.2)+(G142*1.2))</f>
        <v>22050</v>
      </c>
      <c r="H147" s="164" t="n">
        <f aca="false">H141-((H144*1.2)+(H145*1.2)+(H146*1.2)+(H142*1.2))</f>
        <v>24249.996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1833.33</v>
      </c>
      <c r="I148" s="1" t="n">
        <f aca="false">(H148-G81)/1.2</f>
        <v>-16013.8916666667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24249.996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1523.63003276235</v>
      </c>
      <c r="B167" s="177" t="str">
        <f aca="false">B94</f>
        <v>0</v>
      </c>
      <c r="C167" s="174"/>
      <c r="D167" s="174"/>
      <c r="E167" s="177" t="n">
        <f aca="false">B96</f>
        <v>1523.63003276235</v>
      </c>
      <c r="F167" s="23"/>
      <c r="G167" s="23" t="n">
        <f aca="false">ROUND(G95, 2)</f>
        <v>1448.41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20208.33</v>
      </c>
      <c r="B173" s="103" t="n">
        <f aca="false">H137</f>
        <v>4041.666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24249.996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24249.996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-1490.06563961411</v>
      </c>
      <c r="B182" s="103" t="str">
        <f aca="false">B114</f>
        <v>239.99</v>
      </c>
      <c r="C182" s="103"/>
      <c r="D182" s="23"/>
      <c r="E182" s="103" t="n">
        <f aca="false">E179+A182+B182+A185</f>
        <v>23009.9203603859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101.04165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201.033316666667</v>
      </c>
      <c r="C191" s="93"/>
      <c r="D191" s="93"/>
      <c r="E191" s="103" t="n">
        <f aca="false">H148</f>
        <v>1833.33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1523.63003276235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-2317.486</v>
      </c>
      <c r="B201" s="186" t="n">
        <f aca="false">E179+A201+B182+A185</f>
        <v>22182.5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1523.63003276235</v>
      </c>
      <c r="B212" s="177" t="str">
        <f aca="false">B167</f>
        <v>0</v>
      </c>
      <c r="C212" s="174"/>
      <c r="D212" s="174"/>
      <c r="E212" s="177" t="n">
        <f aca="false">E167</f>
        <v>1523.63003276235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20208.33</v>
      </c>
      <c r="B215" s="103" t="n">
        <f aca="false">B173</f>
        <v>4041.666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24249.996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24249.996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-1490.06563961411</v>
      </c>
      <c r="B224" s="103" t="str">
        <f aca="false">B182</f>
        <v>239.99</v>
      </c>
      <c r="C224" s="103"/>
      <c r="D224" s="113"/>
      <c r="E224" s="103" t="n">
        <f aca="false">E182</f>
        <v>23009.9203603859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1523.63003276235</v>
      </c>
      <c r="B230" s="103" t="str">
        <f aca="false">B167</f>
        <v>0</v>
      </c>
      <c r="C230" s="186"/>
      <c r="D230" s="186"/>
      <c r="E230" s="103" t="n">
        <f aca="false">E167</f>
        <v>1523.63003276235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188</v>
      </c>
      <c r="B232" s="93" t="s">
        <v>210</v>
      </c>
      <c r="C232" s="93"/>
      <c r="D232" s="93"/>
      <c r="E232" s="93" t="s">
        <v>211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8.97696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132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1833.33</v>
      </c>
      <c r="B240" s="103" t="n">
        <f aca="false">B188</f>
        <v>101.04165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2034.36331666667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B63</f>
        <v>0.065</v>
      </c>
      <c r="C253" s="197"/>
      <c r="D253" s="198" t="s">
        <v>216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837.420360385895</v>
      </c>
      <c r="C254" s="197"/>
      <c r="D254" s="198" t="s">
        <v>218</v>
      </c>
      <c r="E254" s="198"/>
      <c r="F254" s="200" t="n">
        <f aca="false">F261+F267+F269+B270+B271</f>
        <v>121.24998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99.9916666666667</v>
      </c>
      <c r="C255" s="197"/>
      <c r="D255" s="198" t="s">
        <v>220</v>
      </c>
      <c r="E255" s="198"/>
      <c r="F255" s="200" t="n">
        <f aca="false">(B254-F254)+B255</f>
        <v>816.162047052562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0.1255</v>
      </c>
      <c r="C260" s="43"/>
      <c r="D260" s="166" t="s">
        <v>217</v>
      </c>
      <c r="E260" s="166"/>
      <c r="F260" s="146" t="n">
        <f aca="false">B254</f>
        <v>837.420360385895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0.005</v>
      </c>
      <c r="C261" s="32"/>
      <c r="D261" s="166" t="s">
        <v>223</v>
      </c>
      <c r="E261" s="166"/>
      <c r="F261" s="151" t="n">
        <f aca="false">B68</f>
        <v>121.24998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99.9916666666667</v>
      </c>
      <c r="C263" s="32"/>
      <c r="D263" s="39" t="s">
        <v>220</v>
      </c>
      <c r="E263" s="39"/>
      <c r="F263" s="146" t="n">
        <f aca="false">(B254-F254)+B255</f>
        <v>816.162047052562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1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22050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18000.0</v>
      </c>
      <c r="C9" s="14" t="n">
        <f aca="false">B9*0.2</f>
        <v>3675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263" t="s">
        <v>420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399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394</v>
      </c>
      <c r="C35" s="223"/>
      <c r="D35" s="223" t="s">
        <v>401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79</v>
      </c>
      <c r="H36" s="64" t="n">
        <v>0.0</v>
      </c>
      <c r="I36" s="0"/>
      <c r="J36" s="44" t="s">
        <v>51</v>
      </c>
      <c r="K36" s="52" t="n">
        <f aca="false">K32-K34</f>
        <v>21050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388</v>
      </c>
      <c r="C38" s="223"/>
      <c r="D38" s="104" t="s">
        <v>393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394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83</v>
      </c>
      <c r="B51" s="251" t="s">
        <v>84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85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86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87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88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89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91</v>
      </c>
      <c r="B65" s="65" t="n">
        <f aca="false">(B89*B59)-B53</f>
        <v>16561.2666853322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93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94</v>
      </c>
      <c r="B68" s="65" t="n">
        <f aca="false">(G158*B67)</f>
        <v>121.24998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95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96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98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99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100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101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102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104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105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106</v>
      </c>
      <c r="B81" s="27" t="n">
        <f aca="false">K36</f>
        <v>21050</v>
      </c>
      <c r="C81" s="93"/>
      <c r="D81" s="93"/>
      <c r="E81" s="113"/>
      <c r="F81" s="25" t="s">
        <v>106</v>
      </c>
      <c r="G81" s="27" t="n">
        <f aca="false">B81</f>
        <v>21050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107</v>
      </c>
      <c r="B82" s="33" t="n">
        <f aca="false">IF(A111="YES",D41,0)</f>
        <v>6000</v>
      </c>
      <c r="C82" s="93"/>
      <c r="D82" s="93"/>
      <c r="E82" s="113"/>
      <c r="F82" s="31" t="s">
        <v>107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0.1475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109</v>
      </c>
      <c r="B84" s="92" t="n">
        <f aca="false">B83/12</f>
        <v>0.0122916666666667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11</v>
      </c>
      <c r="C85" s="93"/>
      <c r="D85" s="93"/>
      <c r="E85" s="113"/>
      <c r="F85" s="31" t="s">
        <v>110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5181.83177930431</v>
      </c>
      <c r="C86" s="93" t="n">
        <f aca="false">(B82/((1+B84)^(B85+1)))</f>
        <v>5181.83177930431</v>
      </c>
      <c r="D86" s="93"/>
      <c r="E86" s="113"/>
      <c r="F86" s="31" t="s">
        <v>111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10.2301677524304</v>
      </c>
      <c r="C87" s="93" t="n">
        <f aca="false">((1-(1/((1+B84)^B85)))/B84)</f>
        <v>10.2301677524304</v>
      </c>
      <c r="D87" s="93"/>
      <c r="E87" s="113"/>
      <c r="F87" s="31" t="s">
        <v>112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113</v>
      </c>
      <c r="B88" s="33" t="n">
        <f aca="false">B81-B86</f>
        <v>15868.1682206957</v>
      </c>
      <c r="C88" s="93" t="n">
        <f aca="false">B81-B86</f>
        <v>15868.1682206957</v>
      </c>
      <c r="D88" s="93"/>
      <c r="E88" s="113"/>
      <c r="F88" s="31" t="s">
        <v>113</v>
      </c>
      <c r="G88" s="33" t="n">
        <f aca="false">G81-G86</f>
        <v>15426.6089154658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114</v>
      </c>
      <c r="B89" s="33" t="n">
        <f aca="false">(B88/B87)</f>
        <v>1551.11515321202</v>
      </c>
      <c r="C89" s="93" t="n">
        <f aca="false">(B88/B87)</f>
        <v>1551.11515321202</v>
      </c>
      <c r="D89" s="93"/>
      <c r="E89" s="113"/>
      <c r="F89" s="31" t="s">
        <v>114</v>
      </c>
      <c r="G89" s="33" t="n">
        <f aca="false">(G88/G87)</f>
        <v>1448.40794844583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17062.2666853322</v>
      </c>
      <c r="C90" s="93"/>
      <c r="D90" s="93"/>
      <c r="E90" s="113"/>
      <c r="F90" s="31" t="s">
        <v>115</v>
      </c>
      <c r="G90" s="33" t="n">
        <f aca="false">((G89*(G85))+G77)</f>
        <v>15932.4874329041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117</v>
      </c>
      <c r="B92" s="65" t="n">
        <f aca="false">(B90+B91)</f>
        <v>17062.2666853322</v>
      </c>
      <c r="C92" s="93"/>
      <c r="D92" s="93"/>
      <c r="E92" s="113"/>
      <c r="F92" s="56" t="s">
        <v>117</v>
      </c>
      <c r="G92" s="65" t="n">
        <f aca="false">(G90+G91)</f>
        <v>15932.4874329041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118</v>
      </c>
      <c r="B94" s="94" t="str">
        <f aca="false">IF(B38="YES",((H36/B85)*(1+A108)),"0")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119</v>
      </c>
      <c r="B95" s="96" t="n">
        <f aca="false">B92/(B85)</f>
        <v>1551.11515321202</v>
      </c>
      <c r="C95" s="93"/>
      <c r="D95" s="93"/>
      <c r="E95" s="113"/>
      <c r="F95" s="95" t="s">
        <v>119</v>
      </c>
      <c r="G95" s="96" t="n">
        <f aca="false">G92/(G85)</f>
        <v>1448.40794844583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120</v>
      </c>
      <c r="B96" s="98" t="n">
        <f aca="false">B94+B95</f>
        <v>1551.11515321202</v>
      </c>
      <c r="C96" s="93"/>
      <c r="D96" s="93"/>
      <c r="E96" s="113"/>
      <c r="F96" s="97" t="s">
        <v>120</v>
      </c>
      <c r="G96" s="98" t="n">
        <f aca="false">G94+G95</f>
        <v>1448.40794844583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388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396</v>
      </c>
      <c r="C108" s="107"/>
      <c r="D108" s="107" t="n">
        <v>0.0</v>
      </c>
      <c r="E108" s="108" t="n">
        <f aca="false">B83</f>
        <v>0.1475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390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397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151</v>
      </c>
      <c r="B121" s="120" t="n">
        <f aca="false">E19</f>
        <v>22050</v>
      </c>
      <c r="C121" s="121" t="n">
        <v>19791.67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155</v>
      </c>
      <c r="B125" s="132" t="n">
        <f aca="false">B121-B124</f>
        <v>22050</v>
      </c>
      <c r="C125" s="133" t="n">
        <f aca="false">C121-C124</f>
        <v>20208.33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E21</f>
        <v>18375</v>
      </c>
      <c r="H135" s="153" t="n">
        <f aca="false">C125+E125+G125+H128</f>
        <v>20208.33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3675</v>
      </c>
      <c r="H137" s="33" t="n">
        <f aca="false">(H135+H136)*20%</f>
        <v>4041.666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22050</v>
      </c>
      <c r="H141" s="157" t="n">
        <f aca="false">(H135+H136+H139+H140+H137)-H138</f>
        <v>24249.996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164" t="n">
        <f aca="false">G141-((G144*1.2)+(G145*1.2)+(G146*1.2)+(G142*1.2))</f>
        <v>22050</v>
      </c>
      <c r="H147" s="164" t="n">
        <f aca="false">H141-((H144*1.2)+(H145*1.2)+(H146*1.2)+(H142*1.2))</f>
        <v>24249.996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1833.33</v>
      </c>
      <c r="I148" s="1" t="n">
        <f aca="false">(H148-G81)/1.2</f>
        <v>-16013.8916666667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24249.996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1551.11515321202</v>
      </c>
      <c r="B167" s="177" t="str">
        <f aca="false">B94</f>
        <v>0</v>
      </c>
      <c r="C167" s="174"/>
      <c r="D167" s="174"/>
      <c r="E167" s="177" t="n">
        <f aca="false">B96</f>
        <v>1551.11515321202</v>
      </c>
      <c r="F167" s="23"/>
      <c r="G167" s="23" t="n">
        <f aca="false">ROUND(G95, 2)</f>
        <v>1448.41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20208.33</v>
      </c>
      <c r="B173" s="103" t="n">
        <f aca="false">H137</f>
        <v>4041.666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24249.996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24249.996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-1187.72931466777</v>
      </c>
      <c r="B182" s="103" t="str">
        <f aca="false">B114</f>
        <v>199.99</v>
      </c>
      <c r="C182" s="103"/>
      <c r="D182" s="23"/>
      <c r="E182" s="103" t="n">
        <f aca="false">E179+A182+(B182*1.2)+A185</f>
        <v>23312.2546853322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101.04165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201.03165</v>
      </c>
      <c r="C191" s="93"/>
      <c r="D191" s="93"/>
      <c r="E191" s="103" t="n">
        <f aca="false">H148</f>
        <v>1833.33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1551.11515321202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-2317.486</v>
      </c>
      <c r="B201" s="186" t="n">
        <f aca="false">E179+A201+(B182*1.2)+A185</f>
        <v>22182.498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1551.11515321202</v>
      </c>
      <c r="B212" s="177" t="str">
        <f aca="false">B167</f>
        <v>0</v>
      </c>
      <c r="C212" s="174"/>
      <c r="D212" s="174"/>
      <c r="E212" s="177" t="n">
        <f aca="false">E167</f>
        <v>1551.11515321202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20208.33</v>
      </c>
      <c r="B215" s="103" t="n">
        <f aca="false">B173</f>
        <v>4041.666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24249.996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24249.996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-1187.72931466777</v>
      </c>
      <c r="B224" s="103" t="str">
        <f aca="false">B182</f>
        <v>199.99</v>
      </c>
      <c r="C224" s="103"/>
      <c r="D224" s="113"/>
      <c r="E224" s="103" t="n">
        <f aca="false">E182</f>
        <v>23312.2546853322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1551.11515321202</v>
      </c>
      <c r="B230" s="103" t="str">
        <f aca="false">B167</f>
        <v>0</v>
      </c>
      <c r="C230" s="186"/>
      <c r="D230" s="186"/>
      <c r="E230" s="103" t="n">
        <f aca="false">E167</f>
        <v>1551.11515321202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188</v>
      </c>
      <c r="B232" s="93" t="s">
        <v>210</v>
      </c>
      <c r="C232" s="93"/>
      <c r="D232" s="93"/>
      <c r="E232" s="93" t="s">
        <v>211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7.4808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132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1833.33</v>
      </c>
      <c r="B240" s="103" t="n">
        <f aca="false">B188</f>
        <v>101.04165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2034.36165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B63</f>
        <v>0.065</v>
      </c>
      <c r="C253" s="197"/>
      <c r="D253" s="198" t="s">
        <v>216</v>
      </c>
      <c r="E253" s="198"/>
      <c r="F253" s="196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200" t="n">
        <f aca="false">(E182-B182)-(B201-B182-A185)</f>
        <v>1139.75668533223</v>
      </c>
      <c r="C254" s="197"/>
      <c r="D254" s="198" t="s">
        <v>218</v>
      </c>
      <c r="E254" s="198"/>
      <c r="F254" s="200" t="n">
        <f aca="false">F261+F267+F269+B270+B271</f>
        <v>121.24998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</v>
      </c>
      <c r="C255" s="197"/>
      <c r="D255" s="198" t="s">
        <v>220</v>
      </c>
      <c r="E255" s="198"/>
      <c r="F255" s="200" t="n">
        <f aca="false">(B254-F254)+B255</f>
        <v>1118.49670533223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0.072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0.1475</v>
      </c>
      <c r="C260" s="43"/>
      <c r="D260" s="166" t="s">
        <v>217</v>
      </c>
      <c r="E260" s="166"/>
      <c r="F260" s="146" t="n">
        <f aca="false">B254</f>
        <v>1139.75668533223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0.005</v>
      </c>
      <c r="C261" s="32"/>
      <c r="D261" s="166" t="s">
        <v>223</v>
      </c>
      <c r="E261" s="166"/>
      <c r="F261" s="151" t="n">
        <f aca="false">B68</f>
        <v>121.24998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</v>
      </c>
      <c r="C263" s="32"/>
      <c r="D263" s="39" t="s">
        <v>220</v>
      </c>
      <c r="E263" s="39"/>
      <c r="F263" s="146" t="n">
        <f aca="false">(B254-F254)+B255</f>
        <v>1118.49670533223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3" colorId="64" zoomScale="85" zoomScaleNormal="85" zoomScalePageLayoutView="100" workbookViewId="0">
      <selection pane="topLeft" activeCell="A36" activeCellId="0" sqref="A3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45302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E19</f>
        <v>22050</v>
      </c>
      <c r="B35" s="223" t="s">
        <v>399</v>
      </c>
      <c r="C35" s="223"/>
      <c r="D35" s="279" t="n">
        <f aca="false">A35-B35</f>
        <v>21050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394</v>
      </c>
      <c r="B38" s="241" t="n">
        <f aca="false">A32-1</f>
        <v>11</v>
      </c>
      <c r="C38" s="241"/>
      <c r="D38" s="104" t="s">
        <v>393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3675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408</v>
      </c>
      <c r="B41" s="104" t="s">
        <v>411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118</v>
      </c>
      <c r="B43" s="240" t="s">
        <v>67</v>
      </c>
      <c r="C43" s="230" t="s">
        <v>335</v>
      </c>
      <c r="D43" s="240" t="s">
        <v>211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0.0</v>
      </c>
      <c r="B44" s="104" t="s">
        <v>409</v>
      </c>
      <c r="C44" s="104"/>
      <c r="D44" s="104" t="n">
        <v>0.0</v>
      </c>
      <c r="E44" s="104"/>
      <c r="F44" s="388"/>
      <c r="G44" s="2" t="s">
        <v>65</v>
      </c>
      <c r="H44" s="2" t="n">
        <f aca="false">((H40-(((H42/(1.2))*0.2)))/(H43))</f>
        <v>222.916666666667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277.083333333333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337</v>
      </c>
      <c r="B46" s="230" t="s">
        <v>338</v>
      </c>
      <c r="C46" s="230" t="s">
        <v>4</v>
      </c>
      <c r="D46" s="230"/>
      <c r="E46" s="243"/>
      <c r="F46" s="388" t="n">
        <v>0</v>
      </c>
      <c r="G46" s="2" t="s">
        <v>71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337</v>
      </c>
      <c r="B47" s="230"/>
      <c r="C47" s="230"/>
      <c r="D47" s="230"/>
      <c r="E47" s="243"/>
      <c r="F47" s="388"/>
      <c r="G47" s="2" t="s">
        <v>72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74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75</v>
      </c>
      <c r="H49" s="2" t="n">
        <f aca="false">H45+H48+H47</f>
        <v>279.75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30"/>
      <c r="E50" s="243"/>
      <c r="F50" s="388"/>
      <c r="G50" s="2" t="s">
        <v>339</v>
      </c>
      <c r="H50" s="2" t="n">
        <f aca="false">H49-H41</f>
        <v>279.75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279.75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337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279.75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85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85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85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86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86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86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22050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91</v>
      </c>
      <c r="B70" s="133" t="n">
        <f aca="false">B67*B69</f>
        <v>2618.28</v>
      </c>
      <c r="C70" s="317" t="n">
        <v>10000.0</v>
      </c>
      <c r="D70" s="32" t="n">
        <f aca="false">B70-A149</f>
        <v>2618.28</v>
      </c>
      <c r="E70" s="318" t="n">
        <f aca="false">D70/12</f>
        <v>218.19</v>
      </c>
      <c r="F70" s="388"/>
      <c r="G70" s="366" t="s">
        <v>91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91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92</v>
      </c>
      <c r="B71" s="293" t="n">
        <v>0.005</v>
      </c>
      <c r="C71" s="317"/>
      <c r="D71" s="317"/>
      <c r="E71" s="318"/>
      <c r="F71" s="388"/>
      <c r="G71" s="399" t="s">
        <v>92</v>
      </c>
      <c r="H71" s="400" t="n">
        <v>0.005</v>
      </c>
      <c r="I71" s="317"/>
      <c r="J71" s="317"/>
      <c r="K71" s="318"/>
      <c r="L71" s="388"/>
      <c r="M71" s="399" t="s">
        <v>92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93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93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94</v>
      </c>
      <c r="B73" s="133" t="n">
        <f aca="false">B66*B72</f>
        <v>220.5</v>
      </c>
      <c r="C73" s="317"/>
      <c r="D73" s="32"/>
      <c r="E73" s="318"/>
      <c r="F73" s="388"/>
      <c r="G73" s="366" t="s">
        <v>94</v>
      </c>
      <c r="H73" s="65" t="n">
        <f aca="false">H67*H72</f>
        <v>187.02</v>
      </c>
      <c r="I73" s="317"/>
      <c r="J73" s="32"/>
      <c r="K73" s="318"/>
      <c r="L73" s="388"/>
      <c r="M73" s="366" t="s">
        <v>94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95</v>
      </c>
      <c r="B74" s="400" t="n">
        <v>0.0075</v>
      </c>
      <c r="C74" s="317"/>
      <c r="D74" s="317"/>
      <c r="E74" s="318"/>
      <c r="F74" s="388"/>
      <c r="G74" s="399" t="s">
        <v>95</v>
      </c>
      <c r="H74" s="400" t="n">
        <v>0.0075</v>
      </c>
      <c r="I74" s="317"/>
      <c r="J74" s="317"/>
      <c r="K74" s="318"/>
      <c r="L74" s="388"/>
      <c r="M74" s="399" t="s">
        <v>95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96</v>
      </c>
      <c r="B75" s="402" t="n">
        <v>0.12</v>
      </c>
      <c r="C75" s="317"/>
      <c r="D75" s="317"/>
      <c r="E75" s="318"/>
      <c r="F75" s="388"/>
      <c r="G75" s="401" t="s">
        <v>96</v>
      </c>
      <c r="H75" s="402" t="n">
        <v>0.12</v>
      </c>
      <c r="I75" s="317"/>
      <c r="J75" s="317"/>
      <c r="K75" s="318"/>
      <c r="L75" s="388"/>
      <c r="M75" s="401" t="s">
        <v>96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97</v>
      </c>
      <c r="B76" s="403" t="n">
        <f aca="false">B74*(1+B75)</f>
        <v>0.0084</v>
      </c>
      <c r="C76" s="317"/>
      <c r="D76" s="317"/>
      <c r="E76" s="318"/>
      <c r="F76" s="388"/>
      <c r="G76" s="366" t="s">
        <v>97</v>
      </c>
      <c r="H76" s="403" t="n">
        <f aca="false">H74*(1+H75)</f>
        <v>0.0084</v>
      </c>
      <c r="I76" s="317"/>
      <c r="J76" s="317"/>
      <c r="K76" s="318"/>
      <c r="L76" s="388"/>
      <c r="M76" s="366" t="s">
        <v>97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98</v>
      </c>
      <c r="B77" s="86" t="n">
        <v>160.0</v>
      </c>
      <c r="C77" s="317"/>
      <c r="D77" s="317"/>
      <c r="E77" s="318"/>
      <c r="F77" s="388"/>
      <c r="G77" s="399" t="s">
        <v>98</v>
      </c>
      <c r="H77" s="86" t="n">
        <v>160</v>
      </c>
      <c r="I77" s="317"/>
      <c r="J77" s="317"/>
      <c r="K77" s="318"/>
      <c r="L77" s="388"/>
      <c r="M77" s="399" t="s">
        <v>98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99</v>
      </c>
      <c r="B78" s="77" t="n">
        <v>4.5</v>
      </c>
      <c r="C78" s="317"/>
      <c r="D78" s="317"/>
      <c r="E78" s="318"/>
      <c r="F78" s="388"/>
      <c r="G78" s="401" t="s">
        <v>99</v>
      </c>
      <c r="H78" s="77" t="n">
        <v>4.5</v>
      </c>
      <c r="I78" s="317"/>
      <c r="J78" s="317"/>
      <c r="K78" s="318"/>
      <c r="L78" s="388"/>
      <c r="M78" s="401" t="s">
        <v>99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100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100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100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180.0</v>
      </c>
      <c r="C80" s="317"/>
      <c r="D80" s="317"/>
      <c r="E80" s="404" t="n">
        <f aca="false">E79+D82</f>
        <v>838.75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0.0</v>
      </c>
      <c r="C81" s="317"/>
      <c r="D81" s="317"/>
      <c r="E81" s="318" t="n">
        <f aca="false">E80/12</f>
        <v>69.8958333333333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178.75</v>
      </c>
      <c r="C82" s="317"/>
      <c r="D82" s="32" t="n">
        <f aca="false">IF(A50="YES", 0, B82)</f>
        <v>178.75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340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101</v>
      </c>
      <c r="B85" s="77" t="n">
        <v>300.0</v>
      </c>
      <c r="C85" s="317"/>
      <c r="D85" s="32" t="n">
        <f aca="false">B85</f>
        <v>200</v>
      </c>
      <c r="E85" s="318"/>
      <c r="F85" s="388"/>
      <c r="G85" s="401" t="s">
        <v>101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101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102</v>
      </c>
      <c r="B86" s="87" t="n">
        <v>100.0</v>
      </c>
      <c r="C86" s="317"/>
      <c r="D86" s="32" t="n">
        <f aca="false">B86</f>
        <v>200</v>
      </c>
      <c r="E86" s="318"/>
      <c r="F86" s="388"/>
      <c r="G86" s="411" t="s">
        <v>102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102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103</v>
      </c>
      <c r="B87" s="413" t="n">
        <f aca="false">SUM(D70:D86)</f>
        <v>4123.69666666667</v>
      </c>
      <c r="C87" s="317"/>
      <c r="D87" s="317"/>
      <c r="E87" s="318"/>
      <c r="F87" s="388"/>
      <c r="G87" s="412" t="s">
        <v>103</v>
      </c>
      <c r="H87" s="413" t="n">
        <f aca="false">SUM(J70:J86)</f>
        <v>5744.78</v>
      </c>
      <c r="I87" s="317"/>
      <c r="J87" s="317"/>
      <c r="K87" s="318"/>
      <c r="L87" s="388"/>
      <c r="M87" s="412" t="s">
        <v>103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104</v>
      </c>
      <c r="B88" s="33" t="n">
        <f aca="false">B87/H29</f>
        <v>343.641388888889</v>
      </c>
      <c r="C88" s="317"/>
      <c r="D88" s="317"/>
      <c r="E88" s="318"/>
      <c r="F88" s="388"/>
      <c r="G88" s="316" t="s">
        <v>104</v>
      </c>
      <c r="H88" s="33" t="n">
        <f aca="false">H87/H29</f>
        <v>478.731666666667</v>
      </c>
      <c r="I88" s="317"/>
      <c r="J88" s="317"/>
      <c r="K88" s="318"/>
      <c r="L88" s="388"/>
      <c r="M88" s="316" t="s">
        <v>104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105</v>
      </c>
      <c r="B89" s="59" t="n">
        <f aca="false">H50</f>
        <v>279.75</v>
      </c>
      <c r="C89" s="317"/>
      <c r="D89" s="317"/>
      <c r="E89" s="318"/>
      <c r="F89" s="388"/>
      <c r="G89" s="414" t="s">
        <v>105</v>
      </c>
      <c r="H89" s="59" t="n">
        <f aca="false">H46</f>
        <v>0</v>
      </c>
      <c r="I89" s="317"/>
      <c r="J89" s="317"/>
      <c r="K89" s="318"/>
      <c r="L89" s="388"/>
      <c r="M89" s="414" t="s">
        <v>105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115</v>
      </c>
      <c r="B91" s="27" t="n">
        <f aca="false">((B89*H29)+B87)*1.2</f>
        <v>8976.836</v>
      </c>
      <c r="C91" s="317"/>
      <c r="D91" s="317"/>
      <c r="E91" s="318"/>
      <c r="F91" s="388"/>
      <c r="G91" s="396" t="s">
        <v>115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115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116</v>
      </c>
      <c r="B92" s="33" t="n">
        <f aca="false">(((B89*H29)+B87)/(1-B76))*B76</f>
        <v>63.3701613553852</v>
      </c>
      <c r="C92" s="317"/>
      <c r="D92" s="317"/>
      <c r="E92" s="415"/>
      <c r="F92" s="388"/>
      <c r="G92" s="316" t="s">
        <v>116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116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117</v>
      </c>
      <c r="B93" s="65" t="n">
        <f aca="false">IF(B116="YES",((B91+B92)-E120),(B91+B92))</f>
        <v>9040.20616135539</v>
      </c>
      <c r="C93" s="317"/>
      <c r="D93" s="317"/>
      <c r="E93" s="318"/>
      <c r="F93" s="388"/>
      <c r="G93" s="366" t="s">
        <v>117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117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118</v>
      </c>
      <c r="B95" s="413" t="n">
        <f aca="false">IF(B105=Z104,(((H41*A32)+(H41*A32)*(B111/100))/(B64)),(((H41*A32)+(H41*A32)*(B111/100))/(B63+B64)))*1.2</f>
        <v>0</v>
      </c>
      <c r="C95" s="317"/>
      <c r="D95" s="317"/>
      <c r="E95" s="318"/>
      <c r="F95" s="388"/>
      <c r="G95" s="412" t="s">
        <v>118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118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119</v>
      </c>
      <c r="B96" s="417" t="n">
        <f aca="false">IF(B105=Z104, (B93-D111)/(B64), B93/(B63+B64))</f>
        <v>753.350513446282</v>
      </c>
      <c r="C96" s="317"/>
      <c r="D96" s="317"/>
      <c r="E96" s="318"/>
      <c r="F96" s="388"/>
      <c r="G96" s="416" t="s">
        <v>119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119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120</v>
      </c>
      <c r="B97" s="419" t="n">
        <f aca="false">IF(A111="YES", B96+B95, B96)</f>
        <v>753.350513446282</v>
      </c>
      <c r="C97" s="317"/>
      <c r="D97" s="420"/>
      <c r="E97" s="318"/>
      <c r="F97" s="388"/>
      <c r="G97" s="418" t="s">
        <v>120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120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332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341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388"/>
      <c r="G102" s="217" t="s">
        <v>126</v>
      </c>
      <c r="H102" s="217"/>
      <c r="I102" s="217"/>
      <c r="J102" s="217"/>
      <c r="K102" s="217"/>
      <c r="L102" s="388"/>
      <c r="M102" s="217" t="s">
        <v>126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130</v>
      </c>
    </row>
    <row r="104" customFormat="false" ht="18.75" hidden="false" customHeight="true" outlineLevel="0" collapsed="false">
      <c r="A104" s="316" t="s">
        <v>127</v>
      </c>
      <c r="B104" s="317" t="s">
        <v>23</v>
      </c>
      <c r="C104" s="317"/>
      <c r="D104" s="317" t="s">
        <v>285</v>
      </c>
      <c r="E104" s="318"/>
      <c r="F104" s="388"/>
      <c r="G104" s="316" t="s">
        <v>127</v>
      </c>
      <c r="H104" s="317" t="s">
        <v>23</v>
      </c>
      <c r="I104" s="317"/>
      <c r="J104" s="317" t="s">
        <v>285</v>
      </c>
      <c r="K104" s="318"/>
      <c r="L104" s="388"/>
      <c r="M104" s="316" t="s">
        <v>127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130</v>
      </c>
      <c r="C105" s="312"/>
      <c r="D105" s="421" t="n">
        <v>1000.0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287</v>
      </c>
      <c r="B107" s="317" t="s">
        <v>288</v>
      </c>
      <c r="C107" s="317"/>
      <c r="D107" s="317" t="s">
        <v>289</v>
      </c>
      <c r="E107" s="318"/>
      <c r="F107" s="388"/>
      <c r="G107" s="316" t="s">
        <v>287</v>
      </c>
      <c r="H107" s="317" t="s">
        <v>288</v>
      </c>
      <c r="I107" s="317"/>
      <c r="J107" s="317" t="s">
        <v>289</v>
      </c>
      <c r="K107" s="318"/>
      <c r="L107" s="388"/>
      <c r="M107" s="316" t="s">
        <v>287</v>
      </c>
      <c r="N107" s="317" t="s">
        <v>288</v>
      </c>
      <c r="O107" s="317"/>
      <c r="P107" s="317" t="s">
        <v>289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128</v>
      </c>
      <c r="B110" s="388" t="s">
        <v>131</v>
      </c>
      <c r="C110" s="317"/>
      <c r="D110" s="317" t="s">
        <v>142</v>
      </c>
      <c r="E110" s="318"/>
      <c r="F110" s="388"/>
      <c r="G110" s="374" t="s">
        <v>128</v>
      </c>
      <c r="H110" s="388" t="s">
        <v>131</v>
      </c>
      <c r="I110" s="317"/>
      <c r="J110" s="317" t="s">
        <v>142</v>
      </c>
      <c r="K110" s="318"/>
      <c r="L110" s="388"/>
      <c r="M110" s="374" t="s">
        <v>128</v>
      </c>
      <c r="N110" s="388" t="s">
        <v>131</v>
      </c>
      <c r="O110" s="317"/>
      <c r="P110" s="317" t="s">
        <v>142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388</v>
      </c>
      <c r="B111" s="312" t="n">
        <v>0.0</v>
      </c>
      <c r="C111" s="312"/>
      <c r="D111" s="107" t="n">
        <v>200.0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342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388"/>
      <c r="G114" s="217" t="s">
        <v>290</v>
      </c>
      <c r="H114" s="217"/>
      <c r="I114" s="217"/>
      <c r="J114" s="217"/>
      <c r="K114" s="217"/>
      <c r="L114" s="388"/>
      <c r="M114" s="217" t="s">
        <v>290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291</v>
      </c>
      <c r="B116" s="389" t="s">
        <v>388</v>
      </c>
      <c r="C116" s="317"/>
      <c r="D116" s="317"/>
      <c r="E116" s="318"/>
      <c r="F116" s="388"/>
      <c r="G116" s="316" t="s">
        <v>291</v>
      </c>
      <c r="H116" s="389" t="s">
        <v>18</v>
      </c>
      <c r="I116" s="317"/>
      <c r="J116" s="317"/>
      <c r="K116" s="318"/>
      <c r="L116" s="388"/>
      <c r="M116" s="316" t="s">
        <v>291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176</v>
      </c>
      <c r="B118" s="317"/>
      <c r="C118" s="317"/>
      <c r="D118" s="313" t="n">
        <v>0.0</v>
      </c>
      <c r="E118" s="107" t="n">
        <v>6000.0</v>
      </c>
      <c r="F118" s="388"/>
      <c r="G118" s="316" t="s">
        <v>176</v>
      </c>
      <c r="H118" s="317"/>
      <c r="I118" s="317"/>
      <c r="J118" s="313" t="n">
        <v>10000</v>
      </c>
      <c r="K118" s="107" t="n">
        <v>5000</v>
      </c>
      <c r="L118" s="388"/>
      <c r="M118" s="316" t="s">
        <v>176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177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177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177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178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178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178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179</v>
      </c>
      <c r="B121" s="317"/>
      <c r="C121" s="317"/>
      <c r="D121" s="39" t="n">
        <f aca="false">D120-E120</f>
        <v>-6000</v>
      </c>
      <c r="E121" s="318"/>
      <c r="F121" s="388"/>
      <c r="G121" s="316" t="s">
        <v>179</v>
      </c>
      <c r="H121" s="317"/>
      <c r="I121" s="317"/>
      <c r="J121" s="39" t="n">
        <f aca="false">J120-K120</f>
        <v>5000</v>
      </c>
      <c r="K121" s="318"/>
      <c r="L121" s="388"/>
      <c r="M121" s="316" t="s">
        <v>179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138</v>
      </c>
      <c r="B123" s="397"/>
      <c r="C123" s="397"/>
      <c r="D123" s="397"/>
      <c r="E123" s="27" t="n">
        <f aca="false">D105</f>
        <v>1000</v>
      </c>
      <c r="F123" s="388"/>
      <c r="G123" s="396" t="s">
        <v>138</v>
      </c>
      <c r="H123" s="397"/>
      <c r="I123" s="397"/>
      <c r="J123" s="397"/>
      <c r="K123" s="27" t="n">
        <f aca="false">J105</f>
        <v>5000</v>
      </c>
      <c r="L123" s="388"/>
      <c r="M123" s="396" t="s">
        <v>138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292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292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292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388"/>
      <c r="G128" s="217" t="s">
        <v>293</v>
      </c>
      <c r="H128" s="217"/>
      <c r="I128" s="217"/>
      <c r="J128" s="217"/>
      <c r="K128" s="217"/>
      <c r="L128" s="388"/>
      <c r="M128" s="217" t="s">
        <v>293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388"/>
      <c r="G130" s="316" t="s">
        <v>183</v>
      </c>
      <c r="H130" s="172" t="n">
        <v>0</v>
      </c>
      <c r="I130" s="172"/>
      <c r="J130" s="317"/>
      <c r="K130" s="318"/>
      <c r="L130" s="388"/>
      <c r="M130" s="316" t="s">
        <v>183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83</v>
      </c>
      <c r="H132" s="317" t="s">
        <v>84</v>
      </c>
      <c r="I132" s="317"/>
      <c r="J132" s="317" t="s">
        <v>86</v>
      </c>
      <c r="K132" s="318"/>
      <c r="L132" s="388"/>
      <c r="M132" s="316" t="s">
        <v>83</v>
      </c>
      <c r="N132" s="317" t="s">
        <v>84</v>
      </c>
      <c r="O132" s="317"/>
      <c r="P132" s="317" t="s">
        <v>86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753.350513446282</v>
      </c>
      <c r="B134" s="321" t="n">
        <f aca="false">IF(A111="YES", B95, 0)</f>
        <v>0</v>
      </c>
      <c r="C134" s="325"/>
      <c r="D134" s="321" t="n">
        <f aca="false">B97</f>
        <v>753.350513446282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296</v>
      </c>
      <c r="H135" s="424" t="s">
        <v>297</v>
      </c>
      <c r="I135" s="424"/>
      <c r="J135" s="424" t="s">
        <v>298</v>
      </c>
      <c r="K135" s="318"/>
      <c r="L135" s="388"/>
      <c r="M135" s="423" t="s">
        <v>343</v>
      </c>
      <c r="N135" s="424" t="s">
        <v>252</v>
      </c>
      <c r="O135" s="424"/>
      <c r="P135" s="424" t="s">
        <v>120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753.350513446282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301</v>
      </c>
      <c r="H138" s="317" t="s">
        <v>302</v>
      </c>
      <c r="I138" s="317"/>
      <c r="J138" s="317" t="s">
        <v>303</v>
      </c>
      <c r="K138" s="318"/>
      <c r="L138" s="388"/>
      <c r="M138" s="316" t="s">
        <v>344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753.350513446282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306</v>
      </c>
      <c r="H141" s="317" t="s">
        <v>307</v>
      </c>
      <c r="I141" s="317"/>
      <c r="J141" s="317" t="s">
        <v>308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753.350513446282</v>
      </c>
      <c r="B143" s="38" t="n">
        <f aca="false">IF(A111="YES", B95, 0)</f>
        <v>0</v>
      </c>
      <c r="C143" s="317"/>
      <c r="D143" s="38" t="n">
        <f aca="false">B97</f>
        <v>753.350513446282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309</v>
      </c>
      <c r="H144" s="317" t="s">
        <v>310</v>
      </c>
      <c r="I144" s="317"/>
      <c r="J144" s="317" t="s">
        <v>311</v>
      </c>
      <c r="K144" s="318"/>
      <c r="L144" s="388"/>
      <c r="M144" s="316" t="s">
        <v>141</v>
      </c>
      <c r="N144" s="317" t="s">
        <v>310</v>
      </c>
      <c r="O144" s="317"/>
      <c r="P144" s="317" t="s">
        <v>311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313</v>
      </c>
      <c r="H147" s="317" t="s">
        <v>314</v>
      </c>
      <c r="I147" s="317"/>
      <c r="J147" s="317" t="s">
        <v>315</v>
      </c>
      <c r="K147" s="318"/>
      <c r="L147" s="388"/>
      <c r="M147" s="316" t="s">
        <v>313</v>
      </c>
      <c r="N147" s="317" t="s">
        <v>314</v>
      </c>
      <c r="O147" s="317"/>
      <c r="P147" s="317" t="s">
        <v>315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317</v>
      </c>
      <c r="H150" s="317" t="s">
        <v>318</v>
      </c>
      <c r="I150" s="317"/>
      <c r="J150" s="317"/>
      <c r="K150" s="318"/>
      <c r="L150" s="388"/>
      <c r="M150" s="316" t="s">
        <v>317</v>
      </c>
      <c r="N150" s="317" t="s">
        <v>318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345</v>
      </c>
      <c r="N153" s="39" t="s">
        <v>346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220.5</v>
      </c>
      <c r="B154" s="38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323</v>
      </c>
      <c r="H154" s="317"/>
      <c r="I154" s="317"/>
      <c r="J154" s="349"/>
      <c r="K154" s="350"/>
      <c r="L154" s="388"/>
      <c r="M154" s="425" t="n">
        <f aca="false">H40</f>
        <v>3675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388"/>
      <c r="G156" s="250" t="s">
        <v>83</v>
      </c>
      <c r="H156" s="251" t="s">
        <v>84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720.491666666667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323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83</v>
      </c>
      <c r="N159" s="251" t="s">
        <v>84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753.350513446282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753.350513446282</v>
      </c>
      <c r="B177" s="355" t="n">
        <f aca="false">IF(A111="YES", B95, 0)</f>
        <v>0</v>
      </c>
      <c r="C177" s="357"/>
      <c r="D177" s="355" t="n">
        <f aca="false">A177+B177</f>
        <v>753.350513446282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753.350513446282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753.350513446282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753.350513446282</v>
      </c>
      <c r="B186" s="103" t="n">
        <f aca="false">IF(A111="YES", B95, 0)</f>
        <v>0</v>
      </c>
      <c r="C186" s="353"/>
      <c r="D186" s="103" t="n">
        <f aca="false">B97</f>
        <v>753.350513446282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220.5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720.491666666667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215</v>
      </c>
      <c r="B209" s="369" t="n">
        <f aca="false">H35</f>
        <v>0.065</v>
      </c>
      <c r="C209" s="321" t="s">
        <v>217</v>
      </c>
      <c r="D209" s="370" t="n">
        <f aca="false">D70</f>
        <v>2618.28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218</v>
      </c>
      <c r="B211" s="321" t="n">
        <f aca="false">B219</f>
        <v>220.5</v>
      </c>
      <c r="C211" s="320" t="s">
        <v>219</v>
      </c>
      <c r="D211" s="370" t="n">
        <f aca="false">B225+E221+B221+B223</f>
        <v>339.991666666667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220</v>
      </c>
      <c r="B213" s="321" t="n">
        <f aca="false">E223</f>
        <v>2737.77166666667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217</v>
      </c>
      <c r="B217" s="104" t="n">
        <f aca="false">D70</f>
        <v>2618.28</v>
      </c>
      <c r="C217" s="375" t="s">
        <v>223</v>
      </c>
      <c r="D217" s="317"/>
      <c r="E217" s="376" t="n">
        <f aca="false">B72</f>
        <v>0.01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223</v>
      </c>
      <c r="B219" s="104" t="n">
        <f aca="false">B73</f>
        <v>220.5</v>
      </c>
      <c r="C219" s="336" t="s">
        <v>326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2737.77166666667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63.3701613553852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165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" colorId="64" zoomScale="85" zoomScaleNormal="85" zoomScalePageLayoutView="100" workbookViewId="0">
      <selection pane="topLeft" activeCell="A36" activeCellId="0" sqref="A3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45302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337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E19</f>
        <v>22050</v>
      </c>
      <c r="B35" s="223" t="s">
        <v>399</v>
      </c>
      <c r="C35" s="223"/>
      <c r="D35" s="279" t="n">
        <f aca="false">A35-B35</f>
        <v>21050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394</v>
      </c>
      <c r="B38" s="241" t="n">
        <f aca="false">A32-1</f>
        <v>11</v>
      </c>
      <c r="C38" s="241"/>
      <c r="D38" s="104" t="s">
        <v>393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3675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408</v>
      </c>
      <c r="B41" s="104" t="s">
        <v>411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118</v>
      </c>
      <c r="B43" s="240" t="s">
        <v>67</v>
      </c>
      <c r="C43" s="230" t="s">
        <v>4</v>
      </c>
      <c r="D43" s="240" t="s">
        <v>211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0.0</v>
      </c>
      <c r="B44" s="104" t="s">
        <v>409</v>
      </c>
      <c r="C44" s="104"/>
      <c r="D44" s="104" t="n">
        <v>0.0</v>
      </c>
      <c r="E44" s="104"/>
      <c r="F44" s="388"/>
      <c r="G44" s="2" t="s">
        <v>65</v>
      </c>
      <c r="H44" s="2" t="n">
        <f aca="false">((H40-(((H42/(1.2))*0.2)))/(H43))</f>
        <v>222.916666666667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277.083333333333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337</v>
      </c>
      <c r="B46" s="230" t="s">
        <v>338</v>
      </c>
      <c r="C46" s="230" t="s">
        <v>4</v>
      </c>
      <c r="D46" s="230"/>
      <c r="E46" s="243"/>
      <c r="F46" s="388" t="n">
        <v>0</v>
      </c>
      <c r="G46" s="2" t="s">
        <v>71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337</v>
      </c>
      <c r="B47" s="230"/>
      <c r="C47" s="230"/>
      <c r="D47" s="230"/>
      <c r="E47" s="243"/>
      <c r="F47" s="388"/>
      <c r="G47" s="2" t="s">
        <v>72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74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75</v>
      </c>
      <c r="H49" s="2" t="n">
        <f aca="false">H45+H48+H47</f>
        <v>279.75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339</v>
      </c>
      <c r="H50" s="2" t="n">
        <f aca="false">H49-H41</f>
        <v>279.75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337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279.75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85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85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85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86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86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86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22050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91</v>
      </c>
      <c r="B70" s="133" t="n">
        <f aca="false">B67*B69</f>
        <v>2618.28</v>
      </c>
      <c r="C70" s="317" t="n">
        <v>10000.0</v>
      </c>
      <c r="D70" s="32" t="n">
        <f aca="false">B70-A149</f>
        <v>2618.28</v>
      </c>
      <c r="E70" s="318" t="n">
        <f aca="false">D70/12</f>
        <v>218.19</v>
      </c>
      <c r="F70" s="388"/>
      <c r="G70" s="366" t="s">
        <v>91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91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92</v>
      </c>
      <c r="B71" s="293" t="n">
        <v>0.01</v>
      </c>
      <c r="C71" s="317"/>
      <c r="D71" s="317"/>
      <c r="E71" s="318"/>
      <c r="F71" s="388"/>
      <c r="G71" s="399" t="s">
        <v>92</v>
      </c>
      <c r="H71" s="400" t="n">
        <v>0.005</v>
      </c>
      <c r="I71" s="317"/>
      <c r="J71" s="317"/>
      <c r="K71" s="318"/>
      <c r="L71" s="388"/>
      <c r="M71" s="399" t="s">
        <v>92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93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93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94</v>
      </c>
      <c r="B73" s="133" t="n">
        <f aca="false">B66*B72</f>
        <v>220.5</v>
      </c>
      <c r="C73" s="317"/>
      <c r="D73" s="32"/>
      <c r="E73" s="318"/>
      <c r="F73" s="388"/>
      <c r="G73" s="366" t="s">
        <v>94</v>
      </c>
      <c r="H73" s="65" t="n">
        <f aca="false">H67*H72</f>
        <v>187.02</v>
      </c>
      <c r="I73" s="317"/>
      <c r="J73" s="32"/>
      <c r="K73" s="318"/>
      <c r="L73" s="388"/>
      <c r="M73" s="366" t="s">
        <v>94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95</v>
      </c>
      <c r="B74" s="400" t="n">
        <v>0.0075</v>
      </c>
      <c r="C74" s="317"/>
      <c r="D74" s="317"/>
      <c r="E74" s="318"/>
      <c r="F74" s="388"/>
      <c r="G74" s="399" t="s">
        <v>95</v>
      </c>
      <c r="H74" s="400" t="n">
        <v>0.0075</v>
      </c>
      <c r="I74" s="317"/>
      <c r="J74" s="317"/>
      <c r="K74" s="318"/>
      <c r="L74" s="388"/>
      <c r="M74" s="399" t="s">
        <v>95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96</v>
      </c>
      <c r="B75" s="402" t="n">
        <v>0.12</v>
      </c>
      <c r="C75" s="317"/>
      <c r="D75" s="317"/>
      <c r="E75" s="318"/>
      <c r="F75" s="388"/>
      <c r="G75" s="401" t="s">
        <v>96</v>
      </c>
      <c r="H75" s="402" t="n">
        <v>0.12</v>
      </c>
      <c r="I75" s="317"/>
      <c r="J75" s="317"/>
      <c r="K75" s="318"/>
      <c r="L75" s="388"/>
      <c r="M75" s="401" t="s">
        <v>96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97</v>
      </c>
      <c r="B76" s="403" t="n">
        <f aca="false">B74*(1+B75)</f>
        <v>0.0084</v>
      </c>
      <c r="C76" s="317"/>
      <c r="D76" s="317"/>
      <c r="E76" s="318"/>
      <c r="F76" s="388"/>
      <c r="G76" s="366" t="s">
        <v>97</v>
      </c>
      <c r="H76" s="403" t="n">
        <f aca="false">H74*(1+H75)</f>
        <v>0.0084</v>
      </c>
      <c r="I76" s="317"/>
      <c r="J76" s="317"/>
      <c r="K76" s="318"/>
      <c r="L76" s="388"/>
      <c r="M76" s="366" t="s">
        <v>97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98</v>
      </c>
      <c r="B77" s="86" t="n">
        <v>200.0</v>
      </c>
      <c r="C77" s="317"/>
      <c r="D77" s="317"/>
      <c r="E77" s="318"/>
      <c r="F77" s="388"/>
      <c r="G77" s="399" t="s">
        <v>98</v>
      </c>
      <c r="H77" s="86" t="n">
        <v>160</v>
      </c>
      <c r="I77" s="317"/>
      <c r="J77" s="317"/>
      <c r="K77" s="318"/>
      <c r="L77" s="388"/>
      <c r="M77" s="399" t="s">
        <v>98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99</v>
      </c>
      <c r="B78" s="77" t="n">
        <v>5.0</v>
      </c>
      <c r="C78" s="317"/>
      <c r="D78" s="317"/>
      <c r="E78" s="318"/>
      <c r="F78" s="388"/>
      <c r="G78" s="401" t="s">
        <v>99</v>
      </c>
      <c r="H78" s="77" t="n">
        <v>4.5</v>
      </c>
      <c r="I78" s="317"/>
      <c r="J78" s="317"/>
      <c r="K78" s="318"/>
      <c r="L78" s="388"/>
      <c r="M78" s="401" t="s">
        <v>99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100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100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100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165.0</v>
      </c>
      <c r="C80" s="317"/>
      <c r="D80" s="317"/>
      <c r="E80" s="404" t="n">
        <f aca="false">E79+D82</f>
        <v>838.75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0.0</v>
      </c>
      <c r="C81" s="317"/>
      <c r="D81" s="317"/>
      <c r="E81" s="318" t="n">
        <f aca="false">E80/12</f>
        <v>69.8958333333333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178.75</v>
      </c>
      <c r="C82" s="317"/>
      <c r="D82" s="32" t="n">
        <f aca="false">IF(A50="YES", 0, B82)</f>
        <v>178.75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340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101</v>
      </c>
      <c r="B85" s="77" t="n">
        <v>200.0</v>
      </c>
      <c r="C85" s="317"/>
      <c r="D85" s="32" t="n">
        <f aca="false">B85</f>
        <v>200</v>
      </c>
      <c r="E85" s="318"/>
      <c r="F85" s="388"/>
      <c r="G85" s="401" t="s">
        <v>101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101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102</v>
      </c>
      <c r="B86" s="87" t="n">
        <v>200.0</v>
      </c>
      <c r="C86" s="317"/>
      <c r="D86" s="32" t="n">
        <f aca="false">B86</f>
        <v>200</v>
      </c>
      <c r="E86" s="318"/>
      <c r="F86" s="388"/>
      <c r="G86" s="411" t="s">
        <v>102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102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103</v>
      </c>
      <c r="B87" s="413" t="n">
        <f aca="false">SUM(D70:D86)</f>
        <v>4123.69666666667</v>
      </c>
      <c r="C87" s="317"/>
      <c r="D87" s="317"/>
      <c r="E87" s="318"/>
      <c r="F87" s="388"/>
      <c r="G87" s="412" t="s">
        <v>103</v>
      </c>
      <c r="H87" s="413" t="n">
        <f aca="false">SUM(J70:J86)</f>
        <v>5744.78</v>
      </c>
      <c r="I87" s="317"/>
      <c r="J87" s="317"/>
      <c r="K87" s="318"/>
      <c r="L87" s="388"/>
      <c r="M87" s="412" t="s">
        <v>103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104</v>
      </c>
      <c r="B88" s="33" t="n">
        <f aca="false">B87/H29</f>
        <v>343.641388888889</v>
      </c>
      <c r="C88" s="317"/>
      <c r="D88" s="317"/>
      <c r="E88" s="318"/>
      <c r="F88" s="388"/>
      <c r="G88" s="316" t="s">
        <v>104</v>
      </c>
      <c r="H88" s="33" t="n">
        <f aca="false">H87/H29</f>
        <v>478.731666666667</v>
      </c>
      <c r="I88" s="317"/>
      <c r="J88" s="317"/>
      <c r="K88" s="318"/>
      <c r="L88" s="388"/>
      <c r="M88" s="316" t="s">
        <v>104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105</v>
      </c>
      <c r="B89" s="59" t="n">
        <f aca="false">H50</f>
        <v>279.75</v>
      </c>
      <c r="C89" s="317"/>
      <c r="D89" s="317"/>
      <c r="E89" s="318"/>
      <c r="F89" s="388"/>
      <c r="G89" s="414" t="s">
        <v>105</v>
      </c>
      <c r="H89" s="59" t="n">
        <f aca="false">H46</f>
        <v>0</v>
      </c>
      <c r="I89" s="317"/>
      <c r="J89" s="317"/>
      <c r="K89" s="318"/>
      <c r="L89" s="388"/>
      <c r="M89" s="414" t="s">
        <v>105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115</v>
      </c>
      <c r="B91" s="27" t="n">
        <f aca="false">((B89*H29)+B87)</f>
        <v>7480.69666666667</v>
      </c>
      <c r="C91" s="317"/>
      <c r="D91" s="317"/>
      <c r="E91" s="318"/>
      <c r="F91" s="388"/>
      <c r="G91" s="396" t="s">
        <v>115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115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116</v>
      </c>
      <c r="B92" s="33" t="n">
        <f aca="false">(((B89*H29)+B87)/(1-B76))*B76</f>
        <v>63.3701613553852</v>
      </c>
      <c r="C92" s="317"/>
      <c r="D92" s="317"/>
      <c r="E92" s="415"/>
      <c r="F92" s="388"/>
      <c r="G92" s="316" t="s">
        <v>116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116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117</v>
      </c>
      <c r="B93" s="65" t="n">
        <f aca="false">IF(B116="YES",((B91+B92)-E120),(B91+B92))</f>
        <v>7544.06682802205</v>
      </c>
      <c r="C93" s="317"/>
      <c r="D93" s="317"/>
      <c r="E93" s="318"/>
      <c r="F93" s="388"/>
      <c r="G93" s="366" t="s">
        <v>117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117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118</v>
      </c>
      <c r="B95" s="413" t="n">
        <f aca="false">IF(B105=Z104,(((H41*A32)+(H41*A32)*(B111/100))/(B64)),(((H41*A32)+(H41*A32)*(B111/100))/(B63+B64)))</f>
        <v>0</v>
      </c>
      <c r="C95" s="317"/>
      <c r="D95" s="317"/>
      <c r="E95" s="318"/>
      <c r="F95" s="388"/>
      <c r="G95" s="412" t="s">
        <v>118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118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119</v>
      </c>
      <c r="B96" s="417" t="n">
        <f aca="false">IF(B105=Z104, (B93-D111)/(B64), B93/(B63+B64))</f>
        <v>628.672235668504</v>
      </c>
      <c r="C96" s="317" t="s">
        <v>4</v>
      </c>
      <c r="D96" s="317"/>
      <c r="E96" s="318"/>
      <c r="F96" s="388"/>
      <c r="G96" s="416" t="s">
        <v>119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119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120</v>
      </c>
      <c r="B97" s="419" t="n">
        <f aca="false">IF(A111="YES", B96+B95, B96)</f>
        <v>628.672235668504</v>
      </c>
      <c r="C97" s="317"/>
      <c r="D97" s="420"/>
      <c r="E97" s="318"/>
      <c r="F97" s="388"/>
      <c r="G97" s="418" t="s">
        <v>120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120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332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341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388"/>
      <c r="G102" s="217" t="s">
        <v>126</v>
      </c>
      <c r="H102" s="217"/>
      <c r="I102" s="217"/>
      <c r="J102" s="217"/>
      <c r="K102" s="217"/>
      <c r="L102" s="388"/>
      <c r="M102" s="217" t="s">
        <v>126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130</v>
      </c>
    </row>
    <row r="104" customFormat="false" ht="18.75" hidden="false" customHeight="true" outlineLevel="0" collapsed="false">
      <c r="A104" s="316" t="s">
        <v>127</v>
      </c>
      <c r="B104" s="317" t="s">
        <v>23</v>
      </c>
      <c r="C104" s="317"/>
      <c r="D104" s="317" t="s">
        <v>285</v>
      </c>
      <c r="E104" s="318"/>
      <c r="F104" s="388"/>
      <c r="G104" s="316" t="s">
        <v>127</v>
      </c>
      <c r="H104" s="317" t="s">
        <v>23</v>
      </c>
      <c r="I104" s="317"/>
      <c r="J104" s="317" t="s">
        <v>285</v>
      </c>
      <c r="K104" s="318"/>
      <c r="L104" s="388"/>
      <c r="M104" s="316" t="s">
        <v>127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351</v>
      </c>
      <c r="C105" s="312"/>
      <c r="D105" s="421" t="n">
        <v>1000.0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287</v>
      </c>
      <c r="B107" s="317" t="s">
        <v>288</v>
      </c>
      <c r="C107" s="317"/>
      <c r="D107" s="317" t="s">
        <v>289</v>
      </c>
      <c r="E107" s="318"/>
      <c r="F107" s="388"/>
      <c r="G107" s="316" t="s">
        <v>287</v>
      </c>
      <c r="H107" s="317" t="s">
        <v>288</v>
      </c>
      <c r="I107" s="317"/>
      <c r="J107" s="317" t="s">
        <v>289</v>
      </c>
      <c r="K107" s="318"/>
      <c r="L107" s="388"/>
      <c r="M107" s="316" t="s">
        <v>287</v>
      </c>
      <c r="N107" s="317" t="s">
        <v>288</v>
      </c>
      <c r="O107" s="317"/>
      <c r="P107" s="317" t="s">
        <v>289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128</v>
      </c>
      <c r="B110" s="388" t="s">
        <v>131</v>
      </c>
      <c r="C110" s="317"/>
      <c r="D110" s="317" t="s">
        <v>142</v>
      </c>
      <c r="E110" s="318"/>
      <c r="F110" s="388"/>
      <c r="G110" s="374" t="s">
        <v>128</v>
      </c>
      <c r="H110" s="388" t="s">
        <v>131</v>
      </c>
      <c r="I110" s="317"/>
      <c r="J110" s="317" t="s">
        <v>142</v>
      </c>
      <c r="K110" s="318"/>
      <c r="L110" s="388"/>
      <c r="M110" s="374" t="s">
        <v>128</v>
      </c>
      <c r="N110" s="388" t="s">
        <v>131</v>
      </c>
      <c r="O110" s="317"/>
      <c r="P110" s="317" t="s">
        <v>142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388</v>
      </c>
      <c r="B111" s="312" t="n">
        <v>0.0</v>
      </c>
      <c r="C111" s="312"/>
      <c r="D111" s="107" t="s">
        <v>403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342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388"/>
      <c r="G114" s="217" t="s">
        <v>290</v>
      </c>
      <c r="H114" s="217"/>
      <c r="I114" s="217"/>
      <c r="J114" s="217"/>
      <c r="K114" s="217"/>
      <c r="L114" s="388"/>
      <c r="M114" s="217" t="s">
        <v>290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291</v>
      </c>
      <c r="B116" s="389" t="s">
        <v>388</v>
      </c>
      <c r="C116" s="317"/>
      <c r="D116" s="317"/>
      <c r="E116" s="318"/>
      <c r="F116" s="388"/>
      <c r="G116" s="316" t="s">
        <v>291</v>
      </c>
      <c r="H116" s="389" t="s">
        <v>18</v>
      </c>
      <c r="I116" s="317"/>
      <c r="J116" s="317"/>
      <c r="K116" s="318"/>
      <c r="L116" s="388"/>
      <c r="M116" s="316" t="s">
        <v>291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176</v>
      </c>
      <c r="B118" s="317"/>
      <c r="C118" s="317"/>
      <c r="D118" s="313" t="n">
        <v>0.0</v>
      </c>
      <c r="E118" s="107" t="n">
        <v>6000.0</v>
      </c>
      <c r="F118" s="388"/>
      <c r="G118" s="316" t="s">
        <v>176</v>
      </c>
      <c r="H118" s="317"/>
      <c r="I118" s="317"/>
      <c r="J118" s="313" t="n">
        <v>10000</v>
      </c>
      <c r="K118" s="107" t="n">
        <v>5000</v>
      </c>
      <c r="L118" s="388"/>
      <c r="M118" s="316" t="s">
        <v>176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177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177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177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178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178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178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179</v>
      </c>
      <c r="B121" s="317"/>
      <c r="C121" s="317"/>
      <c r="D121" s="39" t="n">
        <f aca="false">D120-E120</f>
        <v>-6000</v>
      </c>
      <c r="E121" s="318"/>
      <c r="F121" s="388"/>
      <c r="G121" s="316" t="s">
        <v>179</v>
      </c>
      <c r="H121" s="317"/>
      <c r="I121" s="317"/>
      <c r="J121" s="39" t="n">
        <f aca="false">J120-K120</f>
        <v>5000</v>
      </c>
      <c r="K121" s="318"/>
      <c r="L121" s="388"/>
      <c r="M121" s="316" t="s">
        <v>179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138</v>
      </c>
      <c r="B123" s="397"/>
      <c r="C123" s="397"/>
      <c r="D123" s="397"/>
      <c r="E123" s="27" t="n">
        <f aca="false">D105</f>
        <v>1000</v>
      </c>
      <c r="F123" s="388"/>
      <c r="G123" s="396" t="s">
        <v>138</v>
      </c>
      <c r="H123" s="397"/>
      <c r="I123" s="397"/>
      <c r="J123" s="397"/>
      <c r="K123" s="27" t="n">
        <f aca="false">J105</f>
        <v>5000</v>
      </c>
      <c r="L123" s="388"/>
      <c r="M123" s="396" t="s">
        <v>138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292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292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292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388"/>
      <c r="G128" s="217" t="s">
        <v>293</v>
      </c>
      <c r="H128" s="217"/>
      <c r="I128" s="217"/>
      <c r="J128" s="217"/>
      <c r="K128" s="217"/>
      <c r="L128" s="388"/>
      <c r="M128" s="217" t="s">
        <v>293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388"/>
      <c r="G130" s="316" t="s">
        <v>183</v>
      </c>
      <c r="H130" s="172" t="n">
        <v>0</v>
      </c>
      <c r="I130" s="172"/>
      <c r="J130" s="317"/>
      <c r="K130" s="318"/>
      <c r="L130" s="388"/>
      <c r="M130" s="316" t="s">
        <v>183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83</v>
      </c>
      <c r="H132" s="317" t="s">
        <v>84</v>
      </c>
      <c r="I132" s="317"/>
      <c r="J132" s="317" t="s">
        <v>86</v>
      </c>
      <c r="K132" s="318"/>
      <c r="L132" s="388"/>
      <c r="M132" s="316" t="s">
        <v>83</v>
      </c>
      <c r="N132" s="317" t="s">
        <v>84</v>
      </c>
      <c r="O132" s="317"/>
      <c r="P132" s="317" t="s">
        <v>86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628.672235668504</v>
      </c>
      <c r="B134" s="321" t="n">
        <f aca="false">IF(A111="YES", B95, 0)</f>
        <v>0</v>
      </c>
      <c r="C134" s="326"/>
      <c r="D134" s="321" t="n">
        <f aca="false">B97</f>
        <v>628.672235668504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296</v>
      </c>
      <c r="H135" s="424" t="s">
        <v>297</v>
      </c>
      <c r="I135" s="424"/>
      <c r="J135" s="424" t="s">
        <v>298</v>
      </c>
      <c r="K135" s="318"/>
      <c r="L135" s="388"/>
      <c r="M135" s="423" t="s">
        <v>343</v>
      </c>
      <c r="N135" s="424" t="s">
        <v>252</v>
      </c>
      <c r="O135" s="424"/>
      <c r="P135" s="424" t="s">
        <v>120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5658.05012101654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301</v>
      </c>
      <c r="H138" s="317" t="s">
        <v>302</v>
      </c>
      <c r="I138" s="317"/>
      <c r="J138" s="317" t="s">
        <v>303</v>
      </c>
      <c r="K138" s="318"/>
      <c r="L138" s="388"/>
      <c r="M138" s="316" t="s">
        <v>344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5658.05012101654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306</v>
      </c>
      <c r="H141" s="317" t="s">
        <v>307</v>
      </c>
      <c r="I141" s="317"/>
      <c r="J141" s="317" t="s">
        <v>308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628.672235668504</v>
      </c>
      <c r="B143" s="38" t="n">
        <f aca="false">IF(A111="YES", B95, 0)</f>
        <v>0</v>
      </c>
      <c r="C143" s="317"/>
      <c r="D143" s="38" t="n">
        <f aca="false">B97</f>
        <v>628.672235668504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309</v>
      </c>
      <c r="H144" s="317" t="s">
        <v>310</v>
      </c>
      <c r="I144" s="317"/>
      <c r="J144" s="317" t="s">
        <v>311</v>
      </c>
      <c r="K144" s="318"/>
      <c r="L144" s="388"/>
      <c r="M144" s="316" t="s">
        <v>141</v>
      </c>
      <c r="N144" s="317" t="s">
        <v>310</v>
      </c>
      <c r="O144" s="317"/>
      <c r="P144" s="317" t="s">
        <v>311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313</v>
      </c>
      <c r="H147" s="317" t="s">
        <v>314</v>
      </c>
      <c r="I147" s="317"/>
      <c r="J147" s="317" t="s">
        <v>315</v>
      </c>
      <c r="K147" s="318"/>
      <c r="L147" s="388"/>
      <c r="M147" s="316" t="s">
        <v>313</v>
      </c>
      <c r="N147" s="317" t="s">
        <v>314</v>
      </c>
      <c r="O147" s="317"/>
      <c r="P147" s="317" t="s">
        <v>315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317</v>
      </c>
      <c r="H150" s="317" t="s">
        <v>318</v>
      </c>
      <c r="I150" s="317"/>
      <c r="J150" s="317"/>
      <c r="K150" s="318"/>
      <c r="L150" s="388"/>
      <c r="M150" s="316" t="s">
        <v>317</v>
      </c>
      <c r="N150" s="317" t="s">
        <v>318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345</v>
      </c>
      <c r="N153" s="39" t="s">
        <v>346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220.5</v>
      </c>
      <c r="B154" s="103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323</v>
      </c>
      <c r="H154" s="317"/>
      <c r="I154" s="317"/>
      <c r="J154" s="349"/>
      <c r="K154" s="350"/>
      <c r="L154" s="388"/>
      <c r="M154" s="425" t="n">
        <f aca="false">H40</f>
        <v>3675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388"/>
      <c r="G156" s="250" t="s">
        <v>83</v>
      </c>
      <c r="H156" s="251" t="s">
        <v>84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720.49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323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83</v>
      </c>
      <c r="N159" s="251" t="s">
        <v>84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628.672235668504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628.672235668504</v>
      </c>
      <c r="B177" s="355" t="n">
        <f aca="false">IF(A111="YES", B95, 0)</f>
        <v>0</v>
      </c>
      <c r="C177" s="358"/>
      <c r="D177" s="355" t="n">
        <f aca="false">B91</f>
        <v>7480.69666666667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5658.05012101654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5658.05012101654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628.672235668504</v>
      </c>
      <c r="B186" s="103" t="n">
        <f aca="false">IF(A111="YES", B95, 0)</f>
        <v>0</v>
      </c>
      <c r="C186" s="353"/>
      <c r="D186" s="103" t="n">
        <f aca="false">B97</f>
        <v>628.672235668504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220.5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720.49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215</v>
      </c>
      <c r="B209" s="369" t="n">
        <f aca="false">H35</f>
        <v>0.065</v>
      </c>
      <c r="C209" s="321" t="s">
        <v>217</v>
      </c>
      <c r="D209" s="370" t="n">
        <f aca="false">D70</f>
        <v>2618.28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218</v>
      </c>
      <c r="B211" s="321" t="n">
        <f aca="false">B219</f>
        <v>220.5</v>
      </c>
      <c r="C211" s="320" t="s">
        <v>219</v>
      </c>
      <c r="D211" s="370" t="n">
        <f aca="false">B225+E221+B221+B223</f>
        <v>339.99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220</v>
      </c>
      <c r="B213" s="321" t="n">
        <f aca="false">E223</f>
        <v>2737.77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217</v>
      </c>
      <c r="B217" s="104" t="n">
        <f aca="false">D70</f>
        <v>2618.28</v>
      </c>
      <c r="C217" s="375" t="s">
        <v>223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223</v>
      </c>
      <c r="B219" s="104" t="n">
        <f aca="false">B73</f>
        <v>220.5</v>
      </c>
      <c r="C219" s="336" t="s">
        <v>326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2737.77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63.3701613553852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165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s">
        <v>393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391</v>
      </c>
      <c r="B41" s="241" t="str">
        <f aca="false">IF(B38="YES", D38+A41, D38)</f>
        <v>500</v>
      </c>
      <c r="C41" s="241"/>
      <c r="D41" s="104" t="s">
        <v>408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394</v>
      </c>
      <c r="B44" s="104" t="s">
        <v>409</v>
      </c>
      <c r="C44" s="104"/>
      <c r="D44" s="104" t="s">
        <v>391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410</v>
      </c>
      <c r="C47" s="429"/>
      <c r="D47" s="104" t="s">
        <v>410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338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22050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B66*B69</f>
        <v>1543.5</v>
      </c>
      <c r="C70" s="215" t="n">
        <v>10000.0</v>
      </c>
      <c r="D70" s="291" t="n">
        <f aca="false">B70-A149</f>
        <v>1543.5</v>
      </c>
      <c r="E70" s="216" t="n">
        <f aca="false">D70/12</f>
        <v>128.625</v>
      </c>
      <c r="F70" s="63"/>
      <c r="G70" s="285" t="s">
        <v>91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91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B66*B72</f>
        <v>220.5</v>
      </c>
      <c r="C73" s="215"/>
      <c r="D73" s="291"/>
      <c r="E73" s="216"/>
      <c r="F73" s="63"/>
      <c r="G73" s="285" t="s">
        <v>94</v>
      </c>
      <c r="H73" s="133" t="n">
        <f aca="false">H67*H72</f>
        <v>187.02</v>
      </c>
      <c r="I73" s="215"/>
      <c r="J73" s="291"/>
      <c r="K73" s="216"/>
      <c r="L73" s="63"/>
      <c r="M73" s="285" t="s">
        <v>94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200.0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5.0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0.0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0.0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2870.16666666667</v>
      </c>
      <c r="C87" s="215"/>
      <c r="D87" s="215"/>
      <c r="E87" s="216"/>
      <c r="F87" s="63"/>
      <c r="G87" s="303" t="s">
        <v>103</v>
      </c>
      <c r="H87" s="304" t="n">
        <f aca="false">SUM(J70:J86)</f>
        <v>5744.78</v>
      </c>
      <c r="I87" s="215"/>
      <c r="J87" s="215"/>
      <c r="K87" s="216"/>
      <c r="L87" s="63"/>
      <c r="M87" s="303" t="s">
        <v>103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239.180555555556</v>
      </c>
      <c r="C88" s="215"/>
      <c r="D88" s="215"/>
      <c r="E88" s="216"/>
      <c r="F88" s="63"/>
      <c r="G88" s="214" t="s">
        <v>104</v>
      </c>
      <c r="H88" s="300" t="n">
        <f aca="false">H87/H29</f>
        <v>478.731666666667</v>
      </c>
      <c r="I88" s="215"/>
      <c r="J88" s="215"/>
      <c r="K88" s="216"/>
      <c r="L88" s="63"/>
      <c r="M88" s="214" t="s">
        <v>104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</f>
        <v>8882.16666666667</v>
      </c>
      <c r="C91" s="215"/>
      <c r="D91" s="215"/>
      <c r="E91" s="216"/>
      <c r="F91" s="63"/>
      <c r="G91" s="288" t="s">
        <v>115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115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75.2422347720855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116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8957.40890143875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746.450741786563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746.450741786563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350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130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4" t="n">
        <v>0.0</v>
      </c>
      <c r="C111" s="314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388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0.0</v>
      </c>
      <c r="E118" s="107" t="n">
        <v>6000.0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746.450741786563</v>
      </c>
      <c r="B134" s="321" t="n">
        <f aca="false">IF(A111="YES", B95, 0)</f>
        <v>0</v>
      </c>
      <c r="C134" s="326"/>
      <c r="D134" s="321" t="n">
        <f aca="false">B97</f>
        <v>746.450741786563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746.450741786563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746.450741786563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746.450741786563</v>
      </c>
      <c r="B143" s="38" t="n">
        <f aca="false">IF(A111="YES", B95, 0)</f>
        <v>0</v>
      </c>
      <c r="C143" s="317"/>
      <c r="D143" s="38" t="n">
        <f aca="false">B97</f>
        <v>746.450741786563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220.5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720.49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746.450741786563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746.450741786563</v>
      </c>
      <c r="B177" s="355" t="n">
        <f aca="false">IF(A111="YES", B95, 0)</f>
        <v>0</v>
      </c>
      <c r="C177" s="358"/>
      <c r="D177" s="355" t="n">
        <f aca="false">B91</f>
        <v>8882.16666666667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746.450741786563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746.450741786563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746.450741786563</v>
      </c>
      <c r="B186" s="103" t="n">
        <f aca="false">IF(A111="YES", B95, 0)</f>
        <v>0</v>
      </c>
      <c r="C186" s="353"/>
      <c r="D186" s="103" t="n">
        <f aca="false">B97</f>
        <v>746.450741786563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220.5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720.49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1543.5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220.5</v>
      </c>
      <c r="C211" s="320" t="s">
        <v>219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1662.99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1543.5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220.5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1662.99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75.2422347720855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s">
        <v>393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391</v>
      </c>
      <c r="B41" s="241" t="n">
        <f aca="false">IF(B38="YES", D38+A41, D38)</f>
        <v>550</v>
      </c>
      <c r="C41" s="241"/>
      <c r="D41" s="104" t="s">
        <v>408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394</v>
      </c>
      <c r="B44" s="104" t="s">
        <v>409</v>
      </c>
      <c r="C44" s="104"/>
      <c r="D44" s="104" t="s">
        <v>391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410</v>
      </c>
      <c r="C47" s="429"/>
      <c r="D47" s="104" t="s">
        <v>410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22050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B66*B69</f>
        <v>1543.5</v>
      </c>
      <c r="C70" s="215" t="n">
        <v>10000.0</v>
      </c>
      <c r="D70" s="291" t="n">
        <f aca="false">B70-A149</f>
        <v>1543.5</v>
      </c>
      <c r="E70" s="216" t="n">
        <f aca="false">D70/12</f>
        <v>128.625</v>
      </c>
      <c r="F70" s="63"/>
      <c r="G70" s="285" t="s">
        <v>91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91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B66*B72</f>
        <v>220.5</v>
      </c>
      <c r="C73" s="215"/>
      <c r="D73" s="291"/>
      <c r="E73" s="216"/>
      <c r="F73" s="63"/>
      <c r="G73" s="285" t="s">
        <v>94</v>
      </c>
      <c r="H73" s="133" t="n">
        <f aca="false">H67*H72</f>
        <v>187.02</v>
      </c>
      <c r="I73" s="215"/>
      <c r="J73" s="291"/>
      <c r="K73" s="216"/>
      <c r="L73" s="63"/>
      <c r="M73" s="285" t="s">
        <v>94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200.0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5.0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838.75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69.8958333333333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3048.91666666667</v>
      </c>
      <c r="C87" s="215"/>
      <c r="D87" s="215"/>
      <c r="E87" s="216"/>
      <c r="F87" s="63"/>
      <c r="G87" s="303" t="s">
        <v>103</v>
      </c>
      <c r="H87" s="304" t="n">
        <f aca="false">SUM(J70:J86)</f>
        <v>5744.78</v>
      </c>
      <c r="I87" s="215"/>
      <c r="J87" s="215"/>
      <c r="K87" s="216"/>
      <c r="L87" s="63"/>
      <c r="M87" s="303" t="s">
        <v>103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254.076388888889</v>
      </c>
      <c r="C88" s="215"/>
      <c r="D88" s="215"/>
      <c r="E88" s="216"/>
      <c r="F88" s="63"/>
      <c r="G88" s="214" t="s">
        <v>104</v>
      </c>
      <c r="H88" s="300" t="n">
        <f aca="false">H87/H29</f>
        <v>478.731666666667</v>
      </c>
      <c r="I88" s="215"/>
      <c r="J88" s="215"/>
      <c r="K88" s="216"/>
      <c r="L88" s="63"/>
      <c r="M88" s="214" t="s">
        <v>104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((B89*H29)+B87)*1.2</f>
        <v>10873.1</v>
      </c>
      <c r="C91" s="215"/>
      <c r="D91" s="215"/>
      <c r="E91" s="216"/>
      <c r="F91" s="63"/>
      <c r="G91" s="288" t="s">
        <v>115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115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76.7564542154094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116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10949.8564542154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IF(B105=Z104,(((H44*B35)+(H44*B35)*(B111/100))/(B64)),(((H44*B35)+(H44*B35)*(B111/100))/(B63+B64)))*1.2</f>
        <v>78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912.488037851284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990.488037851284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130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2" t="n">
        <v>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388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0.0</v>
      </c>
      <c r="E118" s="107" t="n">
        <v>6000.0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912.488037851284</v>
      </c>
      <c r="B134" s="321" t="n">
        <f aca="false">IF(A111="YES", B95, 0)</f>
        <v>78</v>
      </c>
      <c r="C134" s="326"/>
      <c r="D134" s="321" t="n">
        <f aca="false">B97</f>
        <v>990.488037851284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912.488037851284</v>
      </c>
      <c r="C137" s="317"/>
      <c r="D137" s="38" t="n">
        <f aca="false">IF(A111="YES", B95*B63, 0)</f>
        <v>78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990.488037851284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912.488037851284</v>
      </c>
      <c r="B143" s="38" t="n">
        <f aca="false">IF(A111="YES", B95, 0)</f>
        <v>78</v>
      </c>
      <c r="C143" s="317"/>
      <c r="D143" s="38" t="n">
        <f aca="false">B97</f>
        <v>990.488037851284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1387.838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1347.84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220.5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738.491666666667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990.488037851284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912.488037851284</v>
      </c>
      <c r="B177" s="355" t="n">
        <f aca="false">IF(A111="YES", B95, 0)</f>
        <v>78</v>
      </c>
      <c r="C177" s="358"/>
      <c r="D177" s="355" t="n">
        <f aca="false">B97</f>
        <v>990.488037851284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912.488037851284</v>
      </c>
      <c r="C180" s="353"/>
      <c r="D180" s="103" t="n">
        <f aca="false">IF(A111="YES", B95*B63, 0)</f>
        <v>78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990.488037851284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912.488037851284</v>
      </c>
      <c r="B186" s="103" t="n">
        <f aca="false">IF(A111="YES", B95, 0)</f>
        <v>78</v>
      </c>
      <c r="C186" s="353"/>
      <c r="D186" s="103" t="n">
        <f aca="false">B97</f>
        <v>990.488037851284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220.5</v>
      </c>
      <c r="B197" s="103" t="n">
        <f aca="false">B108</f>
        <v>400</v>
      </c>
      <c r="C197" s="103"/>
      <c r="D197" s="103" t="n">
        <f aca="false">IF(A111="YES", (A41/100*B111)*B131, 0)*0.1</f>
        <v>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738.491666666667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1543.5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220.5</v>
      </c>
      <c r="C211" s="320" t="s">
        <v>219</v>
      </c>
      <c r="D211" s="370" t="n">
        <f aca="false">B225+E221+B221+B223</f>
        <v>519.991666666667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1842.99166666667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1543.5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220.5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1842.99166666667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180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76.7564542154094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390</v>
      </c>
      <c r="C38" s="223"/>
      <c r="D38" s="104" t="s">
        <v>393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405</v>
      </c>
      <c r="B41" s="241" t="n">
        <f aca="false">IF(B38="YES", D38+A41, D38)</f>
        <v>550</v>
      </c>
      <c r="C41" s="241"/>
      <c r="D41" s="104" t="s">
        <v>408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394</v>
      </c>
      <c r="B44" s="104" t="s">
        <v>409</v>
      </c>
      <c r="C44" s="104"/>
      <c r="D44" s="104" t="s">
        <v>410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410</v>
      </c>
      <c r="C47" s="429"/>
      <c r="D47" s="104" t="s">
        <v>410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22050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B66*B69</f>
        <v>1543.5</v>
      </c>
      <c r="C70" s="215" t="n">
        <v>10000.0</v>
      </c>
      <c r="D70" s="291" t="n">
        <f aca="false">B70-A149</f>
        <v>1543.5</v>
      </c>
      <c r="E70" s="216" t="n">
        <f aca="false">D70/12</f>
        <v>128.625</v>
      </c>
      <c r="F70" s="63"/>
      <c r="G70" s="285" t="s">
        <v>91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91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B66*B72</f>
        <v>220.5</v>
      </c>
      <c r="C73" s="215"/>
      <c r="D73" s="291"/>
      <c r="E73" s="216"/>
      <c r="F73" s="63"/>
      <c r="G73" s="285" t="s">
        <v>94</v>
      </c>
      <c r="H73" s="133" t="n">
        <f aca="false">H67*H72</f>
        <v>187.02</v>
      </c>
      <c r="I73" s="215"/>
      <c r="J73" s="291"/>
      <c r="K73" s="216"/>
      <c r="L73" s="63"/>
      <c r="M73" s="285" t="s">
        <v>94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200.0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5.0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838.75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69.8958333333333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3048.91666666667</v>
      </c>
      <c r="C87" s="215"/>
      <c r="D87" s="215"/>
      <c r="E87" s="216"/>
      <c r="F87" s="63"/>
      <c r="G87" s="303" t="s">
        <v>103</v>
      </c>
      <c r="H87" s="304" t="n">
        <f aca="false">SUM(J70:J86)</f>
        <v>5744.78</v>
      </c>
      <c r="I87" s="215"/>
      <c r="J87" s="215"/>
      <c r="K87" s="216"/>
      <c r="L87" s="63"/>
      <c r="M87" s="303" t="s">
        <v>103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254.076388888889</v>
      </c>
      <c r="C88" s="215"/>
      <c r="D88" s="215"/>
      <c r="E88" s="216"/>
      <c r="F88" s="63"/>
      <c r="G88" s="214" t="s">
        <v>104</v>
      </c>
      <c r="H88" s="300" t="n">
        <f aca="false">H87/H29</f>
        <v>478.731666666667</v>
      </c>
      <c r="I88" s="215"/>
      <c r="J88" s="215"/>
      <c r="K88" s="216"/>
      <c r="L88" s="63"/>
      <c r="M88" s="214" t="s">
        <v>104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</f>
        <v>9060.91666666667</v>
      </c>
      <c r="C91" s="215"/>
      <c r="D91" s="215"/>
      <c r="E91" s="216"/>
      <c r="F91" s="63"/>
      <c r="G91" s="288" t="s">
        <v>115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115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76.7564542154094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116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9137.67312088208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761.472760073506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761.472760073506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130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388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0.0</v>
      </c>
      <c r="E118" s="107" t="n">
        <v>6000.0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761.472760073506</v>
      </c>
      <c r="B134" s="321" t="n">
        <f aca="false">IF(A111="YES", B95, 0)</f>
        <v>0</v>
      </c>
      <c r="C134" s="326"/>
      <c r="D134" s="321" t="n">
        <f aca="false">B97</f>
        <v>761.472760073506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761.472760073506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761.472760073506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761.472760073506</v>
      </c>
      <c r="B143" s="38" t="n">
        <f aca="false">IF(A111="YES", B95, 0)</f>
        <v>0</v>
      </c>
      <c r="C143" s="317"/>
      <c r="D143" s="38" t="n">
        <f aca="false">B97</f>
        <v>761.472760073506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1387.838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1347.84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220.5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720.49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761.472760073506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761.472760073506</v>
      </c>
      <c r="B177" s="355" t="n">
        <f aca="false">IF(A111="YES", B95, 0)</f>
        <v>0</v>
      </c>
      <c r="C177" s="358"/>
      <c r="D177" s="355" t="n">
        <f aca="false">B91</f>
        <v>9060.91666666667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761.472760073506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761.472760073506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761.472760073506</v>
      </c>
      <c r="B186" s="103" t="n">
        <f aca="false">IF(A111="YES", B95, 0)</f>
        <v>0</v>
      </c>
      <c r="C186" s="353"/>
      <c r="D186" s="103" t="n">
        <f aca="false">B97</f>
        <v>761.472760073506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220.5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720.49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1543.5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220.5</v>
      </c>
      <c r="C211" s="320" t="s">
        <v>219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1662.99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1543.5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220.5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1662.99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76.7564542154094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390</v>
      </c>
      <c r="C38" s="223"/>
      <c r="D38" s="104" t="s">
        <v>393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419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394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22050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B66*B69</f>
        <v>1543.5</v>
      </c>
      <c r="C70" s="215" t="n">
        <v>10000.0</v>
      </c>
      <c r="D70" s="291" t="n">
        <f aca="false">B70-A149</f>
        <v>1543.5</v>
      </c>
      <c r="E70" s="216" t="n">
        <f aca="false">D70/12</f>
        <v>128.625</v>
      </c>
      <c r="F70" s="63"/>
      <c r="G70" s="285" t="s">
        <v>91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91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B66*B72</f>
        <v>220.5</v>
      </c>
      <c r="C73" s="215"/>
      <c r="D73" s="291"/>
      <c r="E73" s="216"/>
      <c r="F73" s="63"/>
      <c r="G73" s="285" t="s">
        <v>94</v>
      </c>
      <c r="H73" s="133" t="n">
        <f aca="false">H67*H72</f>
        <v>187.02</v>
      </c>
      <c r="I73" s="215"/>
      <c r="J73" s="291"/>
      <c r="K73" s="216"/>
      <c r="L73" s="63"/>
      <c r="M73" s="285" t="s">
        <v>94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200.0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5.0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0.0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0.0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2870.16666666667</v>
      </c>
      <c r="C87" s="215"/>
      <c r="D87" s="215"/>
      <c r="E87" s="216"/>
      <c r="F87" s="63"/>
      <c r="G87" s="303" t="s">
        <v>103</v>
      </c>
      <c r="H87" s="304" t="n">
        <f aca="false">SUM(J70:J86)</f>
        <v>5744.78</v>
      </c>
      <c r="I87" s="215"/>
      <c r="J87" s="215"/>
      <c r="K87" s="216"/>
      <c r="L87" s="63"/>
      <c r="M87" s="303" t="s">
        <v>103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239.180555555556</v>
      </c>
      <c r="C88" s="215"/>
      <c r="D88" s="215"/>
      <c r="E88" s="216"/>
      <c r="F88" s="63"/>
      <c r="G88" s="214" t="s">
        <v>104</v>
      </c>
      <c r="H88" s="300" t="n">
        <f aca="false">H87/H29</f>
        <v>478.731666666667</v>
      </c>
      <c r="I88" s="215"/>
      <c r="J88" s="215"/>
      <c r="K88" s="216"/>
      <c r="L88" s="63"/>
      <c r="M88" s="214" t="s">
        <v>104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</f>
        <v>8882.16666666667</v>
      </c>
      <c r="C91" s="215"/>
      <c r="D91" s="215"/>
      <c r="E91" s="216"/>
      <c r="F91" s="63"/>
      <c r="G91" s="288" t="s">
        <v>115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115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75.2422347720855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116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8957.40890143875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746.450741786563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746.450741786563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130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388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0.0</v>
      </c>
      <c r="E118" s="107" t="n">
        <v>6000.0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746.450741786563</v>
      </c>
      <c r="B134" s="321" t="n">
        <f aca="false">IF(A111="YES", B95, 0)</f>
        <v>0</v>
      </c>
      <c r="C134" s="326"/>
      <c r="D134" s="321" t="n">
        <f aca="false">B97</f>
        <v>746.450741786563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746.450741786563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746.450741786563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746.450741786563</v>
      </c>
      <c r="B143" s="38" t="n">
        <f aca="false">IF(A111="YES", B95, 0)</f>
        <v>0</v>
      </c>
      <c r="C143" s="317"/>
      <c r="D143" s="38" t="n">
        <f aca="false">B97</f>
        <v>746.450741786563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220.5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720.49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746.450741786563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746.450741786563</v>
      </c>
      <c r="B177" s="355" t="n">
        <f aca="false">IF(A111="YES", B95, 0)</f>
        <v>0</v>
      </c>
      <c r="C177" s="358"/>
      <c r="D177" s="355" t="n">
        <f aca="false">B91</f>
        <v>8882.16666666667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746.450741786563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746.450741786563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746.450741786563</v>
      </c>
      <c r="B186" s="103" t="n">
        <f aca="false">IF(A111="YES", B95, 0)</f>
        <v>0</v>
      </c>
      <c r="C186" s="353"/>
      <c r="D186" s="103" t="n">
        <f aca="false">B97</f>
        <v>746.450741786563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220.5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720.49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1543.5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220.5</v>
      </c>
      <c r="C211" s="320" t="s">
        <v>219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1662.99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1543.5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220.5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1662.99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75.2422347720855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s">
        <v>393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394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22050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B66*B69</f>
        <v>1543.5</v>
      </c>
      <c r="C70" s="215" t="n">
        <v>10000.0</v>
      </c>
      <c r="D70" s="291" t="n">
        <f aca="false">B70-A149</f>
        <v>1543.5</v>
      </c>
      <c r="E70" s="216" t="n">
        <f aca="false">D70/12</f>
        <v>128.625</v>
      </c>
      <c r="F70" s="63"/>
      <c r="G70" s="285" t="s">
        <v>91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91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B66*B72</f>
        <v>220.5</v>
      </c>
      <c r="C73" s="215"/>
      <c r="D73" s="291"/>
      <c r="E73" s="216"/>
      <c r="F73" s="63"/>
      <c r="G73" s="285" t="s">
        <v>94</v>
      </c>
      <c r="H73" s="133" t="n">
        <f aca="false">H67*H72</f>
        <v>187.02</v>
      </c>
      <c r="I73" s="215"/>
      <c r="J73" s="291"/>
      <c r="K73" s="216"/>
      <c r="L73" s="63"/>
      <c r="M73" s="285" t="s">
        <v>94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200.0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5.0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838.75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69.8958333333333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3048.91666666667</v>
      </c>
      <c r="C87" s="215"/>
      <c r="D87" s="215"/>
      <c r="E87" s="216"/>
      <c r="F87" s="63"/>
      <c r="G87" s="303" t="s">
        <v>103</v>
      </c>
      <c r="H87" s="304" t="n">
        <f aca="false">SUM(J70:J86)</f>
        <v>5744.78</v>
      </c>
      <c r="I87" s="215"/>
      <c r="J87" s="215"/>
      <c r="K87" s="216"/>
      <c r="L87" s="63"/>
      <c r="M87" s="303" t="s">
        <v>103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254.076388888889</v>
      </c>
      <c r="C88" s="215"/>
      <c r="D88" s="215"/>
      <c r="E88" s="216"/>
      <c r="F88" s="63"/>
      <c r="G88" s="214" t="s">
        <v>104</v>
      </c>
      <c r="H88" s="300" t="n">
        <f aca="false">H87/H29</f>
        <v>478.731666666667</v>
      </c>
      <c r="I88" s="215"/>
      <c r="J88" s="215"/>
      <c r="K88" s="216"/>
      <c r="L88" s="63"/>
      <c r="M88" s="214" t="s">
        <v>104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((B89*H29)+B87)*1.2</f>
        <v>10873.1</v>
      </c>
      <c r="C91" s="215"/>
      <c r="D91" s="215"/>
      <c r="E91" s="216"/>
      <c r="F91" s="63"/>
      <c r="G91" s="288" t="s">
        <v>115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115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76.7564542154094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116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10949.8564542154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912.488037851284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912.488037851284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130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2" t="n">
        <v>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388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0.0</v>
      </c>
      <c r="E118" s="107" t="n">
        <v>6000.0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912.488037851284</v>
      </c>
      <c r="B134" s="321" t="n">
        <f aca="false">IF(A111="YES", B95, 0)</f>
        <v>0</v>
      </c>
      <c r="C134" s="326"/>
      <c r="D134" s="321" t="n">
        <f aca="false">B97</f>
        <v>912.488037851284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912.488037851284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912.488037851284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912.488037851284</v>
      </c>
      <c r="B143" s="38" t="n">
        <f aca="false">IF(A111="YES", B95, 0)</f>
        <v>0</v>
      </c>
      <c r="C143" s="317"/>
      <c r="D143" s="38" t="n">
        <f aca="false">B97</f>
        <v>912.488037851284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220.5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720.491666666667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912.488037851284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912.488037851284</v>
      </c>
      <c r="B177" s="355" t="n">
        <f aca="false">IF(A111="YES", B95, 0)</f>
        <v>0</v>
      </c>
      <c r="C177" s="358"/>
      <c r="D177" s="355" t="n">
        <f aca="false">B91</f>
        <v>10873.1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912.488037851284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912.488037851284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912.488037851284</v>
      </c>
      <c r="B186" s="103" t="n">
        <f aca="false">IF(A111="YES", B95, 0)</f>
        <v>0</v>
      </c>
      <c r="C186" s="353"/>
      <c r="D186" s="103" t="n">
        <f aca="false">B97</f>
        <v>912.488037851284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220.5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720.491666666667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1543.5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220.5</v>
      </c>
      <c r="C211" s="320" t="s">
        <v>219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1662.99166666667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1543.5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220.5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1662.99166666667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76.7564542154094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60000.0</v>
      </c>
      <c r="C9" s="14" t="n">
        <f aca="false">B9*0.2</f>
        <v>12000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390</v>
      </c>
      <c r="C38" s="223"/>
      <c r="D38" s="104" t="s">
        <v>393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419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394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72000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B66*B69</f>
        <v>5040</v>
      </c>
      <c r="C70" s="215" t="n">
        <v>10000.0</v>
      </c>
      <c r="D70" s="291" t="n">
        <f aca="false">B70-A149</f>
        <v>5040</v>
      </c>
      <c r="E70" s="216" t="n">
        <f aca="false">D70/12</f>
        <v>420</v>
      </c>
      <c r="F70" s="63"/>
      <c r="G70" s="285" t="s">
        <v>91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91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B66*B72</f>
        <v>720</v>
      </c>
      <c r="C73" s="215"/>
      <c r="D73" s="291"/>
      <c r="E73" s="216"/>
      <c r="F73" s="63"/>
      <c r="G73" s="285" t="s">
        <v>94</v>
      </c>
      <c r="H73" s="133" t="n">
        <f aca="false">H67*H72</f>
        <v>187.02</v>
      </c>
      <c r="I73" s="215"/>
      <c r="J73" s="291"/>
      <c r="K73" s="216"/>
      <c r="L73" s="63"/>
      <c r="M73" s="285" t="s">
        <v>94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200.0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5.0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838.75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69.8958333333333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6545.41666666667</v>
      </c>
      <c r="C87" s="215"/>
      <c r="D87" s="215"/>
      <c r="E87" s="216"/>
      <c r="F87" s="63"/>
      <c r="G87" s="303" t="s">
        <v>103</v>
      </c>
      <c r="H87" s="304" t="n">
        <f aca="false">SUM(J70:J86)</f>
        <v>5744.78</v>
      </c>
      <c r="I87" s="215"/>
      <c r="J87" s="215"/>
      <c r="K87" s="216"/>
      <c r="L87" s="63"/>
      <c r="M87" s="303" t="s">
        <v>103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545.451388888889</v>
      </c>
      <c r="C88" s="215"/>
      <c r="D88" s="215"/>
      <c r="E88" s="216"/>
      <c r="F88" s="63"/>
      <c r="G88" s="214" t="s">
        <v>104</v>
      </c>
      <c r="H88" s="300" t="n">
        <f aca="false">H87/H29</f>
        <v>478.731666666667</v>
      </c>
      <c r="I88" s="215"/>
      <c r="J88" s="215"/>
      <c r="K88" s="216"/>
      <c r="L88" s="63"/>
      <c r="M88" s="214" t="s">
        <v>104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</f>
        <v>12557.4166666667</v>
      </c>
      <c r="C91" s="215"/>
      <c r="D91" s="215"/>
      <c r="E91" s="216"/>
      <c r="F91" s="63"/>
      <c r="G91" s="288" t="s">
        <v>115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115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106.375857200484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116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12663.7925238672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1055.3160436556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1055.3160436556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130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388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0.0</v>
      </c>
      <c r="E118" s="107" t="n">
        <v>6000.0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1055.3160436556</v>
      </c>
      <c r="B134" s="321" t="n">
        <f aca="false">IF(A111="YES", B95, 0)</f>
        <v>0</v>
      </c>
      <c r="C134" s="326"/>
      <c r="D134" s="321" t="n">
        <f aca="false">B97</f>
        <v>1055.3160436556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1055.3160436556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1055.3160436556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1055.3160436556</v>
      </c>
      <c r="B143" s="38" t="n">
        <f aca="false">IF(A111="YES", B95, 0)</f>
        <v>0</v>
      </c>
      <c r="C143" s="317"/>
      <c r="D143" s="38" t="n">
        <f aca="false">B97</f>
        <v>1055.3160436556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720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1219.99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1055.3160436556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1055.3160436556</v>
      </c>
      <c r="B177" s="355" t="n">
        <f aca="false">IF(A111="YES", B95, 0)</f>
        <v>0</v>
      </c>
      <c r="C177" s="358"/>
      <c r="D177" s="355" t="n">
        <f aca="false">B91</f>
        <v>12557.4166666667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1055.3160436556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1055.3160436556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1055.3160436556</v>
      </c>
      <c r="B186" s="103" t="n">
        <f aca="false">IF(A111="YES", B95, 0)</f>
        <v>0</v>
      </c>
      <c r="C186" s="353"/>
      <c r="D186" s="103" t="n">
        <f aca="false">B97</f>
        <v>1055.3160436556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720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1219.99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5040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720</v>
      </c>
      <c r="C211" s="320" t="s">
        <v>219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4659.99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5040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720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4659.99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106.375857200484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true" showOutlineSymbols="true" defaultGridColor="true" view="normal" topLeftCell="A228" colorId="64" zoomScale="85" zoomScaleNormal="85" zoomScalePageLayoutView="100" workbookViewId="0">
      <selection pane="topLeft" activeCell="A202" activeCellId="0" sqref="A20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128</v>
      </c>
      <c r="B26" s="40" t="s">
        <v>388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126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83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183</v>
      </c>
      <c r="B30" s="104" t="s">
        <v>391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15150.0</v>
      </c>
      <c r="P31" s="212"/>
    </row>
    <row r="32" customFormat="false" ht="34.3" hidden="false" customHeight="false" outlineLevel="0" collapsed="false">
      <c r="A32" s="31" t="s">
        <v>83</v>
      </c>
      <c r="B32" s="93" t="s">
        <v>84</v>
      </c>
      <c r="C32" s="93"/>
      <c r="D32" s="93"/>
      <c r="E32" s="93" t="s">
        <v>354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269.470460472821</v>
      </c>
      <c r="F33" s="232"/>
      <c r="G33" s="232"/>
      <c r="H33" s="47"/>
      <c r="I33" s="2"/>
      <c r="J33" s="34" t="s">
        <v>355</v>
      </c>
      <c r="K33" s="48" t="n">
        <f aca="false">E21</f>
        <v>18375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249.470460472821</v>
      </c>
      <c r="B36" s="232" t="n">
        <f aca="false">IF(B26="YES", K42, "0.00")</f>
        <v>20</v>
      </c>
      <c r="C36" s="232"/>
      <c r="D36" s="232"/>
      <c r="E36" s="232" t="n">
        <f aca="false">K31</f>
        <v>37500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85</v>
      </c>
      <c r="K39" s="2" t="n">
        <f aca="false">K33</f>
        <v>18375</v>
      </c>
      <c r="L39" s="2" t="n">
        <f aca="false">(L47*K46)+K44</f>
        <v>35684.8466421492</v>
      </c>
      <c r="N39" s="1" t="n">
        <f aca="false">K39-L39</f>
        <v>-17309.8466421492</v>
      </c>
      <c r="P39" s="212"/>
    </row>
    <row r="40" customFormat="false" ht="17.35" hidden="false" customHeight="false" outlineLevel="0" collapsed="false">
      <c r="A40" s="107" t="n">
        <f aca="false">E36*A45/100</f>
        <v>15000</v>
      </c>
      <c r="B40" s="107" t="n">
        <f aca="false">IF(B26="YES", K42, "0.00")</f>
        <v>20</v>
      </c>
      <c r="C40" s="107"/>
      <c r="D40" s="107"/>
      <c r="E40" s="182" t="n">
        <f aca="false">K32</f>
        <v>1200</v>
      </c>
      <c r="F40" s="186"/>
      <c r="G40" s="186"/>
      <c r="H40" s="47"/>
      <c r="J40" s="2" t="s">
        <v>107</v>
      </c>
      <c r="K40" s="2" t="n">
        <f aca="false">(A40)/1.2</f>
        <v>12500</v>
      </c>
      <c r="L40" s="2" t="n">
        <f aca="false">K39-L39</f>
        <v>-17309.8466421492</v>
      </c>
      <c r="N40" s="1" t="n">
        <f aca="false">N38-N39</f>
        <v>20221.5266421492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(K32/K36)*C45/100</f>
        <v>20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77</v>
      </c>
      <c r="B44" s="93"/>
      <c r="C44" s="291" t="s">
        <v>78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10235.4053294008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366</v>
      </c>
      <c r="K45" s="2" t="n">
        <f aca="false">(K39-K44)</f>
        <v>8139.59467059923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249.470460472821</v>
      </c>
      <c r="L47" s="2" t="n">
        <f aca="false">L49-K42</f>
        <v>780</v>
      </c>
      <c r="M47" s="1" t="n">
        <f aca="false">K47-L47</f>
        <v>-530.529539527179</v>
      </c>
      <c r="P47" s="212"/>
    </row>
    <row r="48" customFormat="false" ht="31.8" hidden="false" customHeight="false" outlineLevel="0" collapsed="false">
      <c r="A48" s="66" t="s">
        <v>82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269.470460472821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83</v>
      </c>
      <c r="B50" s="71" t="s">
        <v>84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269.470460472821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85</v>
      </c>
      <c r="B58" s="93" t="n">
        <v>1</v>
      </c>
      <c r="C58" s="93"/>
      <c r="D58" s="93"/>
      <c r="E58" s="113"/>
      <c r="F58" s="113"/>
      <c r="G58" s="113"/>
      <c r="H58" s="33"/>
      <c r="J58" s="31" t="s">
        <v>85</v>
      </c>
      <c r="K58" s="93" t="n">
        <v>1</v>
      </c>
      <c r="L58" s="93"/>
      <c r="M58" s="93"/>
      <c r="N58" s="113"/>
      <c r="O58" s="113"/>
      <c r="P58" s="113"/>
      <c r="Q58" s="33"/>
      <c r="S58" s="31" t="s">
        <v>85</v>
      </c>
      <c r="T58" s="93" t="n">
        <v>1</v>
      </c>
      <c r="U58" s="93"/>
      <c r="V58" s="93"/>
      <c r="W58" s="113"/>
      <c r="X58" s="113"/>
      <c r="Y58" s="113"/>
      <c r="Z58" s="33"/>
      <c r="AB58" s="31" t="s">
        <v>85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86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86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86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86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87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87</v>
      </c>
      <c r="K60" s="77" t="n">
        <v>20</v>
      </c>
      <c r="L60" s="93"/>
      <c r="M60" s="93"/>
      <c r="N60" s="113"/>
      <c r="O60" s="113"/>
      <c r="P60" s="113"/>
      <c r="Q60" s="33"/>
      <c r="S60" s="76" t="s">
        <v>87</v>
      </c>
      <c r="T60" s="77" t="n">
        <v>10</v>
      </c>
      <c r="U60" s="93"/>
      <c r="V60" s="93"/>
      <c r="W60" s="113"/>
      <c r="X60" s="113"/>
      <c r="Y60" s="113"/>
      <c r="Z60" s="33"/>
      <c r="AB60" s="76" t="s">
        <v>87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88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88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88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88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89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89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89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89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90</v>
      </c>
      <c r="K64" s="258" t="n">
        <v>0.1</v>
      </c>
      <c r="L64" s="93"/>
      <c r="M64" s="93"/>
      <c r="N64" s="113"/>
      <c r="O64" s="113"/>
      <c r="P64" s="113"/>
      <c r="Q64" s="33"/>
      <c r="S64" s="82" t="s">
        <v>90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90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91</v>
      </c>
      <c r="B65" s="65" t="n">
        <f aca="false">(B89*B59)-(K47*K29)</f>
        <v>4521.28249567169</v>
      </c>
      <c r="C65" s="93"/>
      <c r="D65" s="93"/>
      <c r="E65" s="113"/>
      <c r="F65" s="113"/>
      <c r="G65" s="113"/>
      <c r="H65" s="33"/>
      <c r="J65" s="56" t="s">
        <v>91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91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91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92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92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92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93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93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93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93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94</v>
      </c>
      <c r="B68" s="65" t="n">
        <f aca="false">(G158*B67)/1.2</f>
        <v>194.5833</v>
      </c>
      <c r="C68" s="93"/>
      <c r="D68" s="93"/>
      <c r="E68" s="113"/>
      <c r="F68" s="113"/>
      <c r="G68" s="113"/>
      <c r="H68" s="33"/>
      <c r="J68" s="56" t="s">
        <v>94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94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94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95</v>
      </c>
      <c r="B69" s="256" t="n">
        <v>0</v>
      </c>
      <c r="C69" s="93"/>
      <c r="D69" s="93"/>
      <c r="E69" s="113"/>
      <c r="F69" s="113"/>
      <c r="G69" s="113"/>
      <c r="H69" s="33"/>
      <c r="J69" s="78" t="s">
        <v>95</v>
      </c>
      <c r="K69" s="256" t="n">
        <v>0</v>
      </c>
      <c r="L69" s="93"/>
      <c r="M69" s="93"/>
      <c r="N69" s="113"/>
      <c r="O69" s="113"/>
      <c r="P69" s="113"/>
      <c r="Q69" s="33"/>
      <c r="S69" s="78" t="s">
        <v>95</v>
      </c>
      <c r="T69" s="256" t="n">
        <v>0</v>
      </c>
      <c r="U69" s="93"/>
      <c r="V69" s="93"/>
      <c r="W69" s="113"/>
      <c r="X69" s="113"/>
      <c r="Y69" s="113"/>
      <c r="Z69" s="33"/>
      <c r="AB69" s="78" t="s">
        <v>95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96</v>
      </c>
      <c r="B70" s="257" t="n">
        <v>0</v>
      </c>
      <c r="C70" s="93"/>
      <c r="D70" s="93"/>
      <c r="E70" s="113"/>
      <c r="F70" s="113"/>
      <c r="G70" s="113"/>
      <c r="H70" s="33"/>
      <c r="J70" s="80" t="s">
        <v>96</v>
      </c>
      <c r="K70" s="257" t="n">
        <v>0</v>
      </c>
      <c r="L70" s="93"/>
      <c r="M70" s="93"/>
      <c r="N70" s="113"/>
      <c r="O70" s="113"/>
      <c r="P70" s="113"/>
      <c r="Q70" s="33"/>
      <c r="S70" s="80" t="s">
        <v>96</v>
      </c>
      <c r="T70" s="257" t="n">
        <v>0</v>
      </c>
      <c r="U70" s="93"/>
      <c r="V70" s="93"/>
      <c r="W70" s="113"/>
      <c r="X70" s="113"/>
      <c r="Y70" s="113"/>
      <c r="Z70" s="33"/>
      <c r="AB70" s="80" t="s">
        <v>96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97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97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97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98</v>
      </c>
      <c r="B72" s="86" t="n">
        <v>0</v>
      </c>
      <c r="C72" s="93"/>
      <c r="D72" s="93"/>
      <c r="E72" s="113"/>
      <c r="F72" s="113"/>
      <c r="G72" s="113"/>
      <c r="H72" s="33"/>
      <c r="J72" s="78" t="s">
        <v>98</v>
      </c>
      <c r="K72" s="86" t="n">
        <v>0</v>
      </c>
      <c r="L72" s="93"/>
      <c r="M72" s="93"/>
      <c r="N72" s="113"/>
      <c r="O72" s="113"/>
      <c r="P72" s="113"/>
      <c r="Q72" s="33"/>
      <c r="S72" s="78" t="s">
        <v>98</v>
      </c>
      <c r="T72" s="86" t="n">
        <v>0</v>
      </c>
      <c r="U72" s="93"/>
      <c r="V72" s="93"/>
      <c r="W72" s="113"/>
      <c r="X72" s="113"/>
      <c r="Y72" s="113"/>
      <c r="Z72" s="33"/>
      <c r="AB72" s="78" t="s">
        <v>98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99</v>
      </c>
      <c r="B73" s="77" t="n">
        <v>0</v>
      </c>
      <c r="C73" s="93"/>
      <c r="D73" s="93"/>
      <c r="E73" s="113"/>
      <c r="F73" s="113"/>
      <c r="G73" s="113"/>
      <c r="H73" s="33"/>
      <c r="J73" s="80" t="s">
        <v>99</v>
      </c>
      <c r="K73" s="77" t="n">
        <v>0</v>
      </c>
      <c r="L73" s="93"/>
      <c r="M73" s="93"/>
      <c r="N73" s="113"/>
      <c r="O73" s="113"/>
      <c r="P73" s="113"/>
      <c r="Q73" s="33"/>
      <c r="S73" s="80" t="s">
        <v>99</v>
      </c>
      <c r="T73" s="77" t="n">
        <v>0</v>
      </c>
      <c r="U73" s="93"/>
      <c r="V73" s="93"/>
      <c r="W73" s="113"/>
      <c r="X73" s="113"/>
      <c r="Y73" s="113"/>
      <c r="Z73" s="33"/>
      <c r="AB73" s="80" t="s">
        <v>99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100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100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100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100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101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101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101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101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102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102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102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102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103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103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103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104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104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104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104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105</v>
      </c>
      <c r="B79" s="59" t="n">
        <f aca="false">K47</f>
        <v>249.470460472821</v>
      </c>
      <c r="C79" s="93"/>
      <c r="D79" s="93"/>
      <c r="E79" s="113"/>
      <c r="F79" s="113"/>
      <c r="G79" s="113"/>
      <c r="H79" s="33"/>
      <c r="J79" s="90" t="s">
        <v>105</v>
      </c>
      <c r="K79" s="59" t="n">
        <f aca="false">K47</f>
        <v>249.470460472821</v>
      </c>
      <c r="L79" s="93"/>
      <c r="M79" s="93"/>
      <c r="N79" s="113"/>
      <c r="O79" s="113"/>
      <c r="P79" s="113"/>
      <c r="Q79" s="33"/>
      <c r="S79" s="90" t="s">
        <v>105</v>
      </c>
      <c r="T79" s="59" t="n">
        <f aca="false">B52</f>
        <v>269.470460472821</v>
      </c>
      <c r="U79" s="93"/>
      <c r="V79" s="93"/>
      <c r="W79" s="113"/>
      <c r="X79" s="113"/>
      <c r="Y79" s="113"/>
      <c r="Z79" s="33"/>
      <c r="AB79" s="90" t="s">
        <v>105</v>
      </c>
      <c r="AC79" s="59" t="n">
        <f aca="false">B52</f>
        <v>269.470460472821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106</v>
      </c>
      <c r="B81" s="27" t="n">
        <f aca="false">G158</f>
        <v>23349.996</v>
      </c>
      <c r="C81" s="93"/>
      <c r="D81" s="93"/>
      <c r="E81" s="113"/>
      <c r="F81" s="25" t="s">
        <v>106</v>
      </c>
      <c r="G81" s="27" t="n">
        <f aca="false">G158</f>
        <v>23349.996</v>
      </c>
      <c r="H81" s="33"/>
      <c r="J81" s="25" t="s">
        <v>106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106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106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107</v>
      </c>
      <c r="B82" s="33" t="n">
        <f aca="false">IF(A111="YES",A40,0)</f>
        <v>15000</v>
      </c>
      <c r="C82" s="93"/>
      <c r="D82" s="93"/>
      <c r="E82" s="113"/>
      <c r="F82" s="31" t="s">
        <v>107</v>
      </c>
      <c r="G82" s="33" t="n">
        <f aca="false">IF(A111="YES",A40,0)</f>
        <v>15000</v>
      </c>
      <c r="H82" s="33"/>
      <c r="J82" s="31" t="s">
        <v>107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107</v>
      </c>
      <c r="T82" s="33" t="n">
        <f aca="false">A40</f>
        <v>15000</v>
      </c>
      <c r="U82" s="93"/>
      <c r="V82" s="93"/>
      <c r="W82" s="113"/>
      <c r="X82" s="113"/>
      <c r="Y82" s="113"/>
      <c r="Z82" s="33"/>
      <c r="AB82" s="31" t="s">
        <v>107</v>
      </c>
      <c r="AC82" s="33" t="n">
        <f aca="false">A40</f>
        <v>15000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108</v>
      </c>
      <c r="B83" s="91" t="n">
        <f aca="false">B62+B63+B64</f>
        <v>0.089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31" t="s">
        <v>108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108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108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109</v>
      </c>
      <c r="B84" s="92" t="n">
        <f aca="false">B83/12</f>
        <v>0.00741666666666667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31" t="s">
        <v>109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109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109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110</v>
      </c>
      <c r="B85" s="33" t="n">
        <f aca="false">B59</f>
        <v>35</v>
      </c>
      <c r="C85" s="93"/>
      <c r="D85" s="93"/>
      <c r="E85" s="113"/>
      <c r="F85" s="31" t="s">
        <v>110</v>
      </c>
      <c r="G85" s="33" t="n">
        <f aca="false">IF(G82=0, (B59+B58), (B59))</f>
        <v>35</v>
      </c>
      <c r="H85" s="33"/>
      <c r="J85" s="31" t="s">
        <v>110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110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110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11496.4174132981</v>
      </c>
      <c r="C86" s="93"/>
      <c r="D86" s="93"/>
      <c r="E86" s="113"/>
      <c r="F86" s="31" t="s">
        <v>111</v>
      </c>
      <c r="G86" s="33" t="n">
        <f aca="false">(G82/((1+G84)^(G85+1)))</f>
        <v>12349.016529922</v>
      </c>
      <c r="H86" s="33"/>
      <c r="J86" s="31" t="s">
        <v>111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111</v>
      </c>
      <c r="T86" s="33" t="n">
        <f aca="false">(T82/((1+T84)^(T85+1)))</f>
        <v>10147.0177144158</v>
      </c>
      <c r="U86" s="93"/>
      <c r="V86" s="93"/>
      <c r="W86" s="113"/>
      <c r="X86" s="113"/>
      <c r="Y86" s="113"/>
      <c r="Z86" s="33"/>
      <c r="AB86" s="31" t="s">
        <v>111</v>
      </c>
      <c r="AC86" s="33" t="n">
        <f aca="false">(AC82/((1+AC84)^(AC85+1)))</f>
        <v>10147.0177144158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30.7264493562845</v>
      </c>
      <c r="C87" s="93"/>
      <c r="D87" s="93"/>
      <c r="E87" s="113"/>
      <c r="F87" s="31" t="s">
        <v>112</v>
      </c>
      <c r="G87" s="33" t="n">
        <f aca="false">((1-(1/((1+G84)^G85)))/G84)</f>
        <v>31.8042210938366</v>
      </c>
      <c r="H87" s="33"/>
      <c r="J87" s="31" t="s">
        <v>112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112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112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113</v>
      </c>
      <c r="B88" s="33" t="n">
        <f aca="false">B81-B86</f>
        <v>11853.578586702</v>
      </c>
      <c r="C88" s="93"/>
      <c r="D88" s="93"/>
      <c r="E88" s="113"/>
      <c r="F88" s="31" t="s">
        <v>113</v>
      </c>
      <c r="G88" s="33" t="n">
        <f aca="false">G81-G86</f>
        <v>11000.979470078</v>
      </c>
      <c r="H88" s="33"/>
      <c r="J88" s="31" t="s">
        <v>113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113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113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114</v>
      </c>
      <c r="B89" s="33" t="n">
        <f aca="false">(B88/B87)</f>
        <v>385.777687791236</v>
      </c>
      <c r="C89" s="93"/>
      <c r="D89" s="93"/>
      <c r="E89" s="113"/>
      <c r="F89" s="31" t="s">
        <v>114</v>
      </c>
      <c r="G89" s="33" t="n">
        <f aca="false">(G88/G87)</f>
        <v>345.896836700393</v>
      </c>
      <c r="H89" s="33"/>
      <c r="J89" s="31" t="s">
        <v>114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114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114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13502.2190726932</v>
      </c>
      <c r="C90" s="93"/>
      <c r="D90" s="93"/>
      <c r="E90" s="113"/>
      <c r="F90" s="31" t="s">
        <v>115</v>
      </c>
      <c r="G90" s="33" t="n">
        <f aca="false">((G89*(G85))+G77)</f>
        <v>12106.3892845137</v>
      </c>
      <c r="H90" s="33"/>
      <c r="J90" s="31" t="s">
        <v>115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115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115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31" t="s">
        <v>116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116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116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117</v>
      </c>
      <c r="B92" s="65" t="n">
        <f aca="false">(B90+B91)</f>
        <v>13502.2190726932</v>
      </c>
      <c r="C92" s="93"/>
      <c r="D92" s="93"/>
      <c r="E92" s="113"/>
      <c r="F92" s="56" t="s">
        <v>117</v>
      </c>
      <c r="G92" s="65" t="n">
        <f aca="false">(G90+G91)</f>
        <v>12106.3892845137</v>
      </c>
      <c r="H92" s="33"/>
      <c r="J92" s="56" t="s">
        <v>117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117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117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118</v>
      </c>
      <c r="B94" s="94" t="n">
        <f aca="false">IF(B26="YES",((E40/B85)*(1+A108)*1.2*(C45/100)),"0")</f>
        <v>29.6228571428571</v>
      </c>
      <c r="C94" s="93"/>
      <c r="D94" s="93"/>
      <c r="E94" s="113"/>
      <c r="F94" s="88" t="s">
        <v>118</v>
      </c>
      <c r="G94" s="94" t="n">
        <f aca="false">IF(B26="YES",((E40/B85)*(1+A108)*(C45/100)),"0")</f>
        <v>24.6857142857143</v>
      </c>
      <c r="H94" s="33"/>
      <c r="J94" s="88" t="s">
        <v>118</v>
      </c>
      <c r="K94" s="89" t="n">
        <f aca="false">((E40/K85)*(1+J108))*1.2</f>
        <v>52</v>
      </c>
      <c r="L94" s="93"/>
      <c r="M94" s="93"/>
      <c r="N94" s="113"/>
      <c r="O94" s="113"/>
      <c r="P94" s="113"/>
      <c r="Q94" s="33"/>
      <c r="S94" s="88" t="s">
        <v>118</v>
      </c>
      <c r="T94" s="89" t="n">
        <f aca="false">((E40/T85)*(1+S108))</f>
        <v>41.1428571428571</v>
      </c>
      <c r="U94" s="93"/>
      <c r="V94" s="93"/>
      <c r="W94" s="113"/>
      <c r="X94" s="113"/>
      <c r="Y94" s="113"/>
      <c r="Z94" s="33"/>
      <c r="AB94" s="88" t="s">
        <v>118</v>
      </c>
      <c r="AC94" s="89" t="n">
        <f aca="false">((E40/AC85)*(1+AB108))*1.2</f>
        <v>49.3714285714286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119</v>
      </c>
      <c r="B95" s="96" t="n">
        <f aca="false">(B92/B85)</f>
        <v>385.777687791236</v>
      </c>
      <c r="C95" s="93"/>
      <c r="D95" s="93"/>
      <c r="E95" s="113"/>
      <c r="F95" s="95" t="s">
        <v>119</v>
      </c>
      <c r="G95" s="96" t="n">
        <f aca="false">G92/(G85)</f>
        <v>345.896836700393</v>
      </c>
      <c r="H95" s="33"/>
      <c r="J95" s="95" t="s">
        <v>119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119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119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120</v>
      </c>
      <c r="B96" s="98" t="n">
        <f aca="false">B94+B95</f>
        <v>415.400544934093</v>
      </c>
      <c r="C96" s="93"/>
      <c r="D96" s="93"/>
      <c r="E96" s="113"/>
      <c r="F96" s="97" t="s">
        <v>120</v>
      </c>
      <c r="G96" s="98" t="n">
        <f aca="false">G94+G95</f>
        <v>370.582550986107</v>
      </c>
      <c r="H96" s="33"/>
      <c r="J96" s="97" t="s">
        <v>120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120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120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123</v>
      </c>
      <c r="K100" s="100"/>
      <c r="L100" s="100"/>
      <c r="M100" s="100"/>
      <c r="N100" s="100"/>
      <c r="O100" s="100"/>
      <c r="P100" s="100"/>
      <c r="Q100" s="100"/>
      <c r="S100" s="100" t="s">
        <v>124</v>
      </c>
      <c r="T100" s="100"/>
      <c r="U100" s="100"/>
      <c r="V100" s="100"/>
      <c r="W100" s="100"/>
      <c r="X100" s="100"/>
      <c r="Y100" s="100"/>
      <c r="Z100" s="100"/>
      <c r="AB100" s="100" t="s">
        <v>125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8" t="s">
        <v>126</v>
      </c>
      <c r="K102" s="28"/>
      <c r="L102" s="28"/>
      <c r="M102" s="28"/>
      <c r="N102" s="28"/>
      <c r="O102" s="28"/>
      <c r="P102" s="28"/>
      <c r="Q102" s="28"/>
      <c r="S102" s="28" t="s">
        <v>126</v>
      </c>
      <c r="T102" s="28"/>
      <c r="U102" s="28"/>
      <c r="V102" s="28"/>
      <c r="W102" s="28"/>
      <c r="X102" s="28"/>
      <c r="Y102" s="28"/>
      <c r="Z102" s="28"/>
      <c r="AB102" s="28" t="s">
        <v>126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31" t="s">
        <v>127</v>
      </c>
      <c r="K104" s="93" t="s">
        <v>23</v>
      </c>
      <c r="L104" s="93"/>
      <c r="M104" s="93"/>
      <c r="N104" s="93" t="s">
        <v>128</v>
      </c>
      <c r="O104" s="93"/>
      <c r="P104" s="93"/>
      <c r="Q104" s="33"/>
      <c r="S104" s="31" t="s">
        <v>127</v>
      </c>
      <c r="T104" s="93" t="s">
        <v>23</v>
      </c>
      <c r="U104" s="93"/>
      <c r="V104" s="93"/>
      <c r="W104" s="93" t="s">
        <v>128</v>
      </c>
      <c r="X104" s="93"/>
      <c r="Y104" s="93"/>
      <c r="Z104" s="33"/>
      <c r="AB104" s="31" t="s">
        <v>127</v>
      </c>
      <c r="AC104" s="93" t="s">
        <v>23</v>
      </c>
      <c r="AD104" s="93"/>
      <c r="AE104" s="93"/>
      <c r="AF104" s="93" t="s">
        <v>128</v>
      </c>
      <c r="AG104" s="93"/>
      <c r="AH104" s="93"/>
      <c r="AI104" s="33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451" t="s">
        <v>388</v>
      </c>
      <c r="F105" s="451"/>
      <c r="G105" s="451"/>
      <c r="H105" s="102"/>
      <c r="J105" s="36" t="s">
        <v>129</v>
      </c>
      <c r="K105" s="103" t="s">
        <v>130</v>
      </c>
      <c r="L105" s="103"/>
      <c r="M105" s="103"/>
      <c r="N105" s="104" t="s">
        <v>18</v>
      </c>
      <c r="O105" s="104"/>
      <c r="P105" s="104"/>
      <c r="Q105" s="102"/>
      <c r="S105" s="36" t="s">
        <v>129</v>
      </c>
      <c r="T105" s="103" t="s">
        <v>130</v>
      </c>
      <c r="U105" s="103"/>
      <c r="V105" s="103"/>
      <c r="W105" s="104" t="s">
        <v>18</v>
      </c>
      <c r="X105" s="104"/>
      <c r="Y105" s="104"/>
      <c r="Z105" s="102"/>
      <c r="AB105" s="36" t="s">
        <v>129</v>
      </c>
      <c r="AC105" s="103" t="s">
        <v>130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31" t="s">
        <v>131</v>
      </c>
      <c r="K107" s="93" t="s">
        <v>132</v>
      </c>
      <c r="L107" s="93"/>
      <c r="M107" s="113"/>
      <c r="N107" s="93" t="s">
        <v>133</v>
      </c>
      <c r="O107" s="93"/>
      <c r="P107" s="113"/>
      <c r="Q107" s="102"/>
      <c r="S107" s="31" t="s">
        <v>131</v>
      </c>
      <c r="T107" s="93" t="s">
        <v>132</v>
      </c>
      <c r="U107" s="93"/>
      <c r="V107" s="113"/>
      <c r="W107" s="93" t="s">
        <v>133</v>
      </c>
      <c r="X107" s="93"/>
      <c r="Y107" s="113"/>
      <c r="Z107" s="102"/>
      <c r="AB107" s="31" t="s">
        <v>131</v>
      </c>
      <c r="AC107" s="93" t="s">
        <v>132</v>
      </c>
      <c r="AD107" s="93"/>
      <c r="AE107" s="113"/>
      <c r="AF107" s="93" t="s">
        <v>133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134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135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135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31" t="s">
        <v>137</v>
      </c>
      <c r="K110" s="93" t="s">
        <v>138</v>
      </c>
      <c r="L110" s="93"/>
      <c r="M110" s="93"/>
      <c r="N110" s="93" t="s">
        <v>139</v>
      </c>
      <c r="O110" s="93"/>
      <c r="P110" s="93"/>
      <c r="Q110" s="33"/>
      <c r="S110" s="31" t="s">
        <v>137</v>
      </c>
      <c r="T110" s="93" t="s">
        <v>138</v>
      </c>
      <c r="U110" s="93"/>
      <c r="V110" s="93"/>
      <c r="W110" s="93" t="s">
        <v>139</v>
      </c>
      <c r="X110" s="93"/>
      <c r="Y110" s="93"/>
      <c r="Z110" s="33"/>
      <c r="AB110" s="31" t="s">
        <v>137</v>
      </c>
      <c r="AC110" s="93" t="s">
        <v>138</v>
      </c>
      <c r="AD110" s="93"/>
      <c r="AE110" s="93"/>
      <c r="AF110" s="93" t="s">
        <v>139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200.0</v>
      </c>
      <c r="C111" s="107"/>
      <c r="D111" s="107"/>
      <c r="E111" s="107" t="n">
        <v>200.0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110" t="s">
        <v>140</v>
      </c>
      <c r="K113" s="93" t="s">
        <v>141</v>
      </c>
      <c r="L113" s="93"/>
      <c r="M113" s="93"/>
      <c r="N113" s="93" t="s">
        <v>142</v>
      </c>
      <c r="O113" s="93"/>
      <c r="P113" s="113"/>
      <c r="Q113" s="102"/>
      <c r="S113" s="110" t="s">
        <v>140</v>
      </c>
      <c r="T113" s="93" t="s">
        <v>141</v>
      </c>
      <c r="U113" s="93"/>
      <c r="V113" s="93"/>
      <c r="W113" s="93" t="s">
        <v>142</v>
      </c>
      <c r="X113" s="93"/>
      <c r="Y113" s="113"/>
      <c r="Z113" s="102"/>
      <c r="AB113" s="110" t="s">
        <v>140</v>
      </c>
      <c r="AC113" s="93" t="s">
        <v>141</v>
      </c>
      <c r="AD113" s="93"/>
      <c r="AE113" s="93"/>
      <c r="AF113" s="93" t="s">
        <v>142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400</v>
      </c>
      <c r="B114" s="107" t="s">
        <v>389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8" t="s">
        <v>144</v>
      </c>
      <c r="K117" s="28"/>
      <c r="L117" s="28"/>
      <c r="M117" s="28"/>
      <c r="N117" s="28"/>
      <c r="O117" s="28"/>
      <c r="P117" s="28"/>
      <c r="Q117" s="28"/>
      <c r="S117" s="28" t="s">
        <v>144</v>
      </c>
      <c r="T117" s="28"/>
      <c r="U117" s="28"/>
      <c r="V117" s="28"/>
      <c r="W117" s="28"/>
      <c r="X117" s="28"/>
      <c r="Y117" s="28"/>
      <c r="Z117" s="28"/>
      <c r="AB117" s="28" t="s">
        <v>144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78"/>
      <c r="K119" s="114" t="s">
        <v>145</v>
      </c>
      <c r="L119" s="114"/>
      <c r="M119" s="114" t="s">
        <v>146</v>
      </c>
      <c r="N119" s="114"/>
      <c r="O119" s="114" t="s">
        <v>147</v>
      </c>
      <c r="P119" s="114"/>
      <c r="Q119" s="115" t="s">
        <v>148</v>
      </c>
      <c r="S119" s="78"/>
      <c r="T119" s="114" t="s">
        <v>145</v>
      </c>
      <c r="U119" s="114"/>
      <c r="V119" s="114" t="s">
        <v>146</v>
      </c>
      <c r="W119" s="114"/>
      <c r="X119" s="114" t="s">
        <v>147</v>
      </c>
      <c r="Y119" s="114"/>
      <c r="Z119" s="115" t="s">
        <v>148</v>
      </c>
      <c r="AB119" s="78"/>
      <c r="AC119" s="114" t="s">
        <v>145</v>
      </c>
      <c r="AD119" s="114"/>
      <c r="AE119" s="114" t="s">
        <v>146</v>
      </c>
      <c r="AF119" s="114"/>
      <c r="AG119" s="114" t="s">
        <v>147</v>
      </c>
      <c r="AH119" s="114"/>
      <c r="AI119" s="115" t="s">
        <v>148</v>
      </c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80"/>
      <c r="K120" s="116" t="s">
        <v>149</v>
      </c>
      <c r="L120" s="117" t="s">
        <v>150</v>
      </c>
      <c r="M120" s="116" t="s">
        <v>149</v>
      </c>
      <c r="N120" s="118" t="s">
        <v>150</v>
      </c>
      <c r="O120" s="116" t="s">
        <v>149</v>
      </c>
      <c r="P120" s="118" t="s">
        <v>150</v>
      </c>
      <c r="Q120" s="119"/>
      <c r="S120" s="80"/>
      <c r="T120" s="116" t="s">
        <v>149</v>
      </c>
      <c r="U120" s="117" t="s">
        <v>150</v>
      </c>
      <c r="V120" s="116" t="s">
        <v>149</v>
      </c>
      <c r="W120" s="118" t="s">
        <v>150</v>
      </c>
      <c r="X120" s="116" t="s">
        <v>149</v>
      </c>
      <c r="Y120" s="118" t="s">
        <v>150</v>
      </c>
      <c r="Z120" s="119"/>
      <c r="AB120" s="80"/>
      <c r="AC120" s="116" t="s">
        <v>149</v>
      </c>
      <c r="AD120" s="117" t="s">
        <v>150</v>
      </c>
      <c r="AE120" s="116" t="s">
        <v>149</v>
      </c>
      <c r="AF120" s="118" t="s">
        <v>150</v>
      </c>
      <c r="AG120" s="116" t="s">
        <v>149</v>
      </c>
      <c r="AH120" s="118" t="s">
        <v>150</v>
      </c>
      <c r="AI120" s="119"/>
    </row>
    <row r="121" customFormat="false" ht="17.35" hidden="false" customHeight="false" outlineLevel="0" collapsed="false">
      <c r="A121" s="25" t="s">
        <v>151</v>
      </c>
      <c r="B121" s="120" t="n">
        <f aca="false">B9</f>
        <v>18375</v>
      </c>
      <c r="C121" s="121" t="n">
        <v>19791.67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151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151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151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152</v>
      </c>
      <c r="K122" s="123" t="n">
        <f aca="false">B4</f>
        <v>22050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152</v>
      </c>
      <c r="T122" s="123" t="n">
        <f aca="false">B4</f>
        <v>22050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152</v>
      </c>
      <c r="AC122" s="123" t="n">
        <f aca="false">B4</f>
        <v>22050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153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153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153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154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154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154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155</v>
      </c>
      <c r="B125" s="132" t="n">
        <f aca="false">B121-B124</f>
        <v>18375</v>
      </c>
      <c r="C125" s="133" t="n">
        <f aca="false">C121-C124</f>
        <v>20208.33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155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155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155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134"/>
      <c r="K127" s="135"/>
      <c r="L127" s="135"/>
      <c r="M127" s="135"/>
      <c r="N127" s="135"/>
      <c r="O127" s="135"/>
      <c r="P127" s="136" t="s">
        <v>149</v>
      </c>
      <c r="Q127" s="137" t="s">
        <v>150</v>
      </c>
      <c r="S127" s="134"/>
      <c r="T127" s="135"/>
      <c r="U127" s="135"/>
      <c r="V127" s="135"/>
      <c r="W127" s="135"/>
      <c r="X127" s="135"/>
      <c r="Y127" s="136" t="s">
        <v>149</v>
      </c>
      <c r="Z127" s="137" t="s">
        <v>150</v>
      </c>
      <c r="AB127" s="134"/>
      <c r="AC127" s="135"/>
      <c r="AD127" s="135"/>
      <c r="AE127" s="135"/>
      <c r="AF127" s="135"/>
      <c r="AG127" s="135"/>
      <c r="AH127" s="136" t="s">
        <v>149</v>
      </c>
      <c r="AI127" s="137" t="s">
        <v>150</v>
      </c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156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156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156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147" t="s">
        <v>157</v>
      </c>
      <c r="K130" s="144" t="s">
        <v>158</v>
      </c>
      <c r="L130" s="144"/>
      <c r="M130" s="144" t="s">
        <v>159</v>
      </c>
      <c r="N130" s="144"/>
      <c r="O130" s="144" t="s">
        <v>153</v>
      </c>
      <c r="P130" s="144"/>
      <c r="Q130" s="145" t="s">
        <v>150</v>
      </c>
      <c r="S130" s="147" t="s">
        <v>157</v>
      </c>
      <c r="T130" s="144" t="s">
        <v>158</v>
      </c>
      <c r="U130" s="144"/>
      <c r="V130" s="144" t="s">
        <v>159</v>
      </c>
      <c r="W130" s="144"/>
      <c r="X130" s="144" t="s">
        <v>153</v>
      </c>
      <c r="Y130" s="144"/>
      <c r="Z130" s="145" t="s">
        <v>150</v>
      </c>
      <c r="AB130" s="147" t="s">
        <v>157</v>
      </c>
      <c r="AC130" s="144" t="s">
        <v>158</v>
      </c>
      <c r="AD130" s="144"/>
      <c r="AE130" s="144" t="s">
        <v>159</v>
      </c>
      <c r="AF130" s="144"/>
      <c r="AG130" s="144" t="s">
        <v>153</v>
      </c>
      <c r="AH130" s="144"/>
      <c r="AI130" s="145" t="s">
        <v>150</v>
      </c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160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160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160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161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161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161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162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162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162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B121</f>
        <v>18375</v>
      </c>
      <c r="H135" s="153" t="n">
        <f aca="false">C125+E125+G125+H128</f>
        <v>20208.33</v>
      </c>
      <c r="J135" s="152" t="s">
        <v>163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163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163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164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164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164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3675</v>
      </c>
      <c r="H137" s="33" t="n">
        <f aca="false">(H135+H136)*20%</f>
        <v>4041.666</v>
      </c>
      <c r="J137" s="154" t="s">
        <v>165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165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165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166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166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166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167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167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167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168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168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168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22050</v>
      </c>
      <c r="H141" s="157" t="n">
        <f aca="false">(H135+H136+H139+H140+H137)-H138</f>
        <v>24249.996</v>
      </c>
      <c r="J141" s="154" t="s">
        <v>169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169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169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170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170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170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111" t="s">
        <v>171</v>
      </c>
      <c r="K143" s="111"/>
      <c r="L143" s="111"/>
      <c r="M143" s="111"/>
      <c r="N143" s="111"/>
      <c r="O143" s="111"/>
      <c r="P143" s="103"/>
      <c r="Q143" s="33"/>
      <c r="S143" s="111" t="s">
        <v>171</v>
      </c>
      <c r="T143" s="111"/>
      <c r="U143" s="111"/>
      <c r="V143" s="111"/>
      <c r="W143" s="111"/>
      <c r="X143" s="111"/>
      <c r="Y143" s="103"/>
      <c r="Z143" s="33"/>
      <c r="AB143" s="111" t="s">
        <v>171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172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172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172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172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172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172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172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172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172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22050</v>
      </c>
      <c r="H147" s="164" t="n">
        <f aca="false">H141-((H144*1.2)+(H145*1.2)+(H146*1.2)+(H142*1.2))</f>
        <v>24249.996</v>
      </c>
      <c r="J147" s="154" t="s">
        <v>173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173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173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1833.33</v>
      </c>
      <c r="I148" s="1" t="n">
        <f aca="false">(H148-G81)/1.2</f>
        <v>-17930.555</v>
      </c>
      <c r="J148" s="154" t="s">
        <v>174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174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174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8" t="s">
        <v>175</v>
      </c>
      <c r="K150" s="28"/>
      <c r="L150" s="28"/>
      <c r="M150" s="28"/>
      <c r="N150" s="28"/>
      <c r="O150" s="28"/>
      <c r="P150" s="28"/>
      <c r="Q150" s="28"/>
      <c r="S150" s="28" t="s">
        <v>175</v>
      </c>
      <c r="T150" s="28"/>
      <c r="U150" s="28"/>
      <c r="V150" s="28"/>
      <c r="W150" s="28"/>
      <c r="X150" s="28"/>
      <c r="Y150" s="28"/>
      <c r="Z150" s="28"/>
      <c r="AB150" s="28" t="s">
        <v>175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176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176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176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177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177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177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178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178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178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179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179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179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400</v>
      </c>
      <c r="H157" s="168"/>
      <c r="J157" s="25" t="s">
        <v>180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180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180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23349.996</v>
      </c>
      <c r="H158" s="170"/>
      <c r="J158" s="169" t="s">
        <v>181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181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181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8" t="s">
        <v>182</v>
      </c>
      <c r="K162" s="28"/>
      <c r="L162" s="28"/>
      <c r="M162" s="28"/>
      <c r="N162" s="28"/>
      <c r="O162" s="28"/>
      <c r="P162" s="28"/>
      <c r="Q162" s="28"/>
      <c r="S162" s="28" t="s">
        <v>182</v>
      </c>
      <c r="T162" s="28"/>
      <c r="U162" s="28"/>
      <c r="V162" s="28"/>
      <c r="W162" s="28"/>
      <c r="X162" s="28"/>
      <c r="Y162" s="28"/>
      <c r="Z162" s="28"/>
      <c r="AB162" s="28" t="s">
        <v>182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183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183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183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173" t="s">
        <v>184</v>
      </c>
      <c r="K166" s="174" t="s">
        <v>185</v>
      </c>
      <c r="L166" s="174"/>
      <c r="M166" s="174"/>
      <c r="N166" s="174" t="s">
        <v>186</v>
      </c>
      <c r="O166" s="23"/>
      <c r="P166" s="23"/>
      <c r="Q166" s="33"/>
      <c r="S166" s="173" t="s">
        <v>184</v>
      </c>
      <c r="T166" s="174" t="s">
        <v>185</v>
      </c>
      <c r="U166" s="174"/>
      <c r="V166" s="174"/>
      <c r="W166" s="174" t="s">
        <v>186</v>
      </c>
      <c r="X166" s="23"/>
      <c r="Y166" s="23"/>
      <c r="Z166" s="33"/>
      <c r="AB166" s="173" t="s">
        <v>184</v>
      </c>
      <c r="AC166" s="174" t="s">
        <v>185</v>
      </c>
      <c r="AD166" s="174"/>
      <c r="AE166" s="174"/>
      <c r="AF166" s="174" t="s">
        <v>186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385.777687791236</v>
      </c>
      <c r="B167" s="177" t="n">
        <f aca="false">B94</f>
        <v>29.6228571428571</v>
      </c>
      <c r="C167" s="174"/>
      <c r="D167" s="174"/>
      <c r="E167" s="177" t="n">
        <f aca="false">B96</f>
        <v>415.400544934093</v>
      </c>
      <c r="F167" s="23"/>
      <c r="G167" s="23" t="n">
        <f aca="false">ROUND(G95, 2)</f>
        <v>345.9</v>
      </c>
      <c r="H167" s="33"/>
      <c r="J167" s="176" t="e">
        <f aca="false">K95</f>
        <v>#VALUE!</v>
      </c>
      <c r="K167" s="177" t="n">
        <f aca="false">K94</f>
        <v>52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41.1428571428571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49.3714285714286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31" t="s">
        <v>83</v>
      </c>
      <c r="K169" s="93" t="s">
        <v>84</v>
      </c>
      <c r="L169" s="93"/>
      <c r="M169" s="23"/>
      <c r="N169" s="93" t="s">
        <v>188</v>
      </c>
      <c r="O169" s="23"/>
      <c r="P169" s="23"/>
      <c r="Q169" s="33"/>
      <c r="S169" s="31" t="s">
        <v>83</v>
      </c>
      <c r="T169" s="93" t="s">
        <v>84</v>
      </c>
      <c r="U169" s="93"/>
      <c r="V169" s="23"/>
      <c r="W169" s="93" t="s">
        <v>188</v>
      </c>
      <c r="X169" s="23"/>
      <c r="Y169" s="23"/>
      <c r="Z169" s="33"/>
      <c r="AB169" s="31" t="s">
        <v>83</v>
      </c>
      <c r="AC169" s="93" t="s">
        <v>84</v>
      </c>
      <c r="AD169" s="93"/>
      <c r="AE169" s="23"/>
      <c r="AF169" s="93" t="s">
        <v>188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15000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15000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15000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15000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31" t="s">
        <v>189</v>
      </c>
      <c r="K172" s="93" t="s">
        <v>190</v>
      </c>
      <c r="L172" s="93"/>
      <c r="M172" s="23"/>
      <c r="N172" s="93" t="s">
        <v>191</v>
      </c>
      <c r="O172" s="23"/>
      <c r="P172" s="23"/>
      <c r="Q172" s="33"/>
      <c r="S172" s="31" t="s">
        <v>189</v>
      </c>
      <c r="T172" s="93" t="s">
        <v>190</v>
      </c>
      <c r="U172" s="93"/>
      <c r="V172" s="23"/>
      <c r="W172" s="93" t="s">
        <v>191</v>
      </c>
      <c r="X172" s="23"/>
      <c r="Y172" s="23"/>
      <c r="Z172" s="33"/>
      <c r="AB172" s="31" t="s">
        <v>189</v>
      </c>
      <c r="AC172" s="93" t="s">
        <v>190</v>
      </c>
      <c r="AD172" s="93"/>
      <c r="AE172" s="23"/>
      <c r="AF172" s="93" t="s">
        <v>191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20208.33</v>
      </c>
      <c r="B173" s="103" t="n">
        <f aca="false">H137</f>
        <v>4041.666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31" t="s">
        <v>192</v>
      </c>
      <c r="K175" s="93" t="s">
        <v>138</v>
      </c>
      <c r="L175" s="93"/>
      <c r="M175" s="23"/>
      <c r="N175" s="93" t="s">
        <v>139</v>
      </c>
      <c r="O175" s="23"/>
      <c r="P175" s="23"/>
      <c r="Q175" s="33"/>
      <c r="S175" s="31" t="s">
        <v>192</v>
      </c>
      <c r="T175" s="93" t="s">
        <v>138</v>
      </c>
      <c r="U175" s="93"/>
      <c r="V175" s="23"/>
      <c r="W175" s="93" t="s">
        <v>139</v>
      </c>
      <c r="X175" s="23"/>
      <c r="Y175" s="23"/>
      <c r="Z175" s="33"/>
      <c r="AB175" s="31" t="s">
        <v>192</v>
      </c>
      <c r="AC175" s="93" t="s">
        <v>138</v>
      </c>
      <c r="AD175" s="93"/>
      <c r="AE175" s="23"/>
      <c r="AF175" s="93" t="s">
        <v>139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24249.996</v>
      </c>
      <c r="B176" s="103" t="n">
        <f aca="false">B111</f>
        <v>200</v>
      </c>
      <c r="C176" s="103"/>
      <c r="D176" s="23"/>
      <c r="E176" s="103" t="n">
        <f aca="false">E111</f>
        <v>200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31" t="s">
        <v>140</v>
      </c>
      <c r="K178" s="93" t="s">
        <v>176</v>
      </c>
      <c r="L178" s="93"/>
      <c r="M178" s="23"/>
      <c r="N178" s="93" t="s">
        <v>181</v>
      </c>
      <c r="O178" s="23"/>
      <c r="P178" s="23"/>
      <c r="Q178" s="33"/>
      <c r="S178" s="31" t="s">
        <v>140</v>
      </c>
      <c r="T178" s="93" t="s">
        <v>176</v>
      </c>
      <c r="U178" s="93"/>
      <c r="V178" s="23"/>
      <c r="W178" s="93" t="s">
        <v>181</v>
      </c>
      <c r="X178" s="23"/>
      <c r="Y178" s="23"/>
      <c r="Z178" s="33"/>
      <c r="AB178" s="31" t="s">
        <v>140</v>
      </c>
      <c r="AC178" s="93" t="s">
        <v>176</v>
      </c>
      <c r="AD178" s="93"/>
      <c r="AE178" s="23"/>
      <c r="AF178" s="93" t="s">
        <v>181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400</v>
      </c>
      <c r="B179" s="103" t="n">
        <f aca="false">G154</f>
        <v>500</v>
      </c>
      <c r="C179" s="103"/>
      <c r="D179" s="23"/>
      <c r="E179" s="103" t="n">
        <f aca="false">A176-A179-B179</f>
        <v>23349.996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31" t="s">
        <v>193</v>
      </c>
      <c r="K181" s="93" t="s">
        <v>53</v>
      </c>
      <c r="L181" s="93"/>
      <c r="M181" s="23"/>
      <c r="N181" s="93" t="s">
        <v>194</v>
      </c>
      <c r="O181" s="23"/>
      <c r="P181" s="23"/>
      <c r="Q181" s="33"/>
      <c r="S181" s="31" t="s">
        <v>193</v>
      </c>
      <c r="T181" s="93" t="s">
        <v>53</v>
      </c>
      <c r="U181" s="93"/>
      <c r="V181" s="23"/>
      <c r="W181" s="93" t="s">
        <v>194</v>
      </c>
      <c r="X181" s="23"/>
      <c r="Y181" s="23"/>
      <c r="Z181" s="33"/>
      <c r="AB181" s="31" t="s">
        <v>193</v>
      </c>
      <c r="AC181" s="93" t="s">
        <v>53</v>
      </c>
      <c r="AD181" s="93"/>
      <c r="AE181" s="23"/>
      <c r="AF181" s="93" t="s">
        <v>194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5152.22307269324</v>
      </c>
      <c r="B182" s="103" t="str">
        <f aca="false">B114</f>
        <v>239.99</v>
      </c>
      <c r="C182" s="103"/>
      <c r="D182" s="23"/>
      <c r="E182" s="103" t="n">
        <f aca="false">E179+A182+B182+A185</f>
        <v>28752.2090726932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31" t="s">
        <v>195</v>
      </c>
      <c r="K184" s="93" t="s">
        <v>196</v>
      </c>
      <c r="L184" s="93"/>
      <c r="M184" s="23"/>
      <c r="N184" s="93" t="s">
        <v>197</v>
      </c>
      <c r="O184" s="23"/>
      <c r="P184" s="23"/>
      <c r="Q184" s="33"/>
      <c r="S184" s="31" t="s">
        <v>195</v>
      </c>
      <c r="T184" s="93" t="s">
        <v>196</v>
      </c>
      <c r="U184" s="93"/>
      <c r="V184" s="23"/>
      <c r="W184" s="93" t="s">
        <v>197</v>
      </c>
      <c r="X184" s="23"/>
      <c r="Y184" s="23"/>
      <c r="Z184" s="33"/>
      <c r="AB184" s="31" t="s">
        <v>195</v>
      </c>
      <c r="AC184" s="93" t="s">
        <v>196</v>
      </c>
      <c r="AD184" s="93"/>
      <c r="AE184" s="23"/>
      <c r="AF184" s="93" t="s">
        <v>197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639.99</v>
      </c>
      <c r="C185" s="103"/>
      <c r="D185" s="23"/>
      <c r="E185" s="103" t="n">
        <f aca="false">IF(A40=0,(E167+A185),(E170+A185))</f>
        <v>15010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15020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15010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15010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31" t="s">
        <v>198</v>
      </c>
      <c r="K187" s="93" t="s">
        <v>199</v>
      </c>
      <c r="L187" s="93"/>
      <c r="M187" s="93"/>
      <c r="N187" s="166" t="s">
        <v>200</v>
      </c>
      <c r="O187" s="23"/>
      <c r="P187" s="23"/>
      <c r="Q187" s="33"/>
      <c r="S187" s="31" t="s">
        <v>198</v>
      </c>
      <c r="T187" s="93" t="s">
        <v>199</v>
      </c>
      <c r="U187" s="93"/>
      <c r="V187" s="93"/>
      <c r="W187" s="166" t="s">
        <v>200</v>
      </c>
      <c r="X187" s="32"/>
      <c r="Y187" s="32"/>
      <c r="Z187" s="33"/>
      <c r="AB187" s="31" t="s">
        <v>198</v>
      </c>
      <c r="AC187" s="93" t="s">
        <v>199</v>
      </c>
      <c r="AD187" s="93"/>
      <c r="AE187" s="93"/>
      <c r="AF187" s="166" t="s">
        <v>200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7.481</v>
      </c>
      <c r="B188" s="103" t="n">
        <f aca="false">(G158*B67)/1.2</f>
        <v>194.5833</v>
      </c>
      <c r="C188" s="93"/>
      <c r="D188" s="93"/>
      <c r="E188" s="103" t="n">
        <f aca="false">(E40*A108)*0.1*(C45/100)</f>
        <v>14.4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36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24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24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60" t="s">
        <v>201</v>
      </c>
      <c r="K190" s="166" t="s">
        <v>202</v>
      </c>
      <c r="L190" s="93"/>
      <c r="M190" s="93"/>
      <c r="N190" s="166" t="s">
        <v>203</v>
      </c>
      <c r="O190" s="23"/>
      <c r="P190" s="23"/>
      <c r="Q190" s="33"/>
      <c r="S190" s="60" t="s">
        <v>201</v>
      </c>
      <c r="T190" s="166" t="s">
        <v>202</v>
      </c>
      <c r="U190" s="93"/>
      <c r="V190" s="93"/>
      <c r="W190" s="166" t="s">
        <v>203</v>
      </c>
      <c r="X190" s="32"/>
      <c r="Y190" s="32"/>
      <c r="Z190" s="33"/>
      <c r="AB190" s="60" t="s">
        <v>201</v>
      </c>
      <c r="AC190" s="166" t="s">
        <v>202</v>
      </c>
      <c r="AD190" s="93"/>
      <c r="AE190" s="93"/>
      <c r="AF190" s="166" t="s">
        <v>203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308.974966666667</v>
      </c>
      <c r="C191" s="93"/>
      <c r="D191" s="93"/>
      <c r="E191" s="103" t="n">
        <f aca="false">H148</f>
        <v>1833.33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66" t="s">
        <v>204</v>
      </c>
      <c r="K193" s="93"/>
      <c r="L193" s="93"/>
      <c r="M193" s="67"/>
      <c r="N193" s="67"/>
      <c r="O193" s="67"/>
      <c r="P193" s="67"/>
      <c r="Q193" s="68"/>
      <c r="S193" s="66" t="s">
        <v>204</v>
      </c>
      <c r="T193" s="93"/>
      <c r="U193" s="93"/>
      <c r="V193" s="67"/>
      <c r="W193" s="67"/>
      <c r="X193" s="67"/>
      <c r="Y193" s="67"/>
      <c r="Z193" s="68"/>
      <c r="AB193" s="66" t="s">
        <v>204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187" t="s">
        <v>83</v>
      </c>
      <c r="K195" s="71" t="s">
        <v>84</v>
      </c>
      <c r="L195" s="71"/>
      <c r="M195" s="71"/>
      <c r="N195" s="23"/>
      <c r="O195" s="23"/>
      <c r="P195" s="23"/>
      <c r="Q195" s="33"/>
      <c r="S195" s="187" t="s">
        <v>83</v>
      </c>
      <c r="T195" s="71" t="s">
        <v>84</v>
      </c>
      <c r="U195" s="71"/>
      <c r="V195" s="71"/>
      <c r="W195" s="23"/>
      <c r="X195" s="23"/>
      <c r="Y195" s="23"/>
      <c r="Z195" s="33"/>
      <c r="AB195" s="187" t="s">
        <v>83</v>
      </c>
      <c r="AC195" s="71" t="s">
        <v>84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415.400544934093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3756.504</v>
      </c>
      <c r="B201" s="186" t="n">
        <f aca="false">E179+A201+B182+A185</f>
        <v>27356.49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207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385.777687791236</v>
      </c>
      <c r="B212" s="177" t="n">
        <f aca="false">B167</f>
        <v>29.6228571428571</v>
      </c>
      <c r="C212" s="174"/>
      <c r="D212" s="174"/>
      <c r="E212" s="177" t="n">
        <f aca="false">E167</f>
        <v>415.400544934093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20208.33</v>
      </c>
      <c r="B215" s="103" t="n">
        <f aca="false">B173</f>
        <v>4041.666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24249.996</v>
      </c>
      <c r="B218" s="103" t="n">
        <f aca="false">B176</f>
        <v>200</v>
      </c>
      <c r="C218" s="103"/>
      <c r="D218" s="113"/>
      <c r="E218" s="103" t="n">
        <f aca="false">E176</f>
        <v>200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400</v>
      </c>
      <c r="B221" s="103" t="n">
        <f aca="false">B179</f>
        <v>500</v>
      </c>
      <c r="C221" s="103"/>
      <c r="D221" s="113"/>
      <c r="E221" s="103" t="n">
        <f aca="false">E179</f>
        <v>23349.996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5152.22307269324</v>
      </c>
      <c r="B224" s="103" t="str">
        <f aca="false">B182</f>
        <v>239.99</v>
      </c>
      <c r="C224" s="103"/>
      <c r="D224" s="113"/>
      <c r="E224" s="103" t="n">
        <f aca="false">E182</f>
        <v>28752.2090726932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639.99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385.777687791236</v>
      </c>
      <c r="B230" s="103" t="n">
        <f aca="false">B167</f>
        <v>29.6228571428571</v>
      </c>
      <c r="C230" s="186"/>
      <c r="D230" s="186"/>
      <c r="E230" s="103" t="n">
        <f aca="false">E167</f>
        <v>415.400544934093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209</v>
      </c>
      <c r="B232" s="93" t="s">
        <v>210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15000</v>
      </c>
      <c r="B233" s="103" t="n">
        <f aca="false">E185</f>
        <v>15010</v>
      </c>
      <c r="C233" s="93"/>
      <c r="D233" s="93"/>
      <c r="E233" s="103" t="n">
        <f aca="false">J18*0.000006*100*1.2</f>
        <v>26.9316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211</v>
      </c>
      <c r="B235" s="166" t="s">
        <v>73</v>
      </c>
      <c r="C235" s="93"/>
      <c r="D235" s="93"/>
      <c r="E235" s="166" t="s">
        <v>132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8.9772</v>
      </c>
      <c r="B236" s="103" t="n">
        <f aca="false">E233+A236</f>
        <v>35.9088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1833.33</v>
      </c>
      <c r="B240" s="103" t="n">
        <f aca="false">B68</f>
        <v>194.5833</v>
      </c>
      <c r="C240" s="93"/>
      <c r="D240" s="93"/>
      <c r="E240" s="103" t="n">
        <f aca="false">E188</f>
        <v>14.4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2142.30496666667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K35</f>
        <v>0.065</v>
      </c>
      <c r="C253" s="197"/>
      <c r="D253" s="198" t="s">
        <v>216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1405.71907269325</v>
      </c>
      <c r="C254" s="197"/>
      <c r="D254" s="198" t="s">
        <v>218</v>
      </c>
      <c r="E254" s="198"/>
      <c r="F254" s="200" t="n">
        <f aca="false">F261+F267+F269+B270+B271</f>
        <v>233.49996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243.991666666667</v>
      </c>
      <c r="C255" s="197"/>
      <c r="D255" s="198" t="s">
        <v>220</v>
      </c>
      <c r="E255" s="198"/>
      <c r="F255" s="200" t="n">
        <f aca="false">(B254-F254)+B255</f>
        <v>1416.21077935991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0.024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0.089</v>
      </c>
      <c r="C260" s="43"/>
      <c r="D260" s="166" t="s">
        <v>217</v>
      </c>
      <c r="E260" s="166"/>
      <c r="F260" s="146" t="n">
        <f aca="false">B254</f>
        <v>1405.71907269325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0.01</v>
      </c>
      <c r="C261" s="32"/>
      <c r="D261" s="166" t="s">
        <v>223</v>
      </c>
      <c r="E261" s="166"/>
      <c r="F261" s="151" t="n">
        <f aca="false">B68*1.2</f>
        <v>233.49996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144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99.9916666666667</v>
      </c>
      <c r="C263" s="32"/>
      <c r="D263" s="39" t="s">
        <v>220</v>
      </c>
      <c r="E263" s="39"/>
      <c r="F263" s="146" t="n">
        <f aca="false">(B254-F254)+B255</f>
        <v>1416.21077935991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128</v>
      </c>
      <c r="B26" s="40" t="s">
        <v>390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126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83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183</v>
      </c>
      <c r="B30" s="104" t="s">
        <v>391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20000.0</v>
      </c>
      <c r="P31" s="212"/>
    </row>
    <row r="32" customFormat="false" ht="34.3" hidden="false" customHeight="false" outlineLevel="0" collapsed="false">
      <c r="A32" s="31" t="s">
        <v>83</v>
      </c>
      <c r="B32" s="93" t="s">
        <v>84</v>
      </c>
      <c r="C32" s="93"/>
      <c r="D32" s="93"/>
      <c r="E32" s="93" t="s">
        <v>354</v>
      </c>
      <c r="F32" s="93"/>
      <c r="G32" s="93"/>
      <c r="H32" s="33"/>
      <c r="I32" s="2"/>
      <c r="J32" s="29" t="s">
        <v>36</v>
      </c>
      <c r="K32" s="449" t="n">
        <v>2160.0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254.060251144968</v>
      </c>
      <c r="F33" s="232"/>
      <c r="G33" s="232"/>
      <c r="H33" s="47"/>
      <c r="I33" s="2"/>
      <c r="J33" s="34" t="s">
        <v>355</v>
      </c>
      <c r="K33" s="48" t="n">
        <f aca="false">E21</f>
        <v>18375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254.060251144968</v>
      </c>
      <c r="B36" s="232" t="str">
        <f aca="false">IF(B26="YES", K42, "0.00")</f>
        <v>0.00</v>
      </c>
      <c r="C36" s="232"/>
      <c r="D36" s="232"/>
      <c r="E36" s="232" t="n">
        <f aca="false">K31</f>
        <v>15100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85</v>
      </c>
      <c r="K39" s="2" t="n">
        <f aca="false">K33</f>
        <v>18375</v>
      </c>
      <c r="L39" s="2" t="n">
        <f aca="false">(L47*K46)+K44</f>
        <v>36056.0582690271</v>
      </c>
      <c r="N39" s="1" t="n">
        <f aca="false">K39-L39</f>
        <v>-17681.0582690271</v>
      </c>
      <c r="P39" s="212"/>
    </row>
    <row r="40" customFormat="false" ht="17.35" hidden="false" customHeight="false" outlineLevel="0" collapsed="false">
      <c r="A40" s="107" t="n">
        <f aca="false">E36*A45/100</f>
        <v>15150.0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107</v>
      </c>
      <c r="K40" s="2" t="n">
        <f aca="false">(A40)/1.2</f>
        <v>12583.3333333333</v>
      </c>
      <c r="L40" s="2" t="n">
        <f aca="false">K39-L39</f>
        <v>-17681.0582690271</v>
      </c>
      <c r="N40" s="1" t="n">
        <f aca="false">N38-N39</f>
        <v>20592.7382690271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77</v>
      </c>
      <c r="B44" s="93"/>
      <c r="C44" s="291" t="s">
        <v>78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10146.8867077205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50.0</v>
      </c>
      <c r="D45" s="62"/>
      <c r="E45" s="62"/>
      <c r="F45" s="93"/>
      <c r="G45" s="93"/>
      <c r="H45" s="33"/>
      <c r="J45" s="2" t="s">
        <v>366</v>
      </c>
      <c r="K45" s="2" t="n">
        <f aca="false">(K39-K44)</f>
        <v>8228.1132922795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254.060251144968</v>
      </c>
      <c r="L47" s="2" t="n">
        <f aca="false">L49-K42</f>
        <v>800</v>
      </c>
      <c r="M47" s="1" t="n">
        <f aca="false">K47-L47</f>
        <v>-545.939748855032</v>
      </c>
      <c r="P47" s="212"/>
    </row>
    <row r="48" customFormat="false" ht="31.8" hidden="false" customHeight="false" outlineLevel="0" collapsed="false">
      <c r="A48" s="66" t="s">
        <v>82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254.060251144968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83</v>
      </c>
      <c r="B50" s="71" t="s">
        <v>84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254.060251144968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85</v>
      </c>
      <c r="B58" s="93" t="n">
        <v>1</v>
      </c>
      <c r="C58" s="93"/>
      <c r="D58" s="93"/>
      <c r="E58" s="113"/>
      <c r="F58" s="113"/>
      <c r="G58" s="113"/>
      <c r="H58" s="33"/>
      <c r="J58" s="31" t="s">
        <v>85</v>
      </c>
      <c r="K58" s="93" t="n">
        <v>1</v>
      </c>
      <c r="L58" s="93"/>
      <c r="M58" s="93"/>
      <c r="N58" s="113"/>
      <c r="O58" s="113"/>
      <c r="P58" s="113"/>
      <c r="Q58" s="33"/>
      <c r="S58" s="31" t="s">
        <v>85</v>
      </c>
      <c r="T58" s="93" t="n">
        <v>1</v>
      </c>
      <c r="U58" s="93"/>
      <c r="V58" s="93"/>
      <c r="W58" s="113"/>
      <c r="X58" s="113"/>
      <c r="Y58" s="113"/>
      <c r="Z58" s="33"/>
      <c r="AB58" s="31" t="s">
        <v>85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86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86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86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86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87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87</v>
      </c>
      <c r="K60" s="77" t="n">
        <v>20</v>
      </c>
      <c r="L60" s="93"/>
      <c r="M60" s="93"/>
      <c r="N60" s="113"/>
      <c r="O60" s="113"/>
      <c r="P60" s="113"/>
      <c r="Q60" s="33"/>
      <c r="S60" s="76" t="s">
        <v>87</v>
      </c>
      <c r="T60" s="77" t="n">
        <v>10</v>
      </c>
      <c r="U60" s="93"/>
      <c r="V60" s="93"/>
      <c r="W60" s="113"/>
      <c r="X60" s="113"/>
      <c r="Y60" s="113"/>
      <c r="Z60" s="33"/>
      <c r="AB60" s="76" t="s">
        <v>87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88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88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88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88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89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89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89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89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90</v>
      </c>
      <c r="K64" s="258" t="n">
        <v>0.1</v>
      </c>
      <c r="L64" s="93"/>
      <c r="M64" s="93"/>
      <c r="N64" s="113"/>
      <c r="O64" s="113"/>
      <c r="P64" s="113"/>
      <c r="Q64" s="33"/>
      <c r="S64" s="82" t="s">
        <v>90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90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91</v>
      </c>
      <c r="B65" s="65" t="n">
        <f aca="false">(B89*B59)-(K47*K29)</f>
        <v>4178.78656541376</v>
      </c>
      <c r="C65" s="93"/>
      <c r="D65" s="93"/>
      <c r="E65" s="113"/>
      <c r="F65" s="113"/>
      <c r="G65" s="113"/>
      <c r="H65" s="33"/>
      <c r="J65" s="56" t="s">
        <v>91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91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91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92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92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92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93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93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93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93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94</v>
      </c>
      <c r="B68" s="65" t="n">
        <f aca="false">(G158*B67)/1.2</f>
        <v>181.249966666667</v>
      </c>
      <c r="C68" s="93"/>
      <c r="D68" s="93"/>
      <c r="E68" s="113"/>
      <c r="F68" s="113"/>
      <c r="G68" s="113"/>
      <c r="H68" s="33"/>
      <c r="J68" s="56" t="s">
        <v>94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94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94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95</v>
      </c>
      <c r="B69" s="256" t="n">
        <v>0</v>
      </c>
      <c r="C69" s="93"/>
      <c r="D69" s="93"/>
      <c r="E69" s="113"/>
      <c r="F69" s="113"/>
      <c r="G69" s="113"/>
      <c r="H69" s="33"/>
      <c r="J69" s="78" t="s">
        <v>95</v>
      </c>
      <c r="K69" s="256" t="n">
        <v>0</v>
      </c>
      <c r="L69" s="93"/>
      <c r="M69" s="93"/>
      <c r="N69" s="113"/>
      <c r="O69" s="113"/>
      <c r="P69" s="113"/>
      <c r="Q69" s="33"/>
      <c r="S69" s="78" t="s">
        <v>95</v>
      </c>
      <c r="T69" s="256" t="n">
        <v>0</v>
      </c>
      <c r="U69" s="93"/>
      <c r="V69" s="93"/>
      <c r="W69" s="113"/>
      <c r="X69" s="113"/>
      <c r="Y69" s="113"/>
      <c r="Z69" s="33"/>
      <c r="AB69" s="78" t="s">
        <v>95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96</v>
      </c>
      <c r="B70" s="257" t="n">
        <v>0</v>
      </c>
      <c r="C70" s="93"/>
      <c r="D70" s="93"/>
      <c r="E70" s="113"/>
      <c r="F70" s="113"/>
      <c r="G70" s="113"/>
      <c r="H70" s="33"/>
      <c r="J70" s="80" t="s">
        <v>96</v>
      </c>
      <c r="K70" s="257" t="n">
        <v>0</v>
      </c>
      <c r="L70" s="93"/>
      <c r="M70" s="93"/>
      <c r="N70" s="113"/>
      <c r="O70" s="113"/>
      <c r="P70" s="113"/>
      <c r="Q70" s="33"/>
      <c r="S70" s="80" t="s">
        <v>96</v>
      </c>
      <c r="T70" s="257" t="n">
        <v>0</v>
      </c>
      <c r="U70" s="93"/>
      <c r="V70" s="93"/>
      <c r="W70" s="113"/>
      <c r="X70" s="113"/>
      <c r="Y70" s="113"/>
      <c r="Z70" s="33"/>
      <c r="AB70" s="80" t="s">
        <v>96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97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97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97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98</v>
      </c>
      <c r="B72" s="86" t="n">
        <v>0</v>
      </c>
      <c r="C72" s="93"/>
      <c r="D72" s="93"/>
      <c r="E72" s="113"/>
      <c r="F72" s="113"/>
      <c r="G72" s="113"/>
      <c r="H72" s="33"/>
      <c r="J72" s="78" t="s">
        <v>98</v>
      </c>
      <c r="K72" s="86" t="n">
        <v>0</v>
      </c>
      <c r="L72" s="93"/>
      <c r="M72" s="93"/>
      <c r="N72" s="113"/>
      <c r="O72" s="113"/>
      <c r="P72" s="113"/>
      <c r="Q72" s="33"/>
      <c r="S72" s="78" t="s">
        <v>98</v>
      </c>
      <c r="T72" s="86" t="n">
        <v>0</v>
      </c>
      <c r="U72" s="93"/>
      <c r="V72" s="93"/>
      <c r="W72" s="113"/>
      <c r="X72" s="113"/>
      <c r="Y72" s="113"/>
      <c r="Z72" s="33"/>
      <c r="AB72" s="78" t="s">
        <v>98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99</v>
      </c>
      <c r="B73" s="77" t="n">
        <v>0</v>
      </c>
      <c r="C73" s="93"/>
      <c r="D73" s="93"/>
      <c r="E73" s="113"/>
      <c r="F73" s="113"/>
      <c r="G73" s="113"/>
      <c r="H73" s="33"/>
      <c r="J73" s="80" t="s">
        <v>99</v>
      </c>
      <c r="K73" s="77" t="n">
        <v>0</v>
      </c>
      <c r="L73" s="93"/>
      <c r="M73" s="93"/>
      <c r="N73" s="113"/>
      <c r="O73" s="113"/>
      <c r="P73" s="113"/>
      <c r="Q73" s="33"/>
      <c r="S73" s="80" t="s">
        <v>99</v>
      </c>
      <c r="T73" s="77" t="n">
        <v>0</v>
      </c>
      <c r="U73" s="93"/>
      <c r="V73" s="93"/>
      <c r="W73" s="113"/>
      <c r="X73" s="113"/>
      <c r="Y73" s="113"/>
      <c r="Z73" s="33"/>
      <c r="AB73" s="80" t="s">
        <v>99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100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100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100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100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101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101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101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101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102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102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102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102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103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103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103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104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104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104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104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105</v>
      </c>
      <c r="B79" s="59" t="n">
        <f aca="false">K47</f>
        <v>254.060251144968</v>
      </c>
      <c r="C79" s="93"/>
      <c r="D79" s="93"/>
      <c r="E79" s="113"/>
      <c r="F79" s="113"/>
      <c r="G79" s="113"/>
      <c r="H79" s="33"/>
      <c r="J79" s="90" t="s">
        <v>105</v>
      </c>
      <c r="K79" s="59" t="n">
        <f aca="false">K47</f>
        <v>254.060251144968</v>
      </c>
      <c r="L79" s="93"/>
      <c r="M79" s="93"/>
      <c r="N79" s="113"/>
      <c r="O79" s="113"/>
      <c r="P79" s="113"/>
      <c r="Q79" s="33"/>
      <c r="S79" s="90" t="s">
        <v>105</v>
      </c>
      <c r="T79" s="59" t="n">
        <f aca="false">B52</f>
        <v>254.060251144968</v>
      </c>
      <c r="U79" s="93"/>
      <c r="V79" s="93"/>
      <c r="W79" s="113"/>
      <c r="X79" s="113"/>
      <c r="Y79" s="113"/>
      <c r="Z79" s="33"/>
      <c r="AB79" s="90" t="s">
        <v>105</v>
      </c>
      <c r="AC79" s="59" t="n">
        <f aca="false">B52</f>
        <v>254.060251144968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106</v>
      </c>
      <c r="B81" s="27" t="n">
        <f aca="false">G158</f>
        <v>21749.996</v>
      </c>
      <c r="C81" s="93"/>
      <c r="D81" s="93"/>
      <c r="E81" s="113"/>
      <c r="F81" s="25" t="s">
        <v>106</v>
      </c>
      <c r="G81" s="27" t="n">
        <f aca="false">G158</f>
        <v>21749.996</v>
      </c>
      <c r="H81" s="33"/>
      <c r="J81" s="25" t="s">
        <v>106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106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106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107</v>
      </c>
      <c r="B82" s="33" t="n">
        <f aca="false">IF(A111="YES",A40,0)</f>
        <v>15100</v>
      </c>
      <c r="C82" s="93"/>
      <c r="D82" s="93"/>
      <c r="E82" s="113"/>
      <c r="F82" s="31" t="s">
        <v>107</v>
      </c>
      <c r="G82" s="33" t="n">
        <f aca="false">IF(A111="YES",A40,0)</f>
        <v>15100</v>
      </c>
      <c r="H82" s="33"/>
      <c r="J82" s="31" t="s">
        <v>107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107</v>
      </c>
      <c r="T82" s="33" t="n">
        <f aca="false">A40</f>
        <v>15100</v>
      </c>
      <c r="U82" s="93"/>
      <c r="V82" s="93"/>
      <c r="W82" s="113"/>
      <c r="X82" s="113"/>
      <c r="Y82" s="113"/>
      <c r="Z82" s="33"/>
      <c r="AB82" s="31" t="s">
        <v>107</v>
      </c>
      <c r="AC82" s="33" t="n">
        <f aca="false">A40</f>
        <v>15100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0.12</v>
      </c>
      <c r="C83" s="93"/>
      <c r="D83" s="93"/>
      <c r="E83" s="113"/>
      <c r="F83" s="31" t="s">
        <v>108</v>
      </c>
      <c r="G83" s="91" t="n">
        <f aca="false">B63</f>
        <v>0.07</v>
      </c>
      <c r="H83" s="33"/>
      <c r="J83" s="31" t="s">
        <v>108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108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108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109</v>
      </c>
      <c r="B84" s="92" t="n">
        <f aca="false">B83/12</f>
        <v>0.01</v>
      </c>
      <c r="C84" s="93"/>
      <c r="D84" s="93"/>
      <c r="E84" s="113"/>
      <c r="F84" s="31" t="s">
        <v>109</v>
      </c>
      <c r="G84" s="92" t="n">
        <f aca="false">G83/12</f>
        <v>0.00583333333333333</v>
      </c>
      <c r="H84" s="33"/>
      <c r="J84" s="31" t="s">
        <v>109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109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109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110</v>
      </c>
      <c r="B85" s="33" t="n">
        <f aca="false">B59</f>
        <v>35</v>
      </c>
      <c r="C85" s="93"/>
      <c r="D85" s="93"/>
      <c r="E85" s="113"/>
      <c r="F85" s="31" t="s">
        <v>110</v>
      </c>
      <c r="G85" s="33" t="n">
        <f aca="false">IF(G82=0, (B59+B58), (B59))</f>
        <v>35</v>
      </c>
      <c r="H85" s="33"/>
      <c r="J85" s="31" t="s">
        <v>110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110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110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10553.7667393716</v>
      </c>
      <c r="C86" s="93"/>
      <c r="D86" s="93"/>
      <c r="E86" s="113"/>
      <c r="F86" s="31" t="s">
        <v>111</v>
      </c>
      <c r="G86" s="33" t="n">
        <f aca="false">(G82/((1+G84)^(G85+1)))</f>
        <v>12247.2922562186</v>
      </c>
      <c r="H86" s="33"/>
      <c r="J86" s="31" t="s">
        <v>111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111</v>
      </c>
      <c r="T86" s="33" t="n">
        <f aca="false">(T82/((1+T84)^(T85+1)))</f>
        <v>10214.6644991786</v>
      </c>
      <c r="U86" s="93"/>
      <c r="V86" s="93"/>
      <c r="W86" s="113"/>
      <c r="X86" s="113"/>
      <c r="Y86" s="113"/>
      <c r="Z86" s="33"/>
      <c r="AB86" s="31" t="s">
        <v>111</v>
      </c>
      <c r="AC86" s="33" t="n">
        <f aca="false">(AC82/((1+AC84)^(AC85+1)))</f>
        <v>10214.6644991786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29.4085800876469</v>
      </c>
      <c r="C87" s="93"/>
      <c r="D87" s="93"/>
      <c r="E87" s="113"/>
      <c r="F87" s="31" t="s">
        <v>112</v>
      </c>
      <c r="G87" s="33" t="n">
        <f aca="false">((1-(1/((1+G84)^G85)))/G84)</f>
        <v>31.5753854942677</v>
      </c>
      <c r="H87" s="33"/>
      <c r="J87" s="31" t="s">
        <v>112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112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112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113</v>
      </c>
      <c r="B88" s="33" t="n">
        <f aca="false">B81-B86</f>
        <v>11196.2292606284</v>
      </c>
      <c r="C88" s="93"/>
      <c r="D88" s="93"/>
      <c r="E88" s="113"/>
      <c r="F88" s="31" t="s">
        <v>113</v>
      </c>
      <c r="G88" s="33" t="n">
        <f aca="false">G81-G86</f>
        <v>9502.70374378136</v>
      </c>
      <c r="H88" s="33"/>
      <c r="J88" s="31" t="s">
        <v>113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113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113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114</v>
      </c>
      <c r="B89" s="33" t="n">
        <f aca="false">(B88/B87)</f>
        <v>380.71301733236</v>
      </c>
      <c r="C89" s="93"/>
      <c r="D89" s="93"/>
      <c r="E89" s="113"/>
      <c r="F89" s="31" t="s">
        <v>114</v>
      </c>
      <c r="G89" s="33" t="n">
        <f aca="false">(G88/G87)</f>
        <v>300.952897170694</v>
      </c>
      <c r="H89" s="33"/>
      <c r="J89" s="31" t="s">
        <v>114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114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114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13324.9556066326</v>
      </c>
      <c r="C90" s="93"/>
      <c r="D90" s="93"/>
      <c r="E90" s="113"/>
      <c r="F90" s="31" t="s">
        <v>115</v>
      </c>
      <c r="G90" s="33" t="n">
        <f aca="false">((G89*(G85))+G77)</f>
        <v>10533.3514009743</v>
      </c>
      <c r="H90" s="33"/>
      <c r="J90" s="31" t="s">
        <v>115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115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115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31" t="s">
        <v>116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116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116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117</v>
      </c>
      <c r="B92" s="65" t="n">
        <f aca="false">(B90+B91)</f>
        <v>13324.9556066326</v>
      </c>
      <c r="C92" s="93"/>
      <c r="D92" s="93"/>
      <c r="E92" s="113"/>
      <c r="F92" s="56" t="s">
        <v>117</v>
      </c>
      <c r="G92" s="65" t="n">
        <f aca="false">(G90+G91)</f>
        <v>10533.3514009743</v>
      </c>
      <c r="H92" s="33"/>
      <c r="J92" s="56" t="s">
        <v>117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117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117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118</v>
      </c>
      <c r="B94" s="94" t="str">
        <f aca="false">IF(B26="YES",((E40/B85)*(1+A108)*(C45/100)),"0")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88" t="s">
        <v>118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118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118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119</v>
      </c>
      <c r="B95" s="96" t="n">
        <f aca="false">(B92/B85)</f>
        <v>380.71301733236</v>
      </c>
      <c r="C95" s="93"/>
      <c r="D95" s="93"/>
      <c r="E95" s="113"/>
      <c r="F95" s="95" t="s">
        <v>119</v>
      </c>
      <c r="G95" s="96" t="n">
        <f aca="false">G92/(G85)</f>
        <v>300.952897170694</v>
      </c>
      <c r="H95" s="33"/>
      <c r="J95" s="95" t="s">
        <v>119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119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119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120</v>
      </c>
      <c r="B96" s="98" t="n">
        <f aca="false">B94+B95</f>
        <v>380.71301733236</v>
      </c>
      <c r="C96" s="93"/>
      <c r="D96" s="93"/>
      <c r="E96" s="113"/>
      <c r="F96" s="97" t="s">
        <v>120</v>
      </c>
      <c r="G96" s="98" t="n">
        <f aca="false">G94+G95</f>
        <v>300.952897170694</v>
      </c>
      <c r="H96" s="33"/>
      <c r="J96" s="97" t="s">
        <v>120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120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120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123</v>
      </c>
      <c r="K100" s="100"/>
      <c r="L100" s="100"/>
      <c r="M100" s="100"/>
      <c r="N100" s="100"/>
      <c r="O100" s="100"/>
      <c r="P100" s="100"/>
      <c r="Q100" s="100"/>
      <c r="S100" s="100" t="s">
        <v>124</v>
      </c>
      <c r="T100" s="100"/>
      <c r="U100" s="100"/>
      <c r="V100" s="100"/>
      <c r="W100" s="100"/>
      <c r="X100" s="100"/>
      <c r="Y100" s="100"/>
      <c r="Z100" s="100"/>
      <c r="AB100" s="100" t="s">
        <v>125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8" t="s">
        <v>126</v>
      </c>
      <c r="K102" s="28"/>
      <c r="L102" s="28"/>
      <c r="M102" s="28"/>
      <c r="N102" s="28"/>
      <c r="O102" s="28"/>
      <c r="P102" s="28"/>
      <c r="Q102" s="28"/>
      <c r="S102" s="28" t="s">
        <v>126</v>
      </c>
      <c r="T102" s="28"/>
      <c r="U102" s="28"/>
      <c r="V102" s="28"/>
      <c r="W102" s="28"/>
      <c r="X102" s="28"/>
      <c r="Y102" s="28"/>
      <c r="Z102" s="28"/>
      <c r="AB102" s="28" t="s">
        <v>126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31" t="s">
        <v>127</v>
      </c>
      <c r="K104" s="93" t="s">
        <v>23</v>
      </c>
      <c r="L104" s="93"/>
      <c r="M104" s="93"/>
      <c r="N104" s="93" t="s">
        <v>128</v>
      </c>
      <c r="O104" s="93"/>
      <c r="P104" s="93"/>
      <c r="Q104" s="33"/>
      <c r="S104" s="31" t="s">
        <v>127</v>
      </c>
      <c r="T104" s="93" t="s">
        <v>23</v>
      </c>
      <c r="U104" s="93"/>
      <c r="V104" s="93"/>
      <c r="W104" s="93" t="s">
        <v>128</v>
      </c>
      <c r="X104" s="93"/>
      <c r="Y104" s="93"/>
      <c r="Z104" s="33"/>
      <c r="AB104" s="31" t="s">
        <v>127</v>
      </c>
      <c r="AC104" s="93" t="s">
        <v>23</v>
      </c>
      <c r="AD104" s="93"/>
      <c r="AE104" s="93"/>
      <c r="AF104" s="93" t="s">
        <v>128</v>
      </c>
      <c r="AG104" s="93"/>
      <c r="AH104" s="93"/>
      <c r="AI104" s="33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451" t="s">
        <v>390</v>
      </c>
      <c r="F105" s="451"/>
      <c r="G105" s="451"/>
      <c r="H105" s="102"/>
      <c r="J105" s="36" t="s">
        <v>129</v>
      </c>
      <c r="K105" s="103" t="s">
        <v>130</v>
      </c>
      <c r="L105" s="103"/>
      <c r="M105" s="103"/>
      <c r="N105" s="104" t="s">
        <v>18</v>
      </c>
      <c r="O105" s="104"/>
      <c r="P105" s="104"/>
      <c r="Q105" s="102"/>
      <c r="S105" s="36" t="s">
        <v>129</v>
      </c>
      <c r="T105" s="103" t="s">
        <v>130</v>
      </c>
      <c r="U105" s="103"/>
      <c r="V105" s="103"/>
      <c r="W105" s="104" t="s">
        <v>18</v>
      </c>
      <c r="X105" s="104"/>
      <c r="Y105" s="104"/>
      <c r="Z105" s="102"/>
      <c r="AB105" s="36" t="s">
        <v>129</v>
      </c>
      <c r="AC105" s="103" t="s">
        <v>130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31" t="s">
        <v>131</v>
      </c>
      <c r="K107" s="93" t="s">
        <v>132</v>
      </c>
      <c r="L107" s="93"/>
      <c r="M107" s="113"/>
      <c r="N107" s="93" t="s">
        <v>133</v>
      </c>
      <c r="O107" s="93"/>
      <c r="P107" s="113"/>
      <c r="Q107" s="102"/>
      <c r="S107" s="31" t="s">
        <v>131</v>
      </c>
      <c r="T107" s="93" t="s">
        <v>132</v>
      </c>
      <c r="U107" s="93"/>
      <c r="V107" s="113"/>
      <c r="W107" s="93" t="s">
        <v>133</v>
      </c>
      <c r="X107" s="93"/>
      <c r="Y107" s="113"/>
      <c r="Z107" s="102"/>
      <c r="AB107" s="31" t="s">
        <v>131</v>
      </c>
      <c r="AC107" s="93" t="s">
        <v>132</v>
      </c>
      <c r="AD107" s="93"/>
      <c r="AE107" s="113"/>
      <c r="AF107" s="93" t="s">
        <v>133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134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135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135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31" t="s">
        <v>137</v>
      </c>
      <c r="K110" s="93" t="s">
        <v>138</v>
      </c>
      <c r="L110" s="93"/>
      <c r="M110" s="93"/>
      <c r="N110" s="93" t="s">
        <v>139</v>
      </c>
      <c r="O110" s="93"/>
      <c r="P110" s="93"/>
      <c r="Q110" s="33"/>
      <c r="S110" s="31" t="s">
        <v>137</v>
      </c>
      <c r="T110" s="93" t="s">
        <v>138</v>
      </c>
      <c r="U110" s="93"/>
      <c r="V110" s="93"/>
      <c r="W110" s="93" t="s">
        <v>139</v>
      </c>
      <c r="X110" s="93"/>
      <c r="Y110" s="93"/>
      <c r="Z110" s="33"/>
      <c r="AB110" s="31" t="s">
        <v>137</v>
      </c>
      <c r="AC110" s="93" t="s">
        <v>138</v>
      </c>
      <c r="AD110" s="93"/>
      <c r="AE110" s="93"/>
      <c r="AF110" s="93" t="s">
        <v>139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110" t="s">
        <v>140</v>
      </c>
      <c r="K113" s="93" t="s">
        <v>141</v>
      </c>
      <c r="L113" s="93"/>
      <c r="M113" s="93"/>
      <c r="N113" s="93" t="s">
        <v>142</v>
      </c>
      <c r="O113" s="93"/>
      <c r="P113" s="113"/>
      <c r="Q113" s="102"/>
      <c r="S113" s="110" t="s">
        <v>140</v>
      </c>
      <c r="T113" s="93" t="s">
        <v>141</v>
      </c>
      <c r="U113" s="93"/>
      <c r="V113" s="93"/>
      <c r="W113" s="93" t="s">
        <v>142</v>
      </c>
      <c r="X113" s="93"/>
      <c r="Y113" s="113"/>
      <c r="Z113" s="102"/>
      <c r="AB113" s="110" t="s">
        <v>140</v>
      </c>
      <c r="AC113" s="93" t="s">
        <v>141</v>
      </c>
      <c r="AD113" s="93"/>
      <c r="AE113" s="93"/>
      <c r="AF113" s="93" t="s">
        <v>142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397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8" t="s">
        <v>144</v>
      </c>
      <c r="K117" s="28"/>
      <c r="L117" s="28"/>
      <c r="M117" s="28"/>
      <c r="N117" s="28"/>
      <c r="O117" s="28"/>
      <c r="P117" s="28"/>
      <c r="Q117" s="28"/>
      <c r="S117" s="28" t="s">
        <v>144</v>
      </c>
      <c r="T117" s="28"/>
      <c r="U117" s="28"/>
      <c r="V117" s="28"/>
      <c r="W117" s="28"/>
      <c r="X117" s="28"/>
      <c r="Y117" s="28"/>
      <c r="Z117" s="28"/>
      <c r="AB117" s="28" t="s">
        <v>144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78"/>
      <c r="K119" s="114" t="s">
        <v>145</v>
      </c>
      <c r="L119" s="114"/>
      <c r="M119" s="114" t="s">
        <v>146</v>
      </c>
      <c r="N119" s="114"/>
      <c r="O119" s="114" t="s">
        <v>147</v>
      </c>
      <c r="P119" s="114"/>
      <c r="Q119" s="115" t="s">
        <v>148</v>
      </c>
      <c r="S119" s="78"/>
      <c r="T119" s="114" t="s">
        <v>145</v>
      </c>
      <c r="U119" s="114"/>
      <c r="V119" s="114" t="s">
        <v>146</v>
      </c>
      <c r="W119" s="114"/>
      <c r="X119" s="114" t="s">
        <v>147</v>
      </c>
      <c r="Y119" s="114"/>
      <c r="Z119" s="115" t="s">
        <v>148</v>
      </c>
      <c r="AB119" s="78"/>
      <c r="AC119" s="114" t="s">
        <v>145</v>
      </c>
      <c r="AD119" s="114"/>
      <c r="AE119" s="114" t="s">
        <v>146</v>
      </c>
      <c r="AF119" s="114"/>
      <c r="AG119" s="114" t="s">
        <v>147</v>
      </c>
      <c r="AH119" s="114"/>
      <c r="AI119" s="115" t="s">
        <v>148</v>
      </c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80"/>
      <c r="K120" s="116" t="s">
        <v>149</v>
      </c>
      <c r="L120" s="117" t="s">
        <v>150</v>
      </c>
      <c r="M120" s="116" t="s">
        <v>149</v>
      </c>
      <c r="N120" s="118" t="s">
        <v>150</v>
      </c>
      <c r="O120" s="116" t="s">
        <v>149</v>
      </c>
      <c r="P120" s="118" t="s">
        <v>150</v>
      </c>
      <c r="Q120" s="119"/>
      <c r="S120" s="80"/>
      <c r="T120" s="116" t="s">
        <v>149</v>
      </c>
      <c r="U120" s="117" t="s">
        <v>150</v>
      </c>
      <c r="V120" s="116" t="s">
        <v>149</v>
      </c>
      <c r="W120" s="118" t="s">
        <v>150</v>
      </c>
      <c r="X120" s="116" t="s">
        <v>149</v>
      </c>
      <c r="Y120" s="118" t="s">
        <v>150</v>
      </c>
      <c r="Z120" s="119"/>
      <c r="AB120" s="80"/>
      <c r="AC120" s="116" t="s">
        <v>149</v>
      </c>
      <c r="AD120" s="117" t="s">
        <v>150</v>
      </c>
      <c r="AE120" s="116" t="s">
        <v>149</v>
      </c>
      <c r="AF120" s="118" t="s">
        <v>150</v>
      </c>
      <c r="AG120" s="116" t="s">
        <v>149</v>
      </c>
      <c r="AH120" s="118" t="s">
        <v>150</v>
      </c>
      <c r="AI120" s="119"/>
    </row>
    <row r="121" customFormat="false" ht="17.35" hidden="false" customHeight="false" outlineLevel="0" collapsed="false">
      <c r="A121" s="25" t="s">
        <v>151</v>
      </c>
      <c r="B121" s="120" t="n">
        <f aca="false">B9</f>
        <v>18375</v>
      </c>
      <c r="C121" s="121" t="n">
        <v>19791.67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151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151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151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152</v>
      </c>
      <c r="K122" s="123" t="n">
        <f aca="false">B4</f>
        <v>22050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152</v>
      </c>
      <c r="T122" s="123" t="n">
        <f aca="false">B4</f>
        <v>22050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152</v>
      </c>
      <c r="AC122" s="123" t="n">
        <f aca="false">B4</f>
        <v>22050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153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153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153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154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154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154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155</v>
      </c>
      <c r="B125" s="132" t="n">
        <f aca="false">B121-B124</f>
        <v>18375</v>
      </c>
      <c r="C125" s="133" t="n">
        <f aca="false">C121-C124</f>
        <v>20208.33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155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155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155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134"/>
      <c r="K127" s="135"/>
      <c r="L127" s="135"/>
      <c r="M127" s="135"/>
      <c r="N127" s="135"/>
      <c r="O127" s="135"/>
      <c r="P127" s="136" t="s">
        <v>149</v>
      </c>
      <c r="Q127" s="137" t="s">
        <v>150</v>
      </c>
      <c r="S127" s="134"/>
      <c r="T127" s="135"/>
      <c r="U127" s="135"/>
      <c r="V127" s="135"/>
      <c r="W127" s="135"/>
      <c r="X127" s="135"/>
      <c r="Y127" s="136" t="s">
        <v>149</v>
      </c>
      <c r="Z127" s="137" t="s">
        <v>150</v>
      </c>
      <c r="AB127" s="134"/>
      <c r="AC127" s="135"/>
      <c r="AD127" s="135"/>
      <c r="AE127" s="135"/>
      <c r="AF127" s="135"/>
      <c r="AG127" s="135"/>
      <c r="AH127" s="136" t="s">
        <v>149</v>
      </c>
      <c r="AI127" s="137" t="s">
        <v>150</v>
      </c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156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156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156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147" t="s">
        <v>157</v>
      </c>
      <c r="K130" s="144" t="s">
        <v>158</v>
      </c>
      <c r="L130" s="144"/>
      <c r="M130" s="144" t="s">
        <v>159</v>
      </c>
      <c r="N130" s="144"/>
      <c r="O130" s="144" t="s">
        <v>153</v>
      </c>
      <c r="P130" s="144"/>
      <c r="Q130" s="145" t="s">
        <v>150</v>
      </c>
      <c r="S130" s="147" t="s">
        <v>157</v>
      </c>
      <c r="T130" s="144" t="s">
        <v>158</v>
      </c>
      <c r="U130" s="144"/>
      <c r="V130" s="144" t="s">
        <v>159</v>
      </c>
      <c r="W130" s="144"/>
      <c r="X130" s="144" t="s">
        <v>153</v>
      </c>
      <c r="Y130" s="144"/>
      <c r="Z130" s="145" t="s">
        <v>150</v>
      </c>
      <c r="AB130" s="147" t="s">
        <v>157</v>
      </c>
      <c r="AC130" s="144" t="s">
        <v>158</v>
      </c>
      <c r="AD130" s="144"/>
      <c r="AE130" s="144" t="s">
        <v>159</v>
      </c>
      <c r="AF130" s="144"/>
      <c r="AG130" s="144" t="s">
        <v>153</v>
      </c>
      <c r="AH130" s="144"/>
      <c r="AI130" s="145" t="s">
        <v>150</v>
      </c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160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160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160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161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161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161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162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162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162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B121</f>
        <v>18375</v>
      </c>
      <c r="H135" s="153" t="n">
        <f aca="false">C125+E125+G125+H128</f>
        <v>20208.33</v>
      </c>
      <c r="J135" s="152" t="s">
        <v>163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163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163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164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164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164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3675</v>
      </c>
      <c r="H137" s="33" t="n">
        <f aca="false">(H135+H136)*20%</f>
        <v>4041.666</v>
      </c>
      <c r="J137" s="154" t="s">
        <v>165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165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165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166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166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166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167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167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167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168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168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168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22050</v>
      </c>
      <c r="H141" s="157" t="n">
        <f aca="false">(H135+H136+H139+H140+H137)-H138</f>
        <v>24249.996</v>
      </c>
      <c r="J141" s="154" t="s">
        <v>169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169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169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170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170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170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111" t="s">
        <v>171</v>
      </c>
      <c r="K143" s="111"/>
      <c r="L143" s="111"/>
      <c r="M143" s="111"/>
      <c r="N143" s="111"/>
      <c r="O143" s="111"/>
      <c r="P143" s="103"/>
      <c r="Q143" s="33"/>
      <c r="S143" s="111" t="s">
        <v>171</v>
      </c>
      <c r="T143" s="111"/>
      <c r="U143" s="111"/>
      <c r="V143" s="111"/>
      <c r="W143" s="111"/>
      <c r="X143" s="111"/>
      <c r="Y143" s="103"/>
      <c r="Z143" s="33"/>
      <c r="AB143" s="111" t="s">
        <v>171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172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172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172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172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172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172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172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172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172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22050</v>
      </c>
      <c r="H147" s="164" t="n">
        <f aca="false">H141-((H144*1.2)+(H145*1.2)+(H146*1.2)+(H142*1.2))</f>
        <v>24249.996</v>
      </c>
      <c r="J147" s="154" t="s">
        <v>173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173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173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1833.33</v>
      </c>
      <c r="I148" s="1" t="n">
        <f aca="false">(H148-G81)/1.2</f>
        <v>-16597.2216666667</v>
      </c>
      <c r="J148" s="154" t="s">
        <v>174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174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174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8" t="s">
        <v>175</v>
      </c>
      <c r="K150" s="28"/>
      <c r="L150" s="28"/>
      <c r="M150" s="28"/>
      <c r="N150" s="28"/>
      <c r="O150" s="28"/>
      <c r="P150" s="28"/>
      <c r="Q150" s="28"/>
      <c r="S150" s="28" t="s">
        <v>175</v>
      </c>
      <c r="T150" s="28"/>
      <c r="U150" s="28"/>
      <c r="V150" s="28"/>
      <c r="W150" s="28"/>
      <c r="X150" s="28"/>
      <c r="Y150" s="28"/>
      <c r="Z150" s="28"/>
      <c r="AB150" s="28" t="s">
        <v>175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176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176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176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177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177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177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178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178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178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179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179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179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180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180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180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21749.996</v>
      </c>
      <c r="H158" s="170"/>
      <c r="J158" s="169" t="s">
        <v>181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181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181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8" t="s">
        <v>182</v>
      </c>
      <c r="K162" s="28"/>
      <c r="L162" s="28"/>
      <c r="M162" s="28"/>
      <c r="N162" s="28"/>
      <c r="O162" s="28"/>
      <c r="P162" s="28"/>
      <c r="Q162" s="28"/>
      <c r="S162" s="28" t="s">
        <v>182</v>
      </c>
      <c r="T162" s="28"/>
      <c r="U162" s="28"/>
      <c r="V162" s="28"/>
      <c r="W162" s="28"/>
      <c r="X162" s="28"/>
      <c r="Y162" s="28"/>
      <c r="Z162" s="28"/>
      <c r="AB162" s="28" t="s">
        <v>182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183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183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183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173" t="s">
        <v>184</v>
      </c>
      <c r="K166" s="174" t="s">
        <v>185</v>
      </c>
      <c r="L166" s="174"/>
      <c r="M166" s="174"/>
      <c r="N166" s="174" t="s">
        <v>186</v>
      </c>
      <c r="O166" s="23"/>
      <c r="P166" s="23"/>
      <c r="Q166" s="33"/>
      <c r="S166" s="173" t="s">
        <v>184</v>
      </c>
      <c r="T166" s="174" t="s">
        <v>185</v>
      </c>
      <c r="U166" s="174"/>
      <c r="V166" s="174"/>
      <c r="W166" s="174" t="s">
        <v>186</v>
      </c>
      <c r="X166" s="23"/>
      <c r="Y166" s="23"/>
      <c r="Z166" s="33"/>
      <c r="AB166" s="173" t="s">
        <v>184</v>
      </c>
      <c r="AC166" s="174" t="s">
        <v>185</v>
      </c>
      <c r="AD166" s="174"/>
      <c r="AE166" s="174"/>
      <c r="AF166" s="174" t="s">
        <v>186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380.71301733236</v>
      </c>
      <c r="B167" s="177" t="str">
        <f aca="false">B94</f>
        <v>0</v>
      </c>
      <c r="C167" s="174"/>
      <c r="D167" s="174"/>
      <c r="E167" s="177" t="n">
        <f aca="false">B96</f>
        <v>380.71301733236</v>
      </c>
      <c r="F167" s="23"/>
      <c r="G167" s="23" t="n">
        <f aca="false">ROUND(G95, 2)</f>
        <v>300.95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31" t="s">
        <v>83</v>
      </c>
      <c r="K169" s="93" t="s">
        <v>84</v>
      </c>
      <c r="L169" s="93"/>
      <c r="M169" s="23"/>
      <c r="N169" s="93" t="s">
        <v>188</v>
      </c>
      <c r="O169" s="23"/>
      <c r="P169" s="23"/>
      <c r="Q169" s="33"/>
      <c r="S169" s="31" t="s">
        <v>83</v>
      </c>
      <c r="T169" s="93" t="s">
        <v>84</v>
      </c>
      <c r="U169" s="93"/>
      <c r="V169" s="23"/>
      <c r="W169" s="93" t="s">
        <v>188</v>
      </c>
      <c r="X169" s="23"/>
      <c r="Y169" s="23"/>
      <c r="Z169" s="33"/>
      <c r="AB169" s="31" t="s">
        <v>83</v>
      </c>
      <c r="AC169" s="93" t="s">
        <v>84</v>
      </c>
      <c r="AD169" s="93"/>
      <c r="AE169" s="23"/>
      <c r="AF169" s="93" t="s">
        <v>188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15100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15100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15100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15100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31" t="s">
        <v>189</v>
      </c>
      <c r="K172" s="93" t="s">
        <v>190</v>
      </c>
      <c r="L172" s="93"/>
      <c r="M172" s="23"/>
      <c r="N172" s="93" t="s">
        <v>191</v>
      </c>
      <c r="O172" s="23"/>
      <c r="P172" s="23"/>
      <c r="Q172" s="33"/>
      <c r="S172" s="31" t="s">
        <v>189</v>
      </c>
      <c r="T172" s="93" t="s">
        <v>190</v>
      </c>
      <c r="U172" s="93"/>
      <c r="V172" s="23"/>
      <c r="W172" s="93" t="s">
        <v>191</v>
      </c>
      <c r="X172" s="23"/>
      <c r="Y172" s="23"/>
      <c r="Z172" s="33"/>
      <c r="AB172" s="31" t="s">
        <v>189</v>
      </c>
      <c r="AC172" s="93" t="s">
        <v>190</v>
      </c>
      <c r="AD172" s="93"/>
      <c r="AE172" s="23"/>
      <c r="AF172" s="93" t="s">
        <v>191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20208.33</v>
      </c>
      <c r="B173" s="103" t="n">
        <f aca="false">H137</f>
        <v>4041.666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31" t="s">
        <v>192</v>
      </c>
      <c r="K175" s="93" t="s">
        <v>138</v>
      </c>
      <c r="L175" s="93"/>
      <c r="M175" s="23"/>
      <c r="N175" s="93" t="s">
        <v>139</v>
      </c>
      <c r="O175" s="23"/>
      <c r="P175" s="23"/>
      <c r="Q175" s="33"/>
      <c r="S175" s="31" t="s">
        <v>192</v>
      </c>
      <c r="T175" s="93" t="s">
        <v>138</v>
      </c>
      <c r="U175" s="93"/>
      <c r="V175" s="23"/>
      <c r="W175" s="93" t="s">
        <v>139</v>
      </c>
      <c r="X175" s="23"/>
      <c r="Y175" s="23"/>
      <c r="Z175" s="33"/>
      <c r="AB175" s="31" t="s">
        <v>192</v>
      </c>
      <c r="AC175" s="93" t="s">
        <v>138</v>
      </c>
      <c r="AD175" s="93"/>
      <c r="AE175" s="23"/>
      <c r="AF175" s="93" t="s">
        <v>139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24249.996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31" t="s">
        <v>140</v>
      </c>
      <c r="K178" s="93" t="s">
        <v>176</v>
      </c>
      <c r="L178" s="93"/>
      <c r="M178" s="23"/>
      <c r="N178" s="93" t="s">
        <v>181</v>
      </c>
      <c r="O178" s="23"/>
      <c r="P178" s="23"/>
      <c r="Q178" s="33"/>
      <c r="S178" s="31" t="s">
        <v>140</v>
      </c>
      <c r="T178" s="93" t="s">
        <v>176</v>
      </c>
      <c r="U178" s="93"/>
      <c r="V178" s="23"/>
      <c r="W178" s="93" t="s">
        <v>181</v>
      </c>
      <c r="X178" s="23"/>
      <c r="Y178" s="23"/>
      <c r="Z178" s="33"/>
      <c r="AB178" s="31" t="s">
        <v>140</v>
      </c>
      <c r="AC178" s="93" t="s">
        <v>176</v>
      </c>
      <c r="AD178" s="93"/>
      <c r="AE178" s="23"/>
      <c r="AF178" s="93" t="s">
        <v>181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21749.996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31" t="s">
        <v>193</v>
      </c>
      <c r="K181" s="93" t="s">
        <v>53</v>
      </c>
      <c r="L181" s="93"/>
      <c r="M181" s="23"/>
      <c r="N181" s="93" t="s">
        <v>194</v>
      </c>
      <c r="O181" s="23"/>
      <c r="P181" s="23"/>
      <c r="Q181" s="33"/>
      <c r="S181" s="31" t="s">
        <v>193</v>
      </c>
      <c r="T181" s="93" t="s">
        <v>53</v>
      </c>
      <c r="U181" s="93"/>
      <c r="V181" s="23"/>
      <c r="W181" s="93" t="s">
        <v>194</v>
      </c>
      <c r="X181" s="23"/>
      <c r="Y181" s="23"/>
      <c r="Z181" s="33"/>
      <c r="AB181" s="31" t="s">
        <v>193</v>
      </c>
      <c r="AC181" s="93" t="s">
        <v>53</v>
      </c>
      <c r="AD181" s="93"/>
      <c r="AE181" s="23"/>
      <c r="AF181" s="93" t="s">
        <v>194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6674.95960663259</v>
      </c>
      <c r="B182" s="103" t="str">
        <f aca="false">B114</f>
        <v>199.99</v>
      </c>
      <c r="C182" s="103"/>
      <c r="D182" s="23"/>
      <c r="E182" s="103" t="n">
        <f aca="false">E179+A182+(B182*1.2)+A185</f>
        <v>28674.9436066326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31" t="s">
        <v>195</v>
      </c>
      <c r="K184" s="93" t="s">
        <v>196</v>
      </c>
      <c r="L184" s="93"/>
      <c r="M184" s="23"/>
      <c r="N184" s="93" t="s">
        <v>197</v>
      </c>
      <c r="O184" s="23"/>
      <c r="P184" s="23"/>
      <c r="Q184" s="33"/>
      <c r="S184" s="31" t="s">
        <v>195</v>
      </c>
      <c r="T184" s="93" t="s">
        <v>196</v>
      </c>
      <c r="U184" s="93"/>
      <c r="V184" s="23"/>
      <c r="W184" s="93" t="s">
        <v>197</v>
      </c>
      <c r="X184" s="23"/>
      <c r="Y184" s="23"/>
      <c r="Z184" s="33"/>
      <c r="AB184" s="31" t="s">
        <v>195</v>
      </c>
      <c r="AC184" s="93" t="s">
        <v>196</v>
      </c>
      <c r="AD184" s="93"/>
      <c r="AE184" s="23"/>
      <c r="AF184" s="93" t="s">
        <v>197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IF(A40=0,(E167),(E170+A185))</f>
        <v>15110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15120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15110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15110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31" t="s">
        <v>198</v>
      </c>
      <c r="K187" s="93" t="s">
        <v>199</v>
      </c>
      <c r="L187" s="93"/>
      <c r="M187" s="93"/>
      <c r="N187" s="166" t="s">
        <v>200</v>
      </c>
      <c r="O187" s="23"/>
      <c r="P187" s="23"/>
      <c r="Q187" s="33"/>
      <c r="S187" s="31" t="s">
        <v>198</v>
      </c>
      <c r="T187" s="93" t="s">
        <v>199</v>
      </c>
      <c r="U187" s="93"/>
      <c r="V187" s="93"/>
      <c r="W187" s="166" t="s">
        <v>200</v>
      </c>
      <c r="X187" s="32"/>
      <c r="Y187" s="32"/>
      <c r="Z187" s="33"/>
      <c r="AB187" s="31" t="s">
        <v>198</v>
      </c>
      <c r="AC187" s="93" t="s">
        <v>199</v>
      </c>
      <c r="AD187" s="93"/>
      <c r="AE187" s="93"/>
      <c r="AF187" s="166" t="s">
        <v>200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181.249966666667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60" t="s">
        <v>201</v>
      </c>
      <c r="K190" s="166" t="s">
        <v>202</v>
      </c>
      <c r="L190" s="93"/>
      <c r="M190" s="93"/>
      <c r="N190" s="166" t="s">
        <v>203</v>
      </c>
      <c r="O190" s="23"/>
      <c r="P190" s="23"/>
      <c r="Q190" s="33"/>
      <c r="S190" s="60" t="s">
        <v>201</v>
      </c>
      <c r="T190" s="166" t="s">
        <v>202</v>
      </c>
      <c r="U190" s="93"/>
      <c r="V190" s="93"/>
      <c r="W190" s="166" t="s">
        <v>203</v>
      </c>
      <c r="X190" s="32"/>
      <c r="Y190" s="32"/>
      <c r="Z190" s="33"/>
      <c r="AB190" s="60" t="s">
        <v>201</v>
      </c>
      <c r="AC190" s="166" t="s">
        <v>202</v>
      </c>
      <c r="AD190" s="93"/>
      <c r="AE190" s="93"/>
      <c r="AF190" s="166" t="s">
        <v>203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281.239966666667</v>
      </c>
      <c r="C191" s="93"/>
      <c r="D191" s="93"/>
      <c r="E191" s="103" t="n">
        <f aca="false">H148</f>
        <v>1833.33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66" t="s">
        <v>204</v>
      </c>
      <c r="K193" s="93"/>
      <c r="L193" s="93"/>
      <c r="M193" s="67"/>
      <c r="N193" s="67"/>
      <c r="O193" s="67"/>
      <c r="P193" s="67"/>
      <c r="Q193" s="68"/>
      <c r="S193" s="66" t="s">
        <v>204</v>
      </c>
      <c r="T193" s="93"/>
      <c r="U193" s="93"/>
      <c r="V193" s="67"/>
      <c r="W193" s="67"/>
      <c r="X193" s="67"/>
      <c r="Y193" s="67"/>
      <c r="Z193" s="68"/>
      <c r="AB193" s="66" t="s">
        <v>204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187" t="s">
        <v>83</v>
      </c>
      <c r="K195" s="71" t="s">
        <v>84</v>
      </c>
      <c r="L195" s="71"/>
      <c r="M195" s="71"/>
      <c r="N195" s="23"/>
      <c r="O195" s="23"/>
      <c r="P195" s="23"/>
      <c r="Q195" s="33"/>
      <c r="S195" s="187" t="s">
        <v>83</v>
      </c>
      <c r="T195" s="71" t="s">
        <v>84</v>
      </c>
      <c r="U195" s="71"/>
      <c r="V195" s="71"/>
      <c r="W195" s="23"/>
      <c r="X195" s="23"/>
      <c r="Y195" s="23"/>
      <c r="Z195" s="33"/>
      <c r="AB195" s="187" t="s">
        <v>83</v>
      </c>
      <c r="AC195" s="71" t="s">
        <v>84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380.71301733236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3883.254</v>
      </c>
      <c r="B201" s="186" t="n">
        <f aca="false">E179+A201+(B182*1.2)+A185</f>
        <v>25883.238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207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380.71301733236</v>
      </c>
      <c r="B212" s="177" t="str">
        <f aca="false">B167</f>
        <v>0</v>
      </c>
      <c r="C212" s="174"/>
      <c r="D212" s="174"/>
      <c r="E212" s="177" t="n">
        <f aca="false">E167</f>
        <v>380.71301733236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20208.33</v>
      </c>
      <c r="B215" s="103" t="n">
        <f aca="false">B173</f>
        <v>4041.666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24249.996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21749.996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6674.95960663259</v>
      </c>
      <c r="B224" s="103" t="str">
        <f aca="false">B182</f>
        <v>199.99</v>
      </c>
      <c r="C224" s="103"/>
      <c r="D224" s="113"/>
      <c r="E224" s="103" t="n">
        <f aca="false">E182</f>
        <v>28674.9436066326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380.71301733236</v>
      </c>
      <c r="B230" s="103" t="str">
        <f aca="false">B167</f>
        <v>0</v>
      </c>
      <c r="C230" s="186"/>
      <c r="D230" s="186"/>
      <c r="E230" s="103" t="n">
        <f aca="false">E167</f>
        <v>380.71301733236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209</v>
      </c>
      <c r="B232" s="93" t="s">
        <v>210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15100</v>
      </c>
      <c r="B233" s="103" t="n">
        <f aca="false">E185</f>
        <v>15110</v>
      </c>
      <c r="C233" s="93"/>
      <c r="D233" s="93"/>
      <c r="E233" s="103" t="n">
        <f aca="false">J18*0.000006*100</f>
        <v>22.443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211</v>
      </c>
      <c r="B235" s="166" t="s">
        <v>73</v>
      </c>
      <c r="C235" s="93"/>
      <c r="D235" s="93"/>
      <c r="E235" s="166" t="s">
        <v>132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22.443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1833.33</v>
      </c>
      <c r="B240" s="103" t="n">
        <f aca="false">B68</f>
        <v>181.249966666667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2114.56996666667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K35</f>
        <v>0.07</v>
      </c>
      <c r="C253" s="197"/>
      <c r="D253" s="198" t="s">
        <v>216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200" t="n">
        <f aca="false">(E182-B182)-(B201-B182-A185)</f>
        <v>2801.7056066326</v>
      </c>
      <c r="C254" s="197"/>
      <c r="D254" s="198" t="s">
        <v>218</v>
      </c>
      <c r="E254" s="198"/>
      <c r="F254" s="200" t="n">
        <f aca="false">F261+F267+F269+B270+B271</f>
        <v>217.49996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</v>
      </c>
      <c r="C255" s="197"/>
      <c r="D255" s="198" t="s">
        <v>220</v>
      </c>
      <c r="E255" s="198"/>
      <c r="F255" s="200" t="n">
        <f aca="false">(B254-F254)+B255</f>
        <v>2684.1956466326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0.12</v>
      </c>
      <c r="C260" s="43"/>
      <c r="D260" s="166" t="s">
        <v>217</v>
      </c>
      <c r="E260" s="166"/>
      <c r="F260" s="146" t="n">
        <f aca="false">B254</f>
        <v>2801.7056066326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0.01</v>
      </c>
      <c r="C261" s="32"/>
      <c r="D261" s="166" t="s">
        <v>223</v>
      </c>
      <c r="E261" s="166"/>
      <c r="F261" s="151" t="n">
        <f aca="false">B68*1.2</f>
        <v>217.49996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</v>
      </c>
      <c r="C263" s="32"/>
      <c r="D263" s="39" t="s">
        <v>220</v>
      </c>
      <c r="E263" s="39"/>
      <c r="F263" s="146" t="n">
        <f aca="false">(B254-F254)+B255</f>
        <v>2684.1956466326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128</v>
      </c>
      <c r="B26" s="40" t="s">
        <v>388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126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83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183</v>
      </c>
      <c r="B30" s="104" t="s">
        <v>391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15150.0</v>
      </c>
      <c r="P31" s="212"/>
    </row>
    <row r="32" customFormat="false" ht="34.3" hidden="false" customHeight="false" outlineLevel="0" collapsed="false">
      <c r="A32" s="31" t="s">
        <v>83</v>
      </c>
      <c r="B32" s="93" t="s">
        <v>84</v>
      </c>
      <c r="C32" s="93"/>
      <c r="D32" s="93"/>
      <c r="E32" s="93" t="s">
        <v>354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247.379094023601</v>
      </c>
      <c r="F33" s="232"/>
      <c r="G33" s="232"/>
      <c r="H33" s="47"/>
      <c r="I33" s="2"/>
      <c r="J33" s="34" t="s">
        <v>355</v>
      </c>
      <c r="K33" s="48" t="n">
        <f aca="false">E21</f>
        <v>18375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247.379094023601</v>
      </c>
      <c r="B36" s="232" t="str">
        <f aca="false">IF(B26="YES", K42, "0.00")</f>
        <v>0.00</v>
      </c>
      <c r="C36" s="232"/>
      <c r="D36" s="232"/>
      <c r="E36" s="232" t="n">
        <f aca="false">K31</f>
        <v>15100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85</v>
      </c>
      <c r="K39" s="2" t="n">
        <f aca="false">K33</f>
        <v>18375</v>
      </c>
      <c r="L39" s="2" t="n">
        <f aca="false">(L47*K46)+K44</f>
        <v>36405.6324549285</v>
      </c>
      <c r="N39" s="1" t="n">
        <f aca="false">K39-L39</f>
        <v>-18030.6324549285</v>
      </c>
      <c r="P39" s="212"/>
    </row>
    <row r="40" customFormat="false" ht="17.35" hidden="false" customHeight="false" outlineLevel="0" collapsed="false">
      <c r="A40" s="107" t="n">
        <f aca="false">E36*A45/100</f>
        <v>15100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107</v>
      </c>
      <c r="K40" s="2" t="n">
        <f aca="false">(A40)/1.2</f>
        <v>12583.3333333333</v>
      </c>
      <c r="L40" s="2" t="n">
        <f aca="false">K39-L39</f>
        <v>-18030.6324549285</v>
      </c>
      <c r="N40" s="1" t="n">
        <f aca="false">N38-N39</f>
        <v>20942.3124549285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77</v>
      </c>
      <c r="B44" s="93"/>
      <c r="C44" s="291" t="s">
        <v>78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10303.6413649301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40.0</v>
      </c>
      <c r="D45" s="62"/>
      <c r="E45" s="62"/>
      <c r="F45" s="93"/>
      <c r="G45" s="93"/>
      <c r="H45" s="33"/>
      <c r="J45" s="2" t="s">
        <v>366</v>
      </c>
      <c r="K45" s="2" t="n">
        <f aca="false">(K39-K44)</f>
        <v>8071.35863506989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247.379094023601</v>
      </c>
      <c r="L47" s="2" t="n">
        <f aca="false">L49-K42</f>
        <v>800</v>
      </c>
      <c r="M47" s="1" t="n">
        <f aca="false">K47-L47</f>
        <v>-552.620905976399</v>
      </c>
      <c r="P47" s="212"/>
    </row>
    <row r="48" customFormat="false" ht="31.8" hidden="false" customHeight="false" outlineLevel="0" collapsed="false">
      <c r="A48" s="66" t="s">
        <v>82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247.379094023601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83</v>
      </c>
      <c r="B50" s="71" t="s">
        <v>84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247.379094023601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85</v>
      </c>
      <c r="B58" s="93" t="n">
        <v>1</v>
      </c>
      <c r="C58" s="93"/>
      <c r="D58" s="93"/>
      <c r="E58" s="113"/>
      <c r="F58" s="113"/>
      <c r="G58" s="113"/>
      <c r="H58" s="33"/>
      <c r="J58" s="31" t="s">
        <v>85</v>
      </c>
      <c r="K58" s="93" t="n">
        <v>1</v>
      </c>
      <c r="L58" s="93"/>
      <c r="M58" s="93"/>
      <c r="N58" s="113"/>
      <c r="O58" s="113"/>
      <c r="P58" s="113"/>
      <c r="Q58" s="33"/>
      <c r="S58" s="31" t="s">
        <v>85</v>
      </c>
      <c r="T58" s="93" t="n">
        <v>1</v>
      </c>
      <c r="U58" s="93"/>
      <c r="V58" s="93"/>
      <c r="W58" s="113"/>
      <c r="X58" s="113"/>
      <c r="Y58" s="113"/>
      <c r="Z58" s="33"/>
      <c r="AB58" s="31" t="s">
        <v>85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86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86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86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86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87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87</v>
      </c>
      <c r="K60" s="77" t="n">
        <v>20</v>
      </c>
      <c r="L60" s="93"/>
      <c r="M60" s="93"/>
      <c r="N60" s="113"/>
      <c r="O60" s="113"/>
      <c r="P60" s="113"/>
      <c r="Q60" s="33"/>
      <c r="S60" s="76" t="s">
        <v>87</v>
      </c>
      <c r="T60" s="77" t="n">
        <v>10</v>
      </c>
      <c r="U60" s="93"/>
      <c r="V60" s="93"/>
      <c r="W60" s="113"/>
      <c r="X60" s="113"/>
      <c r="Y60" s="113"/>
      <c r="Z60" s="33"/>
      <c r="AB60" s="76" t="s">
        <v>87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88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88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88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88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89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89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89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89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90</v>
      </c>
      <c r="K64" s="258" t="n">
        <v>0.1</v>
      </c>
      <c r="L64" s="93"/>
      <c r="M64" s="93"/>
      <c r="N64" s="113"/>
      <c r="O64" s="113"/>
      <c r="P64" s="113"/>
      <c r="Q64" s="33"/>
      <c r="S64" s="82" t="s">
        <v>90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90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91</v>
      </c>
      <c r="B65" s="65" t="n">
        <f aca="false">(B89*B59)-(K47*K29)</f>
        <v>5371.92174937725</v>
      </c>
      <c r="C65" s="93"/>
      <c r="D65" s="93"/>
      <c r="E65" s="113"/>
      <c r="F65" s="113"/>
      <c r="G65" s="113"/>
      <c r="H65" s="33"/>
      <c r="J65" s="56" t="s">
        <v>91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91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91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92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92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92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93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93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93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93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94</v>
      </c>
      <c r="B68" s="65" t="n">
        <f aca="false">(G158*B67)/1.2</f>
        <v>181.249966666667</v>
      </c>
      <c r="C68" s="93"/>
      <c r="D68" s="93"/>
      <c r="E68" s="113"/>
      <c r="F68" s="113"/>
      <c r="G68" s="113"/>
      <c r="H68" s="33"/>
      <c r="J68" s="56" t="s">
        <v>94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94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94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95</v>
      </c>
      <c r="B69" s="256" t="n">
        <v>0</v>
      </c>
      <c r="C69" s="93"/>
      <c r="D69" s="93"/>
      <c r="E69" s="113"/>
      <c r="F69" s="113"/>
      <c r="G69" s="113"/>
      <c r="H69" s="33"/>
      <c r="J69" s="78" t="s">
        <v>95</v>
      </c>
      <c r="K69" s="256" t="n">
        <v>0</v>
      </c>
      <c r="L69" s="93"/>
      <c r="M69" s="93"/>
      <c r="N69" s="113"/>
      <c r="O69" s="113"/>
      <c r="P69" s="113"/>
      <c r="Q69" s="33"/>
      <c r="S69" s="78" t="s">
        <v>95</v>
      </c>
      <c r="T69" s="256" t="n">
        <v>0</v>
      </c>
      <c r="U69" s="93"/>
      <c r="V69" s="93"/>
      <c r="W69" s="113"/>
      <c r="X69" s="113"/>
      <c r="Y69" s="113"/>
      <c r="Z69" s="33"/>
      <c r="AB69" s="78" t="s">
        <v>95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96</v>
      </c>
      <c r="B70" s="257" t="n">
        <v>0</v>
      </c>
      <c r="C70" s="93"/>
      <c r="D70" s="93"/>
      <c r="E70" s="113"/>
      <c r="F70" s="113"/>
      <c r="G70" s="113"/>
      <c r="H70" s="33"/>
      <c r="J70" s="80" t="s">
        <v>96</v>
      </c>
      <c r="K70" s="257" t="n">
        <v>0</v>
      </c>
      <c r="L70" s="93"/>
      <c r="M70" s="93"/>
      <c r="N70" s="113"/>
      <c r="O70" s="113"/>
      <c r="P70" s="113"/>
      <c r="Q70" s="33"/>
      <c r="S70" s="80" t="s">
        <v>96</v>
      </c>
      <c r="T70" s="257" t="n">
        <v>0</v>
      </c>
      <c r="U70" s="93"/>
      <c r="V70" s="93"/>
      <c r="W70" s="113"/>
      <c r="X70" s="113"/>
      <c r="Y70" s="113"/>
      <c r="Z70" s="33"/>
      <c r="AB70" s="80" t="s">
        <v>96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97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97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97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98</v>
      </c>
      <c r="B72" s="86" t="n">
        <v>0</v>
      </c>
      <c r="C72" s="93"/>
      <c r="D72" s="93"/>
      <c r="E72" s="113"/>
      <c r="F72" s="113"/>
      <c r="G72" s="113"/>
      <c r="H72" s="33"/>
      <c r="J72" s="78" t="s">
        <v>98</v>
      </c>
      <c r="K72" s="86" t="n">
        <v>0</v>
      </c>
      <c r="L72" s="93"/>
      <c r="M72" s="93"/>
      <c r="N72" s="113"/>
      <c r="O72" s="113"/>
      <c r="P72" s="113"/>
      <c r="Q72" s="33"/>
      <c r="S72" s="78" t="s">
        <v>98</v>
      </c>
      <c r="T72" s="86" t="n">
        <v>0</v>
      </c>
      <c r="U72" s="93"/>
      <c r="V72" s="93"/>
      <c r="W72" s="113"/>
      <c r="X72" s="113"/>
      <c r="Y72" s="113"/>
      <c r="Z72" s="33"/>
      <c r="AB72" s="78" t="s">
        <v>98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99</v>
      </c>
      <c r="B73" s="77" t="n">
        <v>0</v>
      </c>
      <c r="C73" s="93"/>
      <c r="D73" s="93"/>
      <c r="E73" s="113"/>
      <c r="F73" s="113"/>
      <c r="G73" s="113"/>
      <c r="H73" s="33"/>
      <c r="J73" s="80" t="s">
        <v>99</v>
      </c>
      <c r="K73" s="77" t="n">
        <v>0</v>
      </c>
      <c r="L73" s="93"/>
      <c r="M73" s="93"/>
      <c r="N73" s="113"/>
      <c r="O73" s="113"/>
      <c r="P73" s="113"/>
      <c r="Q73" s="33"/>
      <c r="S73" s="80" t="s">
        <v>99</v>
      </c>
      <c r="T73" s="77" t="n">
        <v>0</v>
      </c>
      <c r="U73" s="93"/>
      <c r="V73" s="93"/>
      <c r="W73" s="113"/>
      <c r="X73" s="113"/>
      <c r="Y73" s="113"/>
      <c r="Z73" s="33"/>
      <c r="AB73" s="80" t="s">
        <v>99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100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100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100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100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101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101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101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101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102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102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102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102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103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103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103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104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104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104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104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105</v>
      </c>
      <c r="B79" s="59" t="n">
        <f aca="false">K47</f>
        <v>247.379094023601</v>
      </c>
      <c r="C79" s="93"/>
      <c r="D79" s="93"/>
      <c r="E79" s="113"/>
      <c r="F79" s="113"/>
      <c r="G79" s="113"/>
      <c r="H79" s="33"/>
      <c r="J79" s="90" t="s">
        <v>105</v>
      </c>
      <c r="K79" s="59" t="n">
        <f aca="false">K47</f>
        <v>247.379094023601</v>
      </c>
      <c r="L79" s="93"/>
      <c r="M79" s="93"/>
      <c r="N79" s="113"/>
      <c r="O79" s="113"/>
      <c r="P79" s="113"/>
      <c r="Q79" s="33"/>
      <c r="S79" s="90" t="s">
        <v>105</v>
      </c>
      <c r="T79" s="59" t="n">
        <f aca="false">B52</f>
        <v>247.379094023601</v>
      </c>
      <c r="U79" s="93"/>
      <c r="V79" s="93"/>
      <c r="W79" s="113"/>
      <c r="X79" s="113"/>
      <c r="Y79" s="113"/>
      <c r="Z79" s="33"/>
      <c r="AB79" s="90" t="s">
        <v>105</v>
      </c>
      <c r="AC79" s="59" t="n">
        <f aca="false">B52</f>
        <v>247.379094023601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106</v>
      </c>
      <c r="B81" s="27" t="n">
        <f aca="false">G158</f>
        <v>21749.996</v>
      </c>
      <c r="C81" s="93"/>
      <c r="D81" s="93"/>
      <c r="E81" s="113"/>
      <c r="F81" s="25" t="s">
        <v>106</v>
      </c>
      <c r="G81" s="27" t="n">
        <f aca="false">G158</f>
        <v>21749.996</v>
      </c>
      <c r="H81" s="33"/>
      <c r="J81" s="25" t="s">
        <v>106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106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106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107</v>
      </c>
      <c r="B82" s="33" t="n">
        <f aca="false">IF(A111="YES",A40,0)</f>
        <v>15100</v>
      </c>
      <c r="C82" s="93"/>
      <c r="D82" s="93"/>
      <c r="E82" s="113"/>
      <c r="F82" s="31" t="s">
        <v>107</v>
      </c>
      <c r="G82" s="33" t="n">
        <f aca="false">IF(A111="YES",A40,0)</f>
        <v>15100</v>
      </c>
      <c r="H82" s="33"/>
      <c r="J82" s="31" t="s">
        <v>107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107</v>
      </c>
      <c r="T82" s="33" t="n">
        <f aca="false">A40</f>
        <v>15100</v>
      </c>
      <c r="U82" s="93"/>
      <c r="V82" s="93"/>
      <c r="W82" s="113"/>
      <c r="X82" s="113"/>
      <c r="Y82" s="113"/>
      <c r="Z82" s="33"/>
      <c r="AB82" s="31" t="s">
        <v>107</v>
      </c>
      <c r="AC82" s="33" t="n">
        <f aca="false">A40</f>
        <v>15100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0.137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31" t="s">
        <v>108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108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108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109</v>
      </c>
      <c r="B84" s="92" t="n">
        <f aca="false">B83/12</f>
        <v>0.0114166666666667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31" t="s">
        <v>109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109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109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35</v>
      </c>
      <c r="C85" s="93"/>
      <c r="D85" s="93"/>
      <c r="E85" s="113"/>
      <c r="F85" s="31" t="s">
        <v>110</v>
      </c>
      <c r="G85" s="33" t="n">
        <f aca="false">IF(G82=0, (B59+B58), (B59))</f>
        <v>35</v>
      </c>
      <c r="H85" s="33"/>
      <c r="J85" s="31" t="s">
        <v>110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110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110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10034.4398766693</v>
      </c>
      <c r="C86" s="93"/>
      <c r="D86" s="93"/>
      <c r="E86" s="113"/>
      <c r="F86" s="31" t="s">
        <v>111</v>
      </c>
      <c r="G86" s="33" t="n">
        <f aca="false">(G82/((1+G84)^(G85+1)))</f>
        <v>12431.3433067882</v>
      </c>
      <c r="H86" s="33"/>
      <c r="J86" s="31" t="s">
        <v>111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111</v>
      </c>
      <c r="T86" s="33" t="n">
        <f aca="false">(T82/((1+T84)^(T85+1)))</f>
        <v>10214.6644991786</v>
      </c>
      <c r="U86" s="93"/>
      <c r="V86" s="93"/>
      <c r="W86" s="113"/>
      <c r="X86" s="113"/>
      <c r="Y86" s="113"/>
      <c r="Z86" s="33"/>
      <c r="AB86" s="31" t="s">
        <v>111</v>
      </c>
      <c r="AC86" s="33" t="n">
        <f aca="false">(AC82/((1+AC84)^(AC85+1)))</f>
        <v>10214.6644991786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28.719487222345</v>
      </c>
      <c r="C87" s="93"/>
      <c r="D87" s="93"/>
      <c r="E87" s="113"/>
      <c r="F87" s="31" t="s">
        <v>112</v>
      </c>
      <c r="G87" s="33" t="n">
        <f aca="false">((1-(1/((1+G84)^G85)))/G84)</f>
        <v>31.8042210938366</v>
      </c>
      <c r="H87" s="33"/>
      <c r="J87" s="31" t="s">
        <v>112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112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112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113</v>
      </c>
      <c r="B88" s="33" t="n">
        <f aca="false">B81-B86</f>
        <v>11715.5561233307</v>
      </c>
      <c r="C88" s="93"/>
      <c r="D88" s="93"/>
      <c r="E88" s="113"/>
      <c r="F88" s="31" t="s">
        <v>113</v>
      </c>
      <c r="G88" s="33" t="n">
        <f aca="false">G81-G86</f>
        <v>9318.65269321182</v>
      </c>
      <c r="H88" s="33"/>
      <c r="J88" s="31" t="s">
        <v>113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113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113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114</v>
      </c>
      <c r="B89" s="33" t="n">
        <f aca="false">(B88/B87)</f>
        <v>407.930546692196</v>
      </c>
      <c r="C89" s="93"/>
      <c r="D89" s="93"/>
      <c r="E89" s="113"/>
      <c r="F89" s="31" t="s">
        <v>114</v>
      </c>
      <c r="G89" s="33" t="n">
        <f aca="false">(G88/G87)</f>
        <v>293.000500333514</v>
      </c>
      <c r="H89" s="33"/>
      <c r="J89" s="31" t="s">
        <v>114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114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114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14277.5691342269</v>
      </c>
      <c r="C90" s="93"/>
      <c r="D90" s="93"/>
      <c r="E90" s="113"/>
      <c r="F90" s="31" t="s">
        <v>115</v>
      </c>
      <c r="G90" s="33" t="n">
        <f aca="false">((G89*(G85))+G77)</f>
        <v>10255.017511673</v>
      </c>
      <c r="H90" s="33"/>
      <c r="J90" s="31" t="s">
        <v>115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115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115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31" t="s">
        <v>116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116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116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117</v>
      </c>
      <c r="B92" s="65" t="n">
        <f aca="false">(B90+B91)</f>
        <v>14277.5691342269</v>
      </c>
      <c r="C92" s="93"/>
      <c r="D92" s="93"/>
      <c r="E92" s="113"/>
      <c r="F92" s="56" t="s">
        <v>117</v>
      </c>
      <c r="G92" s="65" t="n">
        <f aca="false">(G90+G91)</f>
        <v>10255.017511673</v>
      </c>
      <c r="H92" s="33"/>
      <c r="J92" s="56" t="s">
        <v>117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117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117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118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88" t="s">
        <v>118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118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118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119</v>
      </c>
      <c r="B95" s="96" t="n">
        <f aca="false">B92/(B85)</f>
        <v>407.930546692196</v>
      </c>
      <c r="C95" s="93"/>
      <c r="D95" s="93"/>
      <c r="E95" s="113"/>
      <c r="F95" s="95" t="s">
        <v>119</v>
      </c>
      <c r="G95" s="96" t="n">
        <f aca="false">G92/(G85)</f>
        <v>293.000500333514</v>
      </c>
      <c r="H95" s="33"/>
      <c r="J95" s="95" t="s">
        <v>119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119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119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120</v>
      </c>
      <c r="B96" s="98" t="n">
        <f aca="false">B94+B95</f>
        <v>407.930546692196</v>
      </c>
      <c r="C96" s="93"/>
      <c r="D96" s="93"/>
      <c r="E96" s="113"/>
      <c r="F96" s="97" t="s">
        <v>120</v>
      </c>
      <c r="G96" s="98" t="n">
        <f aca="false">G94+G95</f>
        <v>293.000500333514</v>
      </c>
      <c r="H96" s="33"/>
      <c r="J96" s="97" t="s">
        <v>120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120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120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123</v>
      </c>
      <c r="K100" s="100"/>
      <c r="L100" s="100"/>
      <c r="M100" s="100"/>
      <c r="N100" s="100"/>
      <c r="O100" s="100"/>
      <c r="P100" s="100"/>
      <c r="Q100" s="100"/>
      <c r="S100" s="100" t="s">
        <v>124</v>
      </c>
      <c r="T100" s="100"/>
      <c r="U100" s="100"/>
      <c r="V100" s="100"/>
      <c r="W100" s="100"/>
      <c r="X100" s="100"/>
      <c r="Y100" s="100"/>
      <c r="Z100" s="100"/>
      <c r="AB100" s="100" t="s">
        <v>125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8" t="s">
        <v>126</v>
      </c>
      <c r="K102" s="28"/>
      <c r="L102" s="28"/>
      <c r="M102" s="28"/>
      <c r="N102" s="28"/>
      <c r="O102" s="28"/>
      <c r="P102" s="28"/>
      <c r="Q102" s="28"/>
      <c r="S102" s="28" t="s">
        <v>126</v>
      </c>
      <c r="T102" s="28"/>
      <c r="U102" s="28"/>
      <c r="V102" s="28"/>
      <c r="W102" s="28"/>
      <c r="X102" s="28"/>
      <c r="Y102" s="28"/>
      <c r="Z102" s="28"/>
      <c r="AB102" s="28" t="s">
        <v>126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31" t="s">
        <v>127</v>
      </c>
      <c r="K104" s="93" t="s">
        <v>23</v>
      </c>
      <c r="L104" s="93"/>
      <c r="M104" s="93"/>
      <c r="N104" s="93" t="s">
        <v>128</v>
      </c>
      <c r="O104" s="93"/>
      <c r="P104" s="93"/>
      <c r="Q104" s="33"/>
      <c r="S104" s="31" t="s">
        <v>127</v>
      </c>
      <c r="T104" s="93" t="s">
        <v>23</v>
      </c>
      <c r="U104" s="93"/>
      <c r="V104" s="93"/>
      <c r="W104" s="93" t="s">
        <v>128</v>
      </c>
      <c r="X104" s="93"/>
      <c r="Y104" s="93"/>
      <c r="Z104" s="33"/>
      <c r="AB104" s="31" t="s">
        <v>127</v>
      </c>
      <c r="AC104" s="93" t="s">
        <v>23</v>
      </c>
      <c r="AD104" s="93"/>
      <c r="AE104" s="93"/>
      <c r="AF104" s="93" t="s">
        <v>128</v>
      </c>
      <c r="AG104" s="93"/>
      <c r="AH104" s="93"/>
      <c r="AI104" s="33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451" t="s">
        <v>388</v>
      </c>
      <c r="F105" s="451"/>
      <c r="G105" s="451"/>
      <c r="H105" s="102"/>
      <c r="J105" s="36" t="s">
        <v>129</v>
      </c>
      <c r="K105" s="103" t="s">
        <v>130</v>
      </c>
      <c r="L105" s="103"/>
      <c r="M105" s="103"/>
      <c r="N105" s="104" t="s">
        <v>18</v>
      </c>
      <c r="O105" s="104"/>
      <c r="P105" s="104"/>
      <c r="Q105" s="102"/>
      <c r="S105" s="36" t="s">
        <v>129</v>
      </c>
      <c r="T105" s="103" t="s">
        <v>130</v>
      </c>
      <c r="U105" s="103"/>
      <c r="V105" s="103"/>
      <c r="W105" s="104" t="s">
        <v>18</v>
      </c>
      <c r="X105" s="104"/>
      <c r="Y105" s="104"/>
      <c r="Z105" s="102"/>
      <c r="AB105" s="36" t="s">
        <v>129</v>
      </c>
      <c r="AC105" s="103" t="s">
        <v>130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31" t="s">
        <v>131</v>
      </c>
      <c r="K107" s="93" t="s">
        <v>132</v>
      </c>
      <c r="L107" s="93"/>
      <c r="M107" s="113"/>
      <c r="N107" s="93" t="s">
        <v>133</v>
      </c>
      <c r="O107" s="93"/>
      <c r="P107" s="113"/>
      <c r="Q107" s="102"/>
      <c r="S107" s="31" t="s">
        <v>131</v>
      </c>
      <c r="T107" s="93" t="s">
        <v>132</v>
      </c>
      <c r="U107" s="93"/>
      <c r="V107" s="113"/>
      <c r="W107" s="93" t="s">
        <v>133</v>
      </c>
      <c r="X107" s="93"/>
      <c r="Y107" s="113"/>
      <c r="Z107" s="102"/>
      <c r="AB107" s="31" t="s">
        <v>131</v>
      </c>
      <c r="AC107" s="93" t="s">
        <v>132</v>
      </c>
      <c r="AD107" s="93"/>
      <c r="AE107" s="113"/>
      <c r="AF107" s="93" t="s">
        <v>133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0.137</v>
      </c>
      <c r="F108" s="108"/>
      <c r="G108" s="108"/>
      <c r="H108" s="47"/>
      <c r="J108" s="106" t="n">
        <v>0.3</v>
      </c>
      <c r="K108" s="107" t="s">
        <v>134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135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135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31" t="s">
        <v>137</v>
      </c>
      <c r="K110" s="93" t="s">
        <v>138</v>
      </c>
      <c r="L110" s="93"/>
      <c r="M110" s="93"/>
      <c r="N110" s="93" t="s">
        <v>139</v>
      </c>
      <c r="O110" s="93"/>
      <c r="P110" s="93"/>
      <c r="Q110" s="33"/>
      <c r="S110" s="31" t="s">
        <v>137</v>
      </c>
      <c r="T110" s="93" t="s">
        <v>138</v>
      </c>
      <c r="U110" s="93"/>
      <c r="V110" s="93"/>
      <c r="W110" s="93" t="s">
        <v>139</v>
      </c>
      <c r="X110" s="93"/>
      <c r="Y110" s="93"/>
      <c r="Z110" s="33"/>
      <c r="AB110" s="31" t="s">
        <v>137</v>
      </c>
      <c r="AC110" s="93" t="s">
        <v>138</v>
      </c>
      <c r="AD110" s="93"/>
      <c r="AE110" s="93"/>
      <c r="AF110" s="93" t="s">
        <v>139</v>
      </c>
      <c r="AG110" s="93"/>
      <c r="AH110" s="93"/>
      <c r="AI110" s="33"/>
    </row>
    <row r="111" customFormat="false" ht="17.35" hidden="false" customHeight="false" outlineLevel="0" collapsed="false">
      <c r="A111" s="40" t="s">
        <v>390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110" t="s">
        <v>140</v>
      </c>
      <c r="K113" s="93" t="s">
        <v>141</v>
      </c>
      <c r="L113" s="93"/>
      <c r="M113" s="93"/>
      <c r="N113" s="93" t="s">
        <v>142</v>
      </c>
      <c r="O113" s="93"/>
      <c r="P113" s="113"/>
      <c r="Q113" s="102"/>
      <c r="S113" s="110" t="s">
        <v>140</v>
      </c>
      <c r="T113" s="93" t="s">
        <v>141</v>
      </c>
      <c r="U113" s="93"/>
      <c r="V113" s="93"/>
      <c r="W113" s="93" t="s">
        <v>142</v>
      </c>
      <c r="X113" s="93"/>
      <c r="Y113" s="113"/>
      <c r="Z113" s="102"/>
      <c r="AB113" s="110" t="s">
        <v>140</v>
      </c>
      <c r="AC113" s="93" t="s">
        <v>141</v>
      </c>
      <c r="AD113" s="93"/>
      <c r="AE113" s="93"/>
      <c r="AF113" s="93" t="s">
        <v>142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389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8" t="s">
        <v>144</v>
      </c>
      <c r="K117" s="28"/>
      <c r="L117" s="28"/>
      <c r="M117" s="28"/>
      <c r="N117" s="28"/>
      <c r="O117" s="28"/>
      <c r="P117" s="28"/>
      <c r="Q117" s="28"/>
      <c r="S117" s="28" t="s">
        <v>144</v>
      </c>
      <c r="T117" s="28"/>
      <c r="U117" s="28"/>
      <c r="V117" s="28"/>
      <c r="W117" s="28"/>
      <c r="X117" s="28"/>
      <c r="Y117" s="28"/>
      <c r="Z117" s="28"/>
      <c r="AB117" s="28" t="s">
        <v>144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78"/>
      <c r="K119" s="114" t="s">
        <v>145</v>
      </c>
      <c r="L119" s="114"/>
      <c r="M119" s="114" t="s">
        <v>146</v>
      </c>
      <c r="N119" s="114"/>
      <c r="O119" s="114" t="s">
        <v>147</v>
      </c>
      <c r="P119" s="114"/>
      <c r="Q119" s="115" t="s">
        <v>148</v>
      </c>
      <c r="S119" s="78"/>
      <c r="T119" s="114" t="s">
        <v>145</v>
      </c>
      <c r="U119" s="114"/>
      <c r="V119" s="114" t="s">
        <v>146</v>
      </c>
      <c r="W119" s="114"/>
      <c r="X119" s="114" t="s">
        <v>147</v>
      </c>
      <c r="Y119" s="114"/>
      <c r="Z119" s="115" t="s">
        <v>148</v>
      </c>
      <c r="AB119" s="78"/>
      <c r="AC119" s="114" t="s">
        <v>145</v>
      </c>
      <c r="AD119" s="114"/>
      <c r="AE119" s="114" t="s">
        <v>146</v>
      </c>
      <c r="AF119" s="114"/>
      <c r="AG119" s="114" t="s">
        <v>147</v>
      </c>
      <c r="AH119" s="114"/>
      <c r="AI119" s="115" t="s">
        <v>148</v>
      </c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80"/>
      <c r="K120" s="116" t="s">
        <v>149</v>
      </c>
      <c r="L120" s="117" t="s">
        <v>150</v>
      </c>
      <c r="M120" s="116" t="s">
        <v>149</v>
      </c>
      <c r="N120" s="118" t="s">
        <v>150</v>
      </c>
      <c r="O120" s="116" t="s">
        <v>149</v>
      </c>
      <c r="P120" s="118" t="s">
        <v>150</v>
      </c>
      <c r="Q120" s="119"/>
      <c r="S120" s="80"/>
      <c r="T120" s="116" t="s">
        <v>149</v>
      </c>
      <c r="U120" s="117" t="s">
        <v>150</v>
      </c>
      <c r="V120" s="116" t="s">
        <v>149</v>
      </c>
      <c r="W120" s="118" t="s">
        <v>150</v>
      </c>
      <c r="X120" s="116" t="s">
        <v>149</v>
      </c>
      <c r="Y120" s="118" t="s">
        <v>150</v>
      </c>
      <c r="Z120" s="119"/>
      <c r="AB120" s="80"/>
      <c r="AC120" s="116" t="s">
        <v>149</v>
      </c>
      <c r="AD120" s="117" t="s">
        <v>150</v>
      </c>
      <c r="AE120" s="116" t="s">
        <v>149</v>
      </c>
      <c r="AF120" s="118" t="s">
        <v>150</v>
      </c>
      <c r="AG120" s="116" t="s">
        <v>149</v>
      </c>
      <c r="AH120" s="118" t="s">
        <v>150</v>
      </c>
      <c r="AI120" s="119"/>
    </row>
    <row r="121" customFormat="false" ht="17.35" hidden="false" customHeight="false" outlineLevel="0" collapsed="false">
      <c r="A121" s="25" t="s">
        <v>151</v>
      </c>
      <c r="B121" s="120" t="n">
        <f aca="false">B9</f>
        <v>18375</v>
      </c>
      <c r="C121" s="121" t="n">
        <v>19791.67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151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151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151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152</v>
      </c>
      <c r="K122" s="123" t="n">
        <f aca="false">B4</f>
        <v>22050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152</v>
      </c>
      <c r="T122" s="123" t="n">
        <f aca="false">B4</f>
        <v>22050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152</v>
      </c>
      <c r="AC122" s="123" t="n">
        <f aca="false">B4</f>
        <v>22050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153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153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153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154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154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154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155</v>
      </c>
      <c r="B125" s="132" t="n">
        <f aca="false">B121-B124</f>
        <v>18375</v>
      </c>
      <c r="C125" s="133" t="n">
        <f aca="false">C121-C124</f>
        <v>20208.33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155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155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155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134"/>
      <c r="K127" s="135"/>
      <c r="L127" s="135"/>
      <c r="M127" s="135"/>
      <c r="N127" s="135"/>
      <c r="O127" s="135"/>
      <c r="P127" s="136" t="s">
        <v>149</v>
      </c>
      <c r="Q127" s="137" t="s">
        <v>150</v>
      </c>
      <c r="S127" s="134"/>
      <c r="T127" s="135"/>
      <c r="U127" s="135"/>
      <c r="V127" s="135"/>
      <c r="W127" s="135"/>
      <c r="X127" s="135"/>
      <c r="Y127" s="136" t="s">
        <v>149</v>
      </c>
      <c r="Z127" s="137" t="s">
        <v>150</v>
      </c>
      <c r="AB127" s="134"/>
      <c r="AC127" s="135"/>
      <c r="AD127" s="135"/>
      <c r="AE127" s="135"/>
      <c r="AF127" s="135"/>
      <c r="AG127" s="135"/>
      <c r="AH127" s="136" t="s">
        <v>149</v>
      </c>
      <c r="AI127" s="137" t="s">
        <v>150</v>
      </c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156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156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156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147" t="s">
        <v>157</v>
      </c>
      <c r="K130" s="144" t="s">
        <v>158</v>
      </c>
      <c r="L130" s="144"/>
      <c r="M130" s="144" t="s">
        <v>159</v>
      </c>
      <c r="N130" s="144"/>
      <c r="O130" s="144" t="s">
        <v>153</v>
      </c>
      <c r="P130" s="144"/>
      <c r="Q130" s="145" t="s">
        <v>150</v>
      </c>
      <c r="S130" s="147" t="s">
        <v>157</v>
      </c>
      <c r="T130" s="144" t="s">
        <v>158</v>
      </c>
      <c r="U130" s="144"/>
      <c r="V130" s="144" t="s">
        <v>159</v>
      </c>
      <c r="W130" s="144"/>
      <c r="X130" s="144" t="s">
        <v>153</v>
      </c>
      <c r="Y130" s="144"/>
      <c r="Z130" s="145" t="s">
        <v>150</v>
      </c>
      <c r="AB130" s="147" t="s">
        <v>157</v>
      </c>
      <c r="AC130" s="144" t="s">
        <v>158</v>
      </c>
      <c r="AD130" s="144"/>
      <c r="AE130" s="144" t="s">
        <v>159</v>
      </c>
      <c r="AF130" s="144"/>
      <c r="AG130" s="144" t="s">
        <v>153</v>
      </c>
      <c r="AH130" s="144"/>
      <c r="AI130" s="145" t="s">
        <v>150</v>
      </c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160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160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160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161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161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161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162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162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162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B121</f>
        <v>18375</v>
      </c>
      <c r="H135" s="153" t="n">
        <f aca="false">C125+E125+G125+H128</f>
        <v>20208.33</v>
      </c>
      <c r="J135" s="152" t="s">
        <v>163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163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163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164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164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164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3675</v>
      </c>
      <c r="H137" s="33" t="n">
        <f aca="false">(H135+H136)*20%</f>
        <v>4041.666</v>
      </c>
      <c r="J137" s="154" t="s">
        <v>165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165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165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166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166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166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167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167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167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168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168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168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22050</v>
      </c>
      <c r="H141" s="157" t="n">
        <f aca="false">(H135+H136+H139+H140+H137)-H138</f>
        <v>24249.996</v>
      </c>
      <c r="J141" s="154" t="s">
        <v>169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169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169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170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170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170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111" t="s">
        <v>171</v>
      </c>
      <c r="K143" s="111"/>
      <c r="L143" s="111"/>
      <c r="M143" s="111"/>
      <c r="N143" s="111"/>
      <c r="O143" s="111"/>
      <c r="P143" s="103"/>
      <c r="Q143" s="33"/>
      <c r="S143" s="111" t="s">
        <v>171</v>
      </c>
      <c r="T143" s="111"/>
      <c r="U143" s="111"/>
      <c r="V143" s="111"/>
      <c r="W143" s="111"/>
      <c r="X143" s="111"/>
      <c r="Y143" s="103"/>
      <c r="Z143" s="33"/>
      <c r="AB143" s="111" t="s">
        <v>171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172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172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172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172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172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172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172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172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172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22050</v>
      </c>
      <c r="H147" s="164" t="n">
        <f aca="false">H141-((H144*1.2)+(H145*1.2)+(H146*1.2)+(H142*1.2))</f>
        <v>24249.996</v>
      </c>
      <c r="J147" s="154" t="s">
        <v>173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173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173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1833.33</v>
      </c>
      <c r="I148" s="1" t="n">
        <f aca="false">(H148-G81)/1.2</f>
        <v>-16597.2216666667</v>
      </c>
      <c r="J148" s="154" t="s">
        <v>174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174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174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8" t="s">
        <v>175</v>
      </c>
      <c r="K150" s="28"/>
      <c r="L150" s="28"/>
      <c r="M150" s="28"/>
      <c r="N150" s="28"/>
      <c r="O150" s="28"/>
      <c r="P150" s="28"/>
      <c r="Q150" s="28"/>
      <c r="S150" s="28" t="s">
        <v>175</v>
      </c>
      <c r="T150" s="28"/>
      <c r="U150" s="28"/>
      <c r="V150" s="28"/>
      <c r="W150" s="28"/>
      <c r="X150" s="28"/>
      <c r="Y150" s="28"/>
      <c r="Z150" s="28"/>
      <c r="AB150" s="28" t="s">
        <v>175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176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176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176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177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177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177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178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178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178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179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179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179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180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180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180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21749.996</v>
      </c>
      <c r="H158" s="170"/>
      <c r="J158" s="169" t="s">
        <v>181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181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181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8" t="s">
        <v>182</v>
      </c>
      <c r="K162" s="28"/>
      <c r="L162" s="28"/>
      <c r="M162" s="28"/>
      <c r="N162" s="28"/>
      <c r="O162" s="28"/>
      <c r="P162" s="28"/>
      <c r="Q162" s="28"/>
      <c r="S162" s="28" t="s">
        <v>182</v>
      </c>
      <c r="T162" s="28"/>
      <c r="U162" s="28"/>
      <c r="V162" s="28"/>
      <c r="W162" s="28"/>
      <c r="X162" s="28"/>
      <c r="Y162" s="28"/>
      <c r="Z162" s="28"/>
      <c r="AB162" s="28" t="s">
        <v>182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183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183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183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173" t="s">
        <v>184</v>
      </c>
      <c r="K166" s="174" t="s">
        <v>185</v>
      </c>
      <c r="L166" s="174"/>
      <c r="M166" s="174"/>
      <c r="N166" s="174" t="s">
        <v>186</v>
      </c>
      <c r="O166" s="23"/>
      <c r="P166" s="23"/>
      <c r="Q166" s="33"/>
      <c r="S166" s="173" t="s">
        <v>184</v>
      </c>
      <c r="T166" s="174" t="s">
        <v>185</v>
      </c>
      <c r="U166" s="174"/>
      <c r="V166" s="174"/>
      <c r="W166" s="174" t="s">
        <v>186</v>
      </c>
      <c r="X166" s="23"/>
      <c r="Y166" s="23"/>
      <c r="Z166" s="33"/>
      <c r="AB166" s="173" t="s">
        <v>184</v>
      </c>
      <c r="AC166" s="174" t="s">
        <v>185</v>
      </c>
      <c r="AD166" s="174"/>
      <c r="AE166" s="174"/>
      <c r="AF166" s="174" t="s">
        <v>186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407.930546692196</v>
      </c>
      <c r="B167" s="177" t="str">
        <f aca="false">B94</f>
        <v>0</v>
      </c>
      <c r="C167" s="174"/>
      <c r="D167" s="174"/>
      <c r="E167" s="177" t="n">
        <f aca="false">B96</f>
        <v>407.930546692196</v>
      </c>
      <c r="F167" s="23"/>
      <c r="G167" s="23" t="n">
        <f aca="false">ROUND(G95, 2)</f>
        <v>293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31" t="s">
        <v>83</v>
      </c>
      <c r="K169" s="93" t="s">
        <v>84</v>
      </c>
      <c r="L169" s="93"/>
      <c r="M169" s="23"/>
      <c r="N169" s="93" t="s">
        <v>188</v>
      </c>
      <c r="O169" s="23"/>
      <c r="P169" s="23"/>
      <c r="Q169" s="33"/>
      <c r="S169" s="31" t="s">
        <v>83</v>
      </c>
      <c r="T169" s="93" t="s">
        <v>84</v>
      </c>
      <c r="U169" s="93"/>
      <c r="V169" s="23"/>
      <c r="W169" s="93" t="s">
        <v>188</v>
      </c>
      <c r="X169" s="23"/>
      <c r="Y169" s="23"/>
      <c r="Z169" s="33"/>
      <c r="AB169" s="31" t="s">
        <v>83</v>
      </c>
      <c r="AC169" s="93" t="s">
        <v>84</v>
      </c>
      <c r="AD169" s="93"/>
      <c r="AE169" s="23"/>
      <c r="AF169" s="93" t="s">
        <v>188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15100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15100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15100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15100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31" t="s">
        <v>189</v>
      </c>
      <c r="K172" s="93" t="s">
        <v>190</v>
      </c>
      <c r="L172" s="93"/>
      <c r="M172" s="23"/>
      <c r="N172" s="93" t="s">
        <v>191</v>
      </c>
      <c r="O172" s="23"/>
      <c r="P172" s="23"/>
      <c r="Q172" s="33"/>
      <c r="S172" s="31" t="s">
        <v>189</v>
      </c>
      <c r="T172" s="93" t="s">
        <v>190</v>
      </c>
      <c r="U172" s="93"/>
      <c r="V172" s="23"/>
      <c r="W172" s="93" t="s">
        <v>191</v>
      </c>
      <c r="X172" s="23"/>
      <c r="Y172" s="23"/>
      <c r="Z172" s="33"/>
      <c r="AB172" s="31" t="s">
        <v>189</v>
      </c>
      <c r="AC172" s="93" t="s">
        <v>190</v>
      </c>
      <c r="AD172" s="93"/>
      <c r="AE172" s="23"/>
      <c r="AF172" s="93" t="s">
        <v>191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20208.33</v>
      </c>
      <c r="B173" s="103" t="n">
        <f aca="false">H137</f>
        <v>4041.666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31" t="s">
        <v>192</v>
      </c>
      <c r="K175" s="93" t="s">
        <v>138</v>
      </c>
      <c r="L175" s="93"/>
      <c r="M175" s="23"/>
      <c r="N175" s="93" t="s">
        <v>139</v>
      </c>
      <c r="O175" s="23"/>
      <c r="P175" s="23"/>
      <c r="Q175" s="33"/>
      <c r="S175" s="31" t="s">
        <v>192</v>
      </c>
      <c r="T175" s="93" t="s">
        <v>138</v>
      </c>
      <c r="U175" s="93"/>
      <c r="V175" s="23"/>
      <c r="W175" s="93" t="s">
        <v>139</v>
      </c>
      <c r="X175" s="23"/>
      <c r="Y175" s="23"/>
      <c r="Z175" s="33"/>
      <c r="AB175" s="31" t="s">
        <v>192</v>
      </c>
      <c r="AC175" s="93" t="s">
        <v>138</v>
      </c>
      <c r="AD175" s="93"/>
      <c r="AE175" s="23"/>
      <c r="AF175" s="93" t="s">
        <v>139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24249.996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31" t="s">
        <v>140</v>
      </c>
      <c r="K178" s="93" t="s">
        <v>176</v>
      </c>
      <c r="L178" s="93"/>
      <c r="M178" s="23"/>
      <c r="N178" s="93" t="s">
        <v>181</v>
      </c>
      <c r="O178" s="23"/>
      <c r="P178" s="23"/>
      <c r="Q178" s="33"/>
      <c r="S178" s="31" t="s">
        <v>140</v>
      </c>
      <c r="T178" s="93" t="s">
        <v>176</v>
      </c>
      <c r="U178" s="93"/>
      <c r="V178" s="23"/>
      <c r="W178" s="93" t="s">
        <v>181</v>
      </c>
      <c r="X178" s="23"/>
      <c r="Y178" s="23"/>
      <c r="Z178" s="33"/>
      <c r="AB178" s="31" t="s">
        <v>140</v>
      </c>
      <c r="AC178" s="93" t="s">
        <v>176</v>
      </c>
      <c r="AD178" s="93"/>
      <c r="AE178" s="23"/>
      <c r="AF178" s="93" t="s">
        <v>181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21749.996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31" t="s">
        <v>193</v>
      </c>
      <c r="K181" s="93" t="s">
        <v>53</v>
      </c>
      <c r="L181" s="93"/>
      <c r="M181" s="23"/>
      <c r="N181" s="93" t="s">
        <v>194</v>
      </c>
      <c r="O181" s="23"/>
      <c r="P181" s="23"/>
      <c r="Q181" s="33"/>
      <c r="S181" s="31" t="s">
        <v>193</v>
      </c>
      <c r="T181" s="93" t="s">
        <v>53</v>
      </c>
      <c r="U181" s="93"/>
      <c r="V181" s="23"/>
      <c r="W181" s="93" t="s">
        <v>194</v>
      </c>
      <c r="X181" s="23"/>
      <c r="Y181" s="23"/>
      <c r="Z181" s="33"/>
      <c r="AB181" s="31" t="s">
        <v>193</v>
      </c>
      <c r="AC181" s="93" t="s">
        <v>53</v>
      </c>
      <c r="AD181" s="93"/>
      <c r="AE181" s="23"/>
      <c r="AF181" s="93" t="s">
        <v>194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7627.57313422687</v>
      </c>
      <c r="B182" s="103" t="str">
        <f aca="false">B114</f>
        <v>239.99</v>
      </c>
      <c r="C182" s="103"/>
      <c r="D182" s="23"/>
      <c r="E182" s="103" t="n">
        <f aca="false">E179+A182+B182+A185</f>
        <v>29627.5591342269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31" t="s">
        <v>195</v>
      </c>
      <c r="K184" s="93" t="s">
        <v>196</v>
      </c>
      <c r="L184" s="93"/>
      <c r="M184" s="23"/>
      <c r="N184" s="93" t="s">
        <v>197</v>
      </c>
      <c r="O184" s="23"/>
      <c r="P184" s="23"/>
      <c r="Q184" s="33"/>
      <c r="S184" s="31" t="s">
        <v>195</v>
      </c>
      <c r="T184" s="93" t="s">
        <v>196</v>
      </c>
      <c r="U184" s="93"/>
      <c r="V184" s="23"/>
      <c r="W184" s="93" t="s">
        <v>197</v>
      </c>
      <c r="X184" s="23"/>
      <c r="Y184" s="23"/>
      <c r="Z184" s="33"/>
      <c r="AB184" s="31" t="s">
        <v>195</v>
      </c>
      <c r="AC184" s="93" t="s">
        <v>196</v>
      </c>
      <c r="AD184" s="93"/>
      <c r="AE184" s="23"/>
      <c r="AF184" s="93" t="s">
        <v>197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IF(A40=0,(E167+A185),(E170+A185))</f>
        <v>15110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15120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15110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15110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31" t="s">
        <v>198</v>
      </c>
      <c r="K187" s="93" t="s">
        <v>199</v>
      </c>
      <c r="L187" s="93"/>
      <c r="M187" s="93"/>
      <c r="N187" s="166" t="s">
        <v>200</v>
      </c>
      <c r="O187" s="23"/>
      <c r="P187" s="23"/>
      <c r="Q187" s="33"/>
      <c r="S187" s="31" t="s">
        <v>198</v>
      </c>
      <c r="T187" s="93" t="s">
        <v>199</v>
      </c>
      <c r="U187" s="93"/>
      <c r="V187" s="93"/>
      <c r="W187" s="166" t="s">
        <v>200</v>
      </c>
      <c r="X187" s="32"/>
      <c r="Y187" s="32"/>
      <c r="Z187" s="33"/>
      <c r="AB187" s="31" t="s">
        <v>198</v>
      </c>
      <c r="AC187" s="93" t="s">
        <v>199</v>
      </c>
      <c r="AD187" s="93"/>
      <c r="AE187" s="93"/>
      <c r="AF187" s="166" t="s">
        <v>200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0)*100*1.2</f>
        <v>0</v>
      </c>
      <c r="B188" s="103" t="n">
        <f aca="false">(G158*B67)/1.2</f>
        <v>181.249966666667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60" t="s">
        <v>201</v>
      </c>
      <c r="K190" s="166" t="s">
        <v>202</v>
      </c>
      <c r="L190" s="93"/>
      <c r="M190" s="93"/>
      <c r="N190" s="166" t="s">
        <v>203</v>
      </c>
      <c r="O190" s="23"/>
      <c r="P190" s="23"/>
      <c r="Q190" s="33"/>
      <c r="S190" s="60" t="s">
        <v>201</v>
      </c>
      <c r="T190" s="166" t="s">
        <v>202</v>
      </c>
      <c r="U190" s="93"/>
      <c r="V190" s="93"/>
      <c r="W190" s="166" t="s">
        <v>203</v>
      </c>
      <c r="X190" s="32"/>
      <c r="Y190" s="32"/>
      <c r="Z190" s="33"/>
      <c r="AB190" s="60" t="s">
        <v>201</v>
      </c>
      <c r="AC190" s="166" t="s">
        <v>202</v>
      </c>
      <c r="AD190" s="93"/>
      <c r="AE190" s="93"/>
      <c r="AF190" s="166" t="s">
        <v>203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281.241633333333</v>
      </c>
      <c r="C191" s="93"/>
      <c r="D191" s="93"/>
      <c r="E191" s="103" t="n">
        <f aca="false">H148</f>
        <v>1833.33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66" t="s">
        <v>204</v>
      </c>
      <c r="K193" s="93"/>
      <c r="L193" s="93"/>
      <c r="M193" s="67"/>
      <c r="N193" s="67"/>
      <c r="O193" s="67"/>
      <c r="P193" s="67"/>
      <c r="Q193" s="68"/>
      <c r="S193" s="66" t="s">
        <v>204</v>
      </c>
      <c r="T193" s="93"/>
      <c r="U193" s="93"/>
      <c r="V193" s="67"/>
      <c r="W193" s="67"/>
      <c r="X193" s="67"/>
      <c r="Y193" s="67"/>
      <c r="Z193" s="68"/>
      <c r="AB193" s="66" t="s">
        <v>204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187" t="s">
        <v>83</v>
      </c>
      <c r="K195" s="71" t="s">
        <v>84</v>
      </c>
      <c r="L195" s="71"/>
      <c r="M195" s="71"/>
      <c r="N195" s="23"/>
      <c r="O195" s="23"/>
      <c r="P195" s="23"/>
      <c r="Q195" s="33"/>
      <c r="S195" s="187" t="s">
        <v>83</v>
      </c>
      <c r="T195" s="71" t="s">
        <v>84</v>
      </c>
      <c r="U195" s="71"/>
      <c r="V195" s="71"/>
      <c r="W195" s="23"/>
      <c r="X195" s="23"/>
      <c r="Y195" s="23"/>
      <c r="Z195" s="33"/>
      <c r="AB195" s="187" t="s">
        <v>83</v>
      </c>
      <c r="AC195" s="71" t="s">
        <v>84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407.930546692196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3605.004</v>
      </c>
      <c r="B201" s="186" t="n">
        <f aca="false">E179+A201+B182+A185</f>
        <v>25604.99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407.930546692196</v>
      </c>
      <c r="B212" s="177" t="str">
        <f aca="false">B167</f>
        <v>0</v>
      </c>
      <c r="C212" s="174"/>
      <c r="D212" s="174"/>
      <c r="E212" s="177" t="n">
        <f aca="false">E167</f>
        <v>407.930546692196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20208.33</v>
      </c>
      <c r="B215" s="103" t="n">
        <f aca="false">B173</f>
        <v>4041.666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24249.996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21749.996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7627.57313422687</v>
      </c>
      <c r="B224" s="103" t="str">
        <f aca="false">B182</f>
        <v>239.99</v>
      </c>
      <c r="C224" s="103"/>
      <c r="D224" s="113"/>
      <c r="E224" s="103" t="n">
        <f aca="false">E182</f>
        <v>29627.5591342269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407.930546692196</v>
      </c>
      <c r="B230" s="103" t="str">
        <f aca="false">B167</f>
        <v>0</v>
      </c>
      <c r="C230" s="186"/>
      <c r="D230" s="186"/>
      <c r="E230" s="103" t="n">
        <f aca="false">E167</f>
        <v>407.930546692196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188</v>
      </c>
      <c r="B232" s="93" t="s">
        <v>210</v>
      </c>
      <c r="C232" s="93"/>
      <c r="D232" s="93"/>
      <c r="E232" s="93" t="s">
        <v>211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15100</v>
      </c>
      <c r="B233" s="103" t="n">
        <f aca="false">E185</f>
        <v>15110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132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1833.33</v>
      </c>
      <c r="B240" s="103" t="n">
        <f aca="false">B68</f>
        <v>181.249966666667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2114.57163333334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K35</f>
        <v>0.065</v>
      </c>
      <c r="C253" s="197"/>
      <c r="D253" s="198" t="s">
        <v>216</v>
      </c>
      <c r="E253" s="198"/>
      <c r="F253" s="196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4032.56913422688</v>
      </c>
      <c r="C254" s="197"/>
      <c r="D254" s="198" t="s">
        <v>218</v>
      </c>
      <c r="E254" s="198"/>
      <c r="F254" s="200" t="n">
        <f aca="false">F261+F267+F269+B270+B271</f>
        <v>217.49996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99.9916666666667</v>
      </c>
      <c r="C255" s="197"/>
      <c r="D255" s="198" t="s">
        <v>220</v>
      </c>
      <c r="E255" s="198"/>
      <c r="F255" s="200" t="n">
        <f aca="false">(B254-F254)+B255</f>
        <v>3915.06084089354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0.072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0.137</v>
      </c>
      <c r="C260" s="43"/>
      <c r="D260" s="166" t="s">
        <v>217</v>
      </c>
      <c r="E260" s="166"/>
      <c r="F260" s="146" t="n">
        <f aca="false">B254</f>
        <v>4032.56913422688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0.01</v>
      </c>
      <c r="C261" s="32"/>
      <c r="D261" s="166" t="s">
        <v>223</v>
      </c>
      <c r="E261" s="166"/>
      <c r="F261" s="151" t="n">
        <f aca="false">B68*1.2</f>
        <v>217.49996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99.9916666666667</v>
      </c>
      <c r="C263" s="32"/>
      <c r="D263" s="39" t="s">
        <v>220</v>
      </c>
      <c r="E263" s="39"/>
      <c r="F263" s="146" t="n">
        <f aca="false">(B254-F254)+B255</f>
        <v>3915.06084089354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18708.33</v>
      </c>
      <c r="C2" s="4" t="s">
        <v>2</v>
      </c>
      <c r="D2" s="5" t="n">
        <f aca="false">C9</f>
        <v>3741.666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 t="s">
        <v>4</v>
      </c>
      <c r="C3" s="267" t="n">
        <v>0</v>
      </c>
      <c r="D3" s="267" t="s">
        <v>4</v>
      </c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22449.996</v>
      </c>
      <c r="C4" s="269" t="n">
        <v>0</v>
      </c>
      <c r="D4" s="269" t="n">
        <v>0</v>
      </c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18000.0</v>
      </c>
      <c r="C9" s="14" t="n">
        <f aca="false">B9*0.2</f>
        <v>3741.666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18708.33</v>
      </c>
      <c r="C15" s="14" t="n">
        <f aca="false">SUM(C9:C13)</f>
        <v>3741.666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22449.996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18708.33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128</v>
      </c>
      <c r="B26" s="40" t="s">
        <v>388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126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83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183</v>
      </c>
      <c r="B30" s="104" t="s">
        <v>391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15150.0</v>
      </c>
      <c r="P31" s="212"/>
    </row>
    <row r="32" customFormat="false" ht="34.3" hidden="false" customHeight="false" outlineLevel="0" collapsed="false">
      <c r="A32" s="31" t="s">
        <v>83</v>
      </c>
      <c r="B32" s="93" t="s">
        <v>84</v>
      </c>
      <c r="C32" s="93"/>
      <c r="D32" s="93"/>
      <c r="E32" s="93" t="s">
        <v>354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264.352513843102</v>
      </c>
      <c r="F33" s="232"/>
      <c r="G33" s="232"/>
      <c r="H33" s="47"/>
      <c r="I33" s="2"/>
      <c r="J33" s="34" t="s">
        <v>355</v>
      </c>
      <c r="K33" s="48" t="n">
        <f aca="false">E21</f>
        <v>18708.33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264.352513843102</v>
      </c>
      <c r="B36" s="232" t="str">
        <f aca="false">IF(B26="YES", K42, "0.00")</f>
        <v>0.00</v>
      </c>
      <c r="C36" s="232"/>
      <c r="D36" s="232"/>
      <c r="E36" s="232" t="n">
        <f aca="false">K31</f>
        <v>15100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85</v>
      </c>
      <c r="K39" s="2" t="n">
        <f aca="false">K33</f>
        <v>18708.33</v>
      </c>
      <c r="L39" s="2" t="n">
        <f aca="false">(L47*K46)+K44</f>
        <v>36056.0582690271</v>
      </c>
      <c r="N39" s="1" t="n">
        <f aca="false">K39-L39</f>
        <v>-17347.7282690271</v>
      </c>
      <c r="P39" s="212"/>
    </row>
    <row r="40" customFormat="false" ht="17.35" hidden="false" customHeight="false" outlineLevel="0" collapsed="false">
      <c r="A40" s="107" t="n">
        <f aca="false">E36*A45/100</f>
        <v>15150.0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107</v>
      </c>
      <c r="K40" s="2" t="n">
        <f aca="false">(A40)/1.2</f>
        <v>12583.3333333333</v>
      </c>
      <c r="L40" s="2" t="n">
        <f aca="false">K39-L39</f>
        <v>-17347.7282690271</v>
      </c>
      <c r="N40" s="1" t="n">
        <f aca="false">N38-N39</f>
        <v>20259.4082690271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77</v>
      </c>
      <c r="B44" s="93"/>
      <c r="C44" s="291" t="s">
        <v>78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10146.8867077205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366</v>
      </c>
      <c r="K45" s="2" t="n">
        <f aca="false">(K39-K44)</f>
        <v>8561.4432922795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264.352513843102</v>
      </c>
      <c r="L47" s="2" t="n">
        <f aca="false">L49-K42</f>
        <v>800</v>
      </c>
      <c r="M47" s="1" t="n">
        <f aca="false">K47-L47</f>
        <v>-535.647486156898</v>
      </c>
      <c r="P47" s="212"/>
    </row>
    <row r="48" customFormat="false" ht="31.8" hidden="false" customHeight="false" outlineLevel="0" collapsed="false">
      <c r="A48" s="66" t="s">
        <v>82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264.352513843102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83</v>
      </c>
      <c r="B50" s="71" t="s">
        <v>84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264.352513843102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85</v>
      </c>
      <c r="B58" s="93" t="n">
        <v>1</v>
      </c>
      <c r="C58" s="93"/>
      <c r="D58" s="93"/>
      <c r="E58" s="113"/>
      <c r="F58" s="113"/>
      <c r="G58" s="113"/>
      <c r="H58" s="33"/>
      <c r="J58" s="31" t="s">
        <v>85</v>
      </c>
      <c r="K58" s="93" t="n">
        <v>1</v>
      </c>
      <c r="L58" s="93"/>
      <c r="M58" s="93"/>
      <c r="N58" s="113"/>
      <c r="O58" s="113"/>
      <c r="P58" s="113"/>
      <c r="Q58" s="33"/>
      <c r="S58" s="31" t="s">
        <v>85</v>
      </c>
      <c r="T58" s="93" t="n">
        <v>1</v>
      </c>
      <c r="U58" s="93"/>
      <c r="V58" s="93"/>
      <c r="W58" s="113"/>
      <c r="X58" s="113"/>
      <c r="Y58" s="113"/>
      <c r="Z58" s="33"/>
      <c r="AB58" s="31" t="s">
        <v>85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86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86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86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86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87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87</v>
      </c>
      <c r="K60" s="77" t="n">
        <v>20</v>
      </c>
      <c r="L60" s="93"/>
      <c r="M60" s="93"/>
      <c r="N60" s="113"/>
      <c r="O60" s="113"/>
      <c r="P60" s="113"/>
      <c r="Q60" s="33"/>
      <c r="S60" s="76" t="s">
        <v>87</v>
      </c>
      <c r="T60" s="77" t="n">
        <v>10</v>
      </c>
      <c r="U60" s="93"/>
      <c r="V60" s="93"/>
      <c r="W60" s="113"/>
      <c r="X60" s="113"/>
      <c r="Y60" s="113"/>
      <c r="Z60" s="33"/>
      <c r="AB60" s="76" t="s">
        <v>87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88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88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88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88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89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89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89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89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90</v>
      </c>
      <c r="K64" s="258" t="n">
        <v>0.1</v>
      </c>
      <c r="L64" s="93"/>
      <c r="M64" s="93"/>
      <c r="N64" s="113"/>
      <c r="O64" s="113"/>
      <c r="P64" s="113"/>
      <c r="Q64" s="33"/>
      <c r="S64" s="82" t="s">
        <v>90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90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91</v>
      </c>
      <c r="B65" s="65" t="n">
        <f aca="false">(B89*B59)-(K47*K29)</f>
        <v>3808.26510828092</v>
      </c>
      <c r="C65" s="93"/>
      <c r="D65" s="93"/>
      <c r="E65" s="113"/>
      <c r="F65" s="113"/>
      <c r="G65" s="113"/>
      <c r="H65" s="33"/>
      <c r="J65" s="56" t="s">
        <v>91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91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91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92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92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92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93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93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93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93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94</v>
      </c>
      <c r="B68" s="65" t="n">
        <f aca="false">(G158*B67)/1.2</f>
        <v>181.249966666667</v>
      </c>
      <c r="C68" s="93"/>
      <c r="D68" s="93"/>
      <c r="E68" s="113"/>
      <c r="F68" s="113"/>
      <c r="G68" s="113"/>
      <c r="H68" s="33"/>
      <c r="J68" s="56" t="s">
        <v>94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94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94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95</v>
      </c>
      <c r="B69" s="256" t="n">
        <v>0</v>
      </c>
      <c r="C69" s="93"/>
      <c r="D69" s="93"/>
      <c r="E69" s="113"/>
      <c r="F69" s="113"/>
      <c r="G69" s="113"/>
      <c r="H69" s="33"/>
      <c r="J69" s="78" t="s">
        <v>95</v>
      </c>
      <c r="K69" s="256" t="n">
        <v>0</v>
      </c>
      <c r="L69" s="93"/>
      <c r="M69" s="93"/>
      <c r="N69" s="113"/>
      <c r="O69" s="113"/>
      <c r="P69" s="113"/>
      <c r="Q69" s="33"/>
      <c r="S69" s="78" t="s">
        <v>95</v>
      </c>
      <c r="T69" s="256" t="n">
        <v>0</v>
      </c>
      <c r="U69" s="93"/>
      <c r="V69" s="93"/>
      <c r="W69" s="113"/>
      <c r="X69" s="113"/>
      <c r="Y69" s="113"/>
      <c r="Z69" s="33"/>
      <c r="AB69" s="78" t="s">
        <v>95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96</v>
      </c>
      <c r="B70" s="257" t="n">
        <v>0</v>
      </c>
      <c r="C70" s="93"/>
      <c r="D70" s="93"/>
      <c r="E70" s="113"/>
      <c r="F70" s="113"/>
      <c r="G70" s="113"/>
      <c r="H70" s="33"/>
      <c r="J70" s="80" t="s">
        <v>96</v>
      </c>
      <c r="K70" s="257" t="n">
        <v>0</v>
      </c>
      <c r="L70" s="93"/>
      <c r="M70" s="93"/>
      <c r="N70" s="113"/>
      <c r="O70" s="113"/>
      <c r="P70" s="113"/>
      <c r="Q70" s="33"/>
      <c r="S70" s="80" t="s">
        <v>96</v>
      </c>
      <c r="T70" s="257" t="n">
        <v>0</v>
      </c>
      <c r="U70" s="93"/>
      <c r="V70" s="93"/>
      <c r="W70" s="113"/>
      <c r="X70" s="113"/>
      <c r="Y70" s="113"/>
      <c r="Z70" s="33"/>
      <c r="AB70" s="80" t="s">
        <v>96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97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97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97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98</v>
      </c>
      <c r="B72" s="86" t="n">
        <v>0</v>
      </c>
      <c r="C72" s="93"/>
      <c r="D72" s="93"/>
      <c r="E72" s="113"/>
      <c r="F72" s="113"/>
      <c r="G72" s="113"/>
      <c r="H72" s="33"/>
      <c r="J72" s="78" t="s">
        <v>98</v>
      </c>
      <c r="K72" s="86" t="n">
        <v>0</v>
      </c>
      <c r="L72" s="93"/>
      <c r="M72" s="93"/>
      <c r="N72" s="113"/>
      <c r="O72" s="113"/>
      <c r="P72" s="113"/>
      <c r="Q72" s="33"/>
      <c r="S72" s="78" t="s">
        <v>98</v>
      </c>
      <c r="T72" s="86" t="n">
        <v>0</v>
      </c>
      <c r="U72" s="93"/>
      <c r="V72" s="93"/>
      <c r="W72" s="113"/>
      <c r="X72" s="113"/>
      <c r="Y72" s="113"/>
      <c r="Z72" s="33"/>
      <c r="AB72" s="78" t="s">
        <v>98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99</v>
      </c>
      <c r="B73" s="77" t="n">
        <v>0</v>
      </c>
      <c r="C73" s="93"/>
      <c r="D73" s="93"/>
      <c r="E73" s="113"/>
      <c r="F73" s="113"/>
      <c r="G73" s="113"/>
      <c r="H73" s="33"/>
      <c r="J73" s="80" t="s">
        <v>99</v>
      </c>
      <c r="K73" s="77" t="n">
        <v>0</v>
      </c>
      <c r="L73" s="93"/>
      <c r="M73" s="93"/>
      <c r="N73" s="113"/>
      <c r="O73" s="113"/>
      <c r="P73" s="113"/>
      <c r="Q73" s="33"/>
      <c r="S73" s="80" t="s">
        <v>99</v>
      </c>
      <c r="T73" s="77" t="n">
        <v>0</v>
      </c>
      <c r="U73" s="93"/>
      <c r="V73" s="93"/>
      <c r="W73" s="113"/>
      <c r="X73" s="113"/>
      <c r="Y73" s="113"/>
      <c r="Z73" s="33"/>
      <c r="AB73" s="80" t="s">
        <v>99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100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100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100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100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101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101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101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101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102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102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102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102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103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103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103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104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104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104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104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105</v>
      </c>
      <c r="B79" s="59" t="n">
        <f aca="false">K47</f>
        <v>264.352513843102</v>
      </c>
      <c r="C79" s="93"/>
      <c r="D79" s="93"/>
      <c r="E79" s="113"/>
      <c r="F79" s="113"/>
      <c r="G79" s="113"/>
      <c r="H79" s="33"/>
      <c r="J79" s="90" t="s">
        <v>105</v>
      </c>
      <c r="K79" s="59" t="n">
        <f aca="false">K47</f>
        <v>264.352513843102</v>
      </c>
      <c r="L79" s="93"/>
      <c r="M79" s="93"/>
      <c r="N79" s="113"/>
      <c r="O79" s="113"/>
      <c r="P79" s="113"/>
      <c r="Q79" s="33"/>
      <c r="S79" s="90" t="s">
        <v>105</v>
      </c>
      <c r="T79" s="59" t="n">
        <f aca="false">B52</f>
        <v>264.352513843102</v>
      </c>
      <c r="U79" s="93"/>
      <c r="V79" s="93"/>
      <c r="W79" s="113"/>
      <c r="X79" s="113"/>
      <c r="Y79" s="113"/>
      <c r="Z79" s="33"/>
      <c r="AB79" s="90" t="s">
        <v>105</v>
      </c>
      <c r="AC79" s="59" t="n">
        <f aca="false">B52</f>
        <v>264.352513843102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106</v>
      </c>
      <c r="B81" s="27" t="n">
        <f aca="false">G158</f>
        <v>21749.996</v>
      </c>
      <c r="C81" s="93"/>
      <c r="D81" s="93"/>
      <c r="E81" s="113"/>
      <c r="F81" s="25" t="s">
        <v>106</v>
      </c>
      <c r="G81" s="27" t="n">
        <f aca="false">G158</f>
        <v>21749.996</v>
      </c>
      <c r="H81" s="33"/>
      <c r="J81" s="25" t="s">
        <v>106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106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106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107</v>
      </c>
      <c r="B82" s="33" t="n">
        <f aca="false">IF(A111="YES",A40,0)</f>
        <v>15100</v>
      </c>
      <c r="C82" s="93"/>
      <c r="D82" s="93"/>
      <c r="E82" s="113"/>
      <c r="F82" s="31" t="s">
        <v>107</v>
      </c>
      <c r="G82" s="33" t="n">
        <f aca="false">IF(A111="YES",A40,0)</f>
        <v>15100</v>
      </c>
      <c r="H82" s="33"/>
      <c r="J82" s="31" t="s">
        <v>107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107</v>
      </c>
      <c r="T82" s="33" t="n">
        <f aca="false">A40</f>
        <v>15100</v>
      </c>
      <c r="U82" s="93"/>
      <c r="V82" s="93"/>
      <c r="W82" s="113"/>
      <c r="X82" s="113"/>
      <c r="Y82" s="113"/>
      <c r="Z82" s="33"/>
      <c r="AB82" s="31" t="s">
        <v>107</v>
      </c>
      <c r="AC82" s="33" t="n">
        <f aca="false">A40</f>
        <v>15100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0.12</v>
      </c>
      <c r="C83" s="93"/>
      <c r="D83" s="93"/>
      <c r="E83" s="113"/>
      <c r="F83" s="31" t="s">
        <v>108</v>
      </c>
      <c r="G83" s="91" t="n">
        <f aca="false">B63</f>
        <v>0.07</v>
      </c>
      <c r="H83" s="33"/>
      <c r="J83" s="31" t="s">
        <v>108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108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108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109</v>
      </c>
      <c r="B84" s="92" t="n">
        <f aca="false">B83/12</f>
        <v>0.01</v>
      </c>
      <c r="C84" s="93"/>
      <c r="D84" s="93"/>
      <c r="E84" s="113"/>
      <c r="F84" s="31" t="s">
        <v>109</v>
      </c>
      <c r="G84" s="92" t="n">
        <f aca="false">G83/12</f>
        <v>0.00583333333333333</v>
      </c>
      <c r="H84" s="33"/>
      <c r="J84" s="31" t="s">
        <v>109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109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109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35</v>
      </c>
      <c r="C85" s="93"/>
      <c r="D85" s="93"/>
      <c r="E85" s="113"/>
      <c r="F85" s="31" t="s">
        <v>110</v>
      </c>
      <c r="G85" s="33" t="n">
        <f aca="false">IF(G82=0, (B59+B58), (B59))</f>
        <v>35</v>
      </c>
      <c r="H85" s="33"/>
      <c r="J85" s="31" t="s">
        <v>110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110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110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10553.7667393716</v>
      </c>
      <c r="C86" s="93"/>
      <c r="D86" s="93"/>
      <c r="E86" s="113"/>
      <c r="F86" s="31" t="s">
        <v>111</v>
      </c>
      <c r="G86" s="33" t="n">
        <f aca="false">(G82/((1+G84)^(G85+1)))</f>
        <v>12247.2922562186</v>
      </c>
      <c r="H86" s="33"/>
      <c r="J86" s="31" t="s">
        <v>111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111</v>
      </c>
      <c r="T86" s="33" t="n">
        <f aca="false">(T82/((1+T84)^(T85+1)))</f>
        <v>10214.6644991786</v>
      </c>
      <c r="U86" s="93"/>
      <c r="V86" s="93"/>
      <c r="W86" s="113"/>
      <c r="X86" s="113"/>
      <c r="Y86" s="113"/>
      <c r="Z86" s="33"/>
      <c r="AB86" s="31" t="s">
        <v>111</v>
      </c>
      <c r="AC86" s="33" t="n">
        <f aca="false">(AC82/((1+AC84)^(AC85+1)))</f>
        <v>10214.6644991786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29.4085800876469</v>
      </c>
      <c r="C87" s="93"/>
      <c r="D87" s="93"/>
      <c r="E87" s="113"/>
      <c r="F87" s="31" t="s">
        <v>112</v>
      </c>
      <c r="G87" s="33" t="n">
        <f aca="false">((1-(1/((1+G84)^G85)))/G84)</f>
        <v>31.5753854942677</v>
      </c>
      <c r="H87" s="33"/>
      <c r="J87" s="31" t="s">
        <v>112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112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112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113</v>
      </c>
      <c r="B88" s="33" t="n">
        <f aca="false">B81-B86</f>
        <v>11196.2292606284</v>
      </c>
      <c r="C88" s="93"/>
      <c r="D88" s="93"/>
      <c r="E88" s="113"/>
      <c r="F88" s="31" t="s">
        <v>113</v>
      </c>
      <c r="G88" s="33" t="n">
        <f aca="false">G81-G86</f>
        <v>9502.70374378136</v>
      </c>
      <c r="H88" s="33"/>
      <c r="J88" s="31" t="s">
        <v>113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113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113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114</v>
      </c>
      <c r="B89" s="33" t="n">
        <f aca="false">(B88/B87)</f>
        <v>380.71301733236</v>
      </c>
      <c r="C89" s="93"/>
      <c r="D89" s="93"/>
      <c r="E89" s="113"/>
      <c r="F89" s="31" t="s">
        <v>114</v>
      </c>
      <c r="G89" s="33" t="n">
        <f aca="false">(G88/G87)</f>
        <v>300.952897170694</v>
      </c>
      <c r="H89" s="33"/>
      <c r="J89" s="31" t="s">
        <v>114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114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114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13324.9556066326</v>
      </c>
      <c r="C90" s="93"/>
      <c r="D90" s="93"/>
      <c r="E90" s="113"/>
      <c r="F90" s="31" t="s">
        <v>115</v>
      </c>
      <c r="G90" s="33" t="n">
        <f aca="false">((G89*(G85))+G77)</f>
        <v>10533.3514009743</v>
      </c>
      <c r="H90" s="33"/>
      <c r="J90" s="31" t="s">
        <v>115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115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115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31" t="s">
        <v>116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116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116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117</v>
      </c>
      <c r="B92" s="65" t="n">
        <f aca="false">(B90+B91)</f>
        <v>13324.9556066326</v>
      </c>
      <c r="C92" s="93"/>
      <c r="D92" s="93"/>
      <c r="E92" s="113"/>
      <c r="F92" s="56" t="s">
        <v>117</v>
      </c>
      <c r="G92" s="65" t="n">
        <f aca="false">(G90+G91)</f>
        <v>10533.3514009743</v>
      </c>
      <c r="H92" s="33"/>
      <c r="J92" s="56" t="s">
        <v>117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117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117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118</v>
      </c>
      <c r="B94" s="94" t="str">
        <f aca="false">IF(B26="YES",((E40/B85)*(1+A108)*(C45/100)),"0")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88" t="s">
        <v>118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118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118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119</v>
      </c>
      <c r="B95" s="96" t="n">
        <f aca="false">B92/(B85)</f>
        <v>380.71301733236</v>
      </c>
      <c r="C95" s="93"/>
      <c r="D95" s="93"/>
      <c r="E95" s="113"/>
      <c r="F95" s="95" t="s">
        <v>119</v>
      </c>
      <c r="G95" s="96" t="n">
        <f aca="false">G92/(G85)</f>
        <v>300.952897170694</v>
      </c>
      <c r="H95" s="33"/>
      <c r="J95" s="95" t="s">
        <v>119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119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119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120</v>
      </c>
      <c r="B96" s="98" t="n">
        <f aca="false">B94+B95</f>
        <v>380.71301733236</v>
      </c>
      <c r="C96" s="93"/>
      <c r="D96" s="93"/>
      <c r="E96" s="113"/>
      <c r="F96" s="97" t="s">
        <v>120</v>
      </c>
      <c r="G96" s="98" t="n">
        <f aca="false">G94+G95</f>
        <v>300.952897170694</v>
      </c>
      <c r="H96" s="33"/>
      <c r="J96" s="97" t="s">
        <v>120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120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120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123</v>
      </c>
      <c r="K100" s="100"/>
      <c r="L100" s="100"/>
      <c r="M100" s="100"/>
      <c r="N100" s="100"/>
      <c r="O100" s="100"/>
      <c r="P100" s="100"/>
      <c r="Q100" s="100"/>
      <c r="S100" s="100" t="s">
        <v>124</v>
      </c>
      <c r="T100" s="100"/>
      <c r="U100" s="100"/>
      <c r="V100" s="100"/>
      <c r="W100" s="100"/>
      <c r="X100" s="100"/>
      <c r="Y100" s="100"/>
      <c r="Z100" s="100"/>
      <c r="AB100" s="100" t="s">
        <v>125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8" t="s">
        <v>126</v>
      </c>
      <c r="K102" s="28"/>
      <c r="L102" s="28"/>
      <c r="M102" s="28"/>
      <c r="N102" s="28"/>
      <c r="O102" s="28"/>
      <c r="P102" s="28"/>
      <c r="Q102" s="28"/>
      <c r="S102" s="28" t="s">
        <v>126</v>
      </c>
      <c r="T102" s="28"/>
      <c r="U102" s="28"/>
      <c r="V102" s="28"/>
      <c r="W102" s="28"/>
      <c r="X102" s="28"/>
      <c r="Y102" s="28"/>
      <c r="Z102" s="28"/>
      <c r="AB102" s="28" t="s">
        <v>126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31" t="s">
        <v>127</v>
      </c>
      <c r="K104" s="93" t="s">
        <v>23</v>
      </c>
      <c r="L104" s="93"/>
      <c r="M104" s="93"/>
      <c r="N104" s="93" t="s">
        <v>128</v>
      </c>
      <c r="O104" s="93"/>
      <c r="P104" s="93"/>
      <c r="Q104" s="33"/>
      <c r="S104" s="31" t="s">
        <v>127</v>
      </c>
      <c r="T104" s="93" t="s">
        <v>23</v>
      </c>
      <c r="U104" s="93"/>
      <c r="V104" s="93"/>
      <c r="W104" s="93" t="s">
        <v>128</v>
      </c>
      <c r="X104" s="93"/>
      <c r="Y104" s="93"/>
      <c r="Z104" s="33"/>
      <c r="AB104" s="31" t="s">
        <v>127</v>
      </c>
      <c r="AC104" s="93" t="s">
        <v>23</v>
      </c>
      <c r="AD104" s="93"/>
      <c r="AE104" s="93"/>
      <c r="AF104" s="93" t="s">
        <v>128</v>
      </c>
      <c r="AG104" s="93"/>
      <c r="AH104" s="93"/>
      <c r="AI104" s="33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451" t="s">
        <v>388</v>
      </c>
      <c r="F105" s="451"/>
      <c r="G105" s="451"/>
      <c r="H105" s="102"/>
      <c r="J105" s="36" t="s">
        <v>129</v>
      </c>
      <c r="K105" s="103" t="s">
        <v>130</v>
      </c>
      <c r="L105" s="103"/>
      <c r="M105" s="103"/>
      <c r="N105" s="104" t="s">
        <v>18</v>
      </c>
      <c r="O105" s="104"/>
      <c r="P105" s="104"/>
      <c r="Q105" s="102"/>
      <c r="S105" s="36" t="s">
        <v>129</v>
      </c>
      <c r="T105" s="103" t="s">
        <v>130</v>
      </c>
      <c r="U105" s="103"/>
      <c r="V105" s="103"/>
      <c r="W105" s="104" t="s">
        <v>18</v>
      </c>
      <c r="X105" s="104"/>
      <c r="Y105" s="104"/>
      <c r="Z105" s="102"/>
      <c r="AB105" s="36" t="s">
        <v>129</v>
      </c>
      <c r="AC105" s="103" t="s">
        <v>130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31" t="s">
        <v>131</v>
      </c>
      <c r="K107" s="93" t="s">
        <v>132</v>
      </c>
      <c r="L107" s="93"/>
      <c r="M107" s="113"/>
      <c r="N107" s="93" t="s">
        <v>133</v>
      </c>
      <c r="O107" s="93"/>
      <c r="P107" s="113"/>
      <c r="Q107" s="102"/>
      <c r="S107" s="31" t="s">
        <v>131</v>
      </c>
      <c r="T107" s="93" t="s">
        <v>132</v>
      </c>
      <c r="U107" s="93"/>
      <c r="V107" s="113"/>
      <c r="W107" s="93" t="s">
        <v>133</v>
      </c>
      <c r="X107" s="93"/>
      <c r="Y107" s="113"/>
      <c r="Z107" s="102"/>
      <c r="AB107" s="31" t="s">
        <v>131</v>
      </c>
      <c r="AC107" s="93" t="s">
        <v>132</v>
      </c>
      <c r="AD107" s="93"/>
      <c r="AE107" s="113"/>
      <c r="AF107" s="93" t="s">
        <v>133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134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135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135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31" t="s">
        <v>137</v>
      </c>
      <c r="K110" s="93" t="s">
        <v>138</v>
      </c>
      <c r="L110" s="93"/>
      <c r="M110" s="93"/>
      <c r="N110" s="93" t="s">
        <v>139</v>
      </c>
      <c r="O110" s="93"/>
      <c r="P110" s="93"/>
      <c r="Q110" s="33"/>
      <c r="S110" s="31" t="s">
        <v>137</v>
      </c>
      <c r="T110" s="93" t="s">
        <v>138</v>
      </c>
      <c r="U110" s="93"/>
      <c r="V110" s="93"/>
      <c r="W110" s="93" t="s">
        <v>139</v>
      </c>
      <c r="X110" s="93"/>
      <c r="Y110" s="93"/>
      <c r="Z110" s="33"/>
      <c r="AB110" s="31" t="s">
        <v>137</v>
      </c>
      <c r="AC110" s="93" t="s">
        <v>138</v>
      </c>
      <c r="AD110" s="93"/>
      <c r="AE110" s="93"/>
      <c r="AF110" s="93" t="s">
        <v>139</v>
      </c>
      <c r="AG110" s="93"/>
      <c r="AH110" s="93"/>
      <c r="AI110" s="33"/>
    </row>
    <row r="111" customFormat="false" ht="17.35" hidden="false" customHeight="false" outlineLevel="0" collapsed="false">
      <c r="A111" s="40" t="s">
        <v>390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110" t="s">
        <v>140</v>
      </c>
      <c r="K113" s="93" t="s">
        <v>141</v>
      </c>
      <c r="L113" s="93"/>
      <c r="M113" s="93"/>
      <c r="N113" s="93" t="s">
        <v>142</v>
      </c>
      <c r="O113" s="93"/>
      <c r="P113" s="113"/>
      <c r="Q113" s="102"/>
      <c r="S113" s="110" t="s">
        <v>140</v>
      </c>
      <c r="T113" s="93" t="s">
        <v>141</v>
      </c>
      <c r="U113" s="93"/>
      <c r="V113" s="93"/>
      <c r="W113" s="93" t="s">
        <v>142</v>
      </c>
      <c r="X113" s="93"/>
      <c r="Y113" s="113"/>
      <c r="Z113" s="102"/>
      <c r="AB113" s="110" t="s">
        <v>140</v>
      </c>
      <c r="AC113" s="93" t="s">
        <v>141</v>
      </c>
      <c r="AD113" s="93"/>
      <c r="AE113" s="93"/>
      <c r="AF113" s="93" t="s">
        <v>142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397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8" t="s">
        <v>144</v>
      </c>
      <c r="K117" s="28"/>
      <c r="L117" s="28"/>
      <c r="M117" s="28"/>
      <c r="N117" s="28"/>
      <c r="O117" s="28"/>
      <c r="P117" s="28"/>
      <c r="Q117" s="28"/>
      <c r="S117" s="28" t="s">
        <v>144</v>
      </c>
      <c r="T117" s="28"/>
      <c r="U117" s="28"/>
      <c r="V117" s="28"/>
      <c r="W117" s="28"/>
      <c r="X117" s="28"/>
      <c r="Y117" s="28"/>
      <c r="Z117" s="28"/>
      <c r="AB117" s="28" t="s">
        <v>144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78"/>
      <c r="K119" s="114" t="s">
        <v>145</v>
      </c>
      <c r="L119" s="114"/>
      <c r="M119" s="114" t="s">
        <v>146</v>
      </c>
      <c r="N119" s="114"/>
      <c r="O119" s="114" t="s">
        <v>147</v>
      </c>
      <c r="P119" s="114"/>
      <c r="Q119" s="115" t="s">
        <v>148</v>
      </c>
      <c r="S119" s="78"/>
      <c r="T119" s="114" t="s">
        <v>145</v>
      </c>
      <c r="U119" s="114"/>
      <c r="V119" s="114" t="s">
        <v>146</v>
      </c>
      <c r="W119" s="114"/>
      <c r="X119" s="114" t="s">
        <v>147</v>
      </c>
      <c r="Y119" s="114"/>
      <c r="Z119" s="115" t="s">
        <v>148</v>
      </c>
      <c r="AB119" s="78"/>
      <c r="AC119" s="114" t="s">
        <v>145</v>
      </c>
      <c r="AD119" s="114"/>
      <c r="AE119" s="114" t="s">
        <v>146</v>
      </c>
      <c r="AF119" s="114"/>
      <c r="AG119" s="114" t="s">
        <v>147</v>
      </c>
      <c r="AH119" s="114"/>
      <c r="AI119" s="115" t="s">
        <v>148</v>
      </c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80"/>
      <c r="K120" s="116" t="s">
        <v>149</v>
      </c>
      <c r="L120" s="117" t="s">
        <v>150</v>
      </c>
      <c r="M120" s="116" t="s">
        <v>149</v>
      </c>
      <c r="N120" s="118" t="s">
        <v>150</v>
      </c>
      <c r="O120" s="116" t="s">
        <v>149</v>
      </c>
      <c r="P120" s="118" t="s">
        <v>150</v>
      </c>
      <c r="Q120" s="119"/>
      <c r="S120" s="80"/>
      <c r="T120" s="116" t="s">
        <v>149</v>
      </c>
      <c r="U120" s="117" t="s">
        <v>150</v>
      </c>
      <c r="V120" s="116" t="s">
        <v>149</v>
      </c>
      <c r="W120" s="118" t="s">
        <v>150</v>
      </c>
      <c r="X120" s="116" t="s">
        <v>149</v>
      </c>
      <c r="Y120" s="118" t="s">
        <v>150</v>
      </c>
      <c r="Z120" s="119"/>
      <c r="AB120" s="80"/>
      <c r="AC120" s="116" t="s">
        <v>149</v>
      </c>
      <c r="AD120" s="117" t="s">
        <v>150</v>
      </c>
      <c r="AE120" s="116" t="s">
        <v>149</v>
      </c>
      <c r="AF120" s="118" t="s">
        <v>150</v>
      </c>
      <c r="AG120" s="116" t="s">
        <v>149</v>
      </c>
      <c r="AH120" s="118" t="s">
        <v>150</v>
      </c>
      <c r="AI120" s="119"/>
    </row>
    <row r="121" customFormat="false" ht="17.35" hidden="false" customHeight="false" outlineLevel="0" collapsed="false">
      <c r="A121" s="25" t="s">
        <v>151</v>
      </c>
      <c r="B121" s="120" t="n">
        <f aca="false">B9</f>
        <v>18708.33</v>
      </c>
      <c r="C121" s="121" t="n">
        <v>19791.67</v>
      </c>
      <c r="D121" s="120" t="n"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151</v>
      </c>
      <c r="K121" s="120" t="str">
        <f aca="false">B3</f>
        <v> </v>
      </c>
      <c r="L121" s="121" t="n">
        <v>28629.17</v>
      </c>
      <c r="M121" s="120" t="str">
        <f aca="false">D3</f>
        <v> </v>
      </c>
      <c r="N121" s="121" t="str">
        <f aca="false">M121</f>
        <v> 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151</v>
      </c>
      <c r="T121" s="120" t="str">
        <f aca="false">B3</f>
        <v> </v>
      </c>
      <c r="U121" s="121" t="str">
        <f aca="false">T121</f>
        <v> </v>
      </c>
      <c r="V121" s="120" t="str">
        <f aca="false">D3</f>
        <v> </v>
      </c>
      <c r="W121" s="121" t="str">
        <f aca="false">V121</f>
        <v> 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151</v>
      </c>
      <c r="AC121" s="120" t="str">
        <f aca="false">B3</f>
        <v> </v>
      </c>
      <c r="AD121" s="121" t="str">
        <f aca="false">AC121</f>
        <v> </v>
      </c>
      <c r="AE121" s="120" t="str">
        <f aca="false">D3</f>
        <v> </v>
      </c>
      <c r="AF121" s="121" t="str">
        <f aca="false">AE121</f>
        <v> 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152</v>
      </c>
      <c r="K122" s="123" t="n">
        <f aca="false">B4</f>
        <v>22449.996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152</v>
      </c>
      <c r="T122" s="123" t="n">
        <f aca="false">B4</f>
        <v>22449.996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152</v>
      </c>
      <c r="AC122" s="123" t="n">
        <f aca="false">B4</f>
        <v>22449.996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153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153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153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154</v>
      </c>
      <c r="K124" s="130" t="e">
        <f aca="false">(K121*K122)+K123</f>
        <v>#VALUE!</v>
      </c>
      <c r="L124" s="131" t="n">
        <f aca="false">(L121*L122)+L123</f>
        <v>0</v>
      </c>
      <c r="M124" s="130" t="e">
        <f aca="false">(M121*M122)+M123</f>
        <v>#VALUE!</v>
      </c>
      <c r="N124" s="131" t="e">
        <f aca="false">(N121*N122)+N123</f>
        <v>#VALUE!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154</v>
      </c>
      <c r="T124" s="130" t="e">
        <f aca="false">(T121*T122)+T123</f>
        <v>#VALUE!</v>
      </c>
      <c r="U124" s="131" t="e">
        <f aca="false">(U121*U122)+U123</f>
        <v>#VALUE!</v>
      </c>
      <c r="V124" s="130" t="e">
        <f aca="false">(V121*V122)+V123</f>
        <v>#VALUE!</v>
      </c>
      <c r="W124" s="131" t="e">
        <f aca="false">(W121*W122)+W123</f>
        <v>#VALUE!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154</v>
      </c>
      <c r="AC124" s="130" t="e">
        <f aca="false">(AC121*AC122)+AC123</f>
        <v>#VALUE!</v>
      </c>
      <c r="AD124" s="131" t="e">
        <f aca="false">(AD121*AD122)+AD123</f>
        <v>#VALUE!</v>
      </c>
      <c r="AE124" s="130" t="e">
        <f aca="false">(AE121*AE122)+AE123</f>
        <v>#VALUE!</v>
      </c>
      <c r="AF124" s="131" t="e">
        <f aca="false">(AF121*AF122)+AF123</f>
        <v>#VALUE!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155</v>
      </c>
      <c r="B125" s="132" t="n">
        <f aca="false">B121-B124</f>
        <v>18708.33</v>
      </c>
      <c r="C125" s="133" t="n">
        <f aca="false">C121-C124</f>
        <v>20208.33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155</v>
      </c>
      <c r="K125" s="132" t="e">
        <f aca="false">K121-K124</f>
        <v>#VALUE!</v>
      </c>
      <c r="L125" s="133" t="n">
        <f aca="false">L121-L124</f>
        <v>28629.17</v>
      </c>
      <c r="M125" s="132" t="e">
        <f aca="false">M121-M124</f>
        <v>#VALUE!</v>
      </c>
      <c r="N125" s="133" t="e">
        <f aca="false">N121-N124</f>
        <v>#VALUE!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155</v>
      </c>
      <c r="T125" s="132" t="e">
        <f aca="false">T121-T124</f>
        <v>#VALUE!</v>
      </c>
      <c r="U125" s="133" t="e">
        <f aca="false">U121-U124</f>
        <v>#VALUE!</v>
      </c>
      <c r="V125" s="132" t="e">
        <f aca="false">V121-V124</f>
        <v>#VALUE!</v>
      </c>
      <c r="W125" s="133" t="e">
        <f aca="false">W121-W124</f>
        <v>#VALUE!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155</v>
      </c>
      <c r="AC125" s="132" t="e">
        <f aca="false">AC121-AC124</f>
        <v>#VALUE!</v>
      </c>
      <c r="AD125" s="133" t="e">
        <f aca="false">AD121-AD124</f>
        <v>#VALUE!</v>
      </c>
      <c r="AE125" s="132" t="e">
        <f aca="false">AE121-AE124</f>
        <v>#VALUE!</v>
      </c>
      <c r="AF125" s="133" t="e">
        <f aca="false">AF121-AF124</f>
        <v>#VALUE!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134"/>
      <c r="K127" s="135"/>
      <c r="L127" s="135"/>
      <c r="M127" s="135"/>
      <c r="N127" s="135"/>
      <c r="O127" s="135"/>
      <c r="P127" s="136" t="s">
        <v>149</v>
      </c>
      <c r="Q127" s="137" t="s">
        <v>150</v>
      </c>
      <c r="S127" s="134"/>
      <c r="T127" s="135"/>
      <c r="U127" s="135"/>
      <c r="V127" s="135"/>
      <c r="W127" s="135"/>
      <c r="X127" s="135"/>
      <c r="Y127" s="136" t="s">
        <v>149</v>
      </c>
      <c r="Z127" s="137" t="s">
        <v>150</v>
      </c>
      <c r="AB127" s="134"/>
      <c r="AC127" s="135"/>
      <c r="AD127" s="135"/>
      <c r="AE127" s="135"/>
      <c r="AF127" s="135"/>
      <c r="AG127" s="135"/>
      <c r="AH127" s="136" t="s">
        <v>149</v>
      </c>
      <c r="AI127" s="137" t="s">
        <v>150</v>
      </c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156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156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156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147" t="s">
        <v>157</v>
      </c>
      <c r="K130" s="144" t="s">
        <v>158</v>
      </c>
      <c r="L130" s="144"/>
      <c r="M130" s="144" t="s">
        <v>159</v>
      </c>
      <c r="N130" s="144"/>
      <c r="O130" s="144" t="s">
        <v>153</v>
      </c>
      <c r="P130" s="144"/>
      <c r="Q130" s="145" t="s">
        <v>150</v>
      </c>
      <c r="S130" s="147" t="s">
        <v>157</v>
      </c>
      <c r="T130" s="144" t="s">
        <v>158</v>
      </c>
      <c r="U130" s="144"/>
      <c r="V130" s="144" t="s">
        <v>159</v>
      </c>
      <c r="W130" s="144"/>
      <c r="X130" s="144" t="s">
        <v>153</v>
      </c>
      <c r="Y130" s="144"/>
      <c r="Z130" s="145" t="s">
        <v>150</v>
      </c>
      <c r="AB130" s="147" t="s">
        <v>157</v>
      </c>
      <c r="AC130" s="144" t="s">
        <v>158</v>
      </c>
      <c r="AD130" s="144"/>
      <c r="AE130" s="144" t="s">
        <v>159</v>
      </c>
      <c r="AF130" s="144"/>
      <c r="AG130" s="144" t="s">
        <v>153</v>
      </c>
      <c r="AH130" s="144"/>
      <c r="AI130" s="145" t="s">
        <v>150</v>
      </c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160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160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160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161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161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161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162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162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162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B121</f>
        <v>18708.33</v>
      </c>
      <c r="H135" s="153" t="n">
        <f aca="false">C125+E125+G125+H128</f>
        <v>20208.33</v>
      </c>
      <c r="J135" s="152" t="s">
        <v>163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163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163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164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164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164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3741.666</v>
      </c>
      <c r="H137" s="33" t="n">
        <f aca="false">(H135+H136)*20%</f>
        <v>4041.666</v>
      </c>
      <c r="J137" s="154" t="s">
        <v>165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165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165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166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166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166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167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167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167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168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168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168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22449.996</v>
      </c>
      <c r="H141" s="157" t="n">
        <f aca="false">(H135+H136+H139+H140+H137)-H138</f>
        <v>24249.996</v>
      </c>
      <c r="J141" s="154" t="s">
        <v>169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169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169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170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170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170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111" t="s">
        <v>171</v>
      </c>
      <c r="K143" s="111"/>
      <c r="L143" s="111"/>
      <c r="M143" s="111"/>
      <c r="N143" s="111"/>
      <c r="O143" s="111"/>
      <c r="P143" s="103"/>
      <c r="Q143" s="33"/>
      <c r="S143" s="111" t="s">
        <v>171</v>
      </c>
      <c r="T143" s="111"/>
      <c r="U143" s="111"/>
      <c r="V143" s="111"/>
      <c r="W143" s="111"/>
      <c r="X143" s="111"/>
      <c r="Y143" s="103"/>
      <c r="Z143" s="33"/>
      <c r="AB143" s="111" t="s">
        <v>171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172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172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172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172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172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172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172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172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172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22449.996</v>
      </c>
      <c r="H147" s="164" t="n">
        <f aca="false">H141-((H144*1.2)+(H145*1.2)+(H146*1.2)+(H142*1.2))</f>
        <v>24249.996</v>
      </c>
      <c r="J147" s="154" t="s">
        <v>173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173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173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1500</v>
      </c>
      <c r="I148" s="1" t="n">
        <f aca="false">(H148-G81)/1.2</f>
        <v>-16874.9966666667</v>
      </c>
      <c r="J148" s="154" t="s">
        <v>174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174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174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8" t="s">
        <v>175</v>
      </c>
      <c r="K150" s="28"/>
      <c r="L150" s="28"/>
      <c r="M150" s="28"/>
      <c r="N150" s="28"/>
      <c r="O150" s="28"/>
      <c r="P150" s="28"/>
      <c r="Q150" s="28"/>
      <c r="S150" s="28" t="s">
        <v>175</v>
      </c>
      <c r="T150" s="28"/>
      <c r="U150" s="28"/>
      <c r="V150" s="28"/>
      <c r="W150" s="28"/>
      <c r="X150" s="28"/>
      <c r="Y150" s="28"/>
      <c r="Z150" s="28"/>
      <c r="AB150" s="28" t="s">
        <v>175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176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176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176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177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177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177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178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178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178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179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179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179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180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180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180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21749.996</v>
      </c>
      <c r="H158" s="170"/>
      <c r="J158" s="169" t="s">
        <v>181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181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181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8" t="s">
        <v>182</v>
      </c>
      <c r="K162" s="28"/>
      <c r="L162" s="28"/>
      <c r="M162" s="28"/>
      <c r="N162" s="28"/>
      <c r="O162" s="28"/>
      <c r="P162" s="28"/>
      <c r="Q162" s="28"/>
      <c r="S162" s="28" t="s">
        <v>182</v>
      </c>
      <c r="T162" s="28"/>
      <c r="U162" s="28"/>
      <c r="V162" s="28"/>
      <c r="W162" s="28"/>
      <c r="X162" s="28"/>
      <c r="Y162" s="28"/>
      <c r="Z162" s="28"/>
      <c r="AB162" s="28" t="s">
        <v>182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183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183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183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173" t="s">
        <v>184</v>
      </c>
      <c r="K166" s="174" t="s">
        <v>185</v>
      </c>
      <c r="L166" s="174"/>
      <c r="M166" s="174"/>
      <c r="N166" s="174" t="s">
        <v>186</v>
      </c>
      <c r="O166" s="23"/>
      <c r="P166" s="23"/>
      <c r="Q166" s="33"/>
      <c r="S166" s="173" t="s">
        <v>184</v>
      </c>
      <c r="T166" s="174" t="s">
        <v>185</v>
      </c>
      <c r="U166" s="174"/>
      <c r="V166" s="174"/>
      <c r="W166" s="174" t="s">
        <v>186</v>
      </c>
      <c r="X166" s="23"/>
      <c r="Y166" s="23"/>
      <c r="Z166" s="33"/>
      <c r="AB166" s="173" t="s">
        <v>184</v>
      </c>
      <c r="AC166" s="174" t="s">
        <v>185</v>
      </c>
      <c r="AD166" s="174"/>
      <c r="AE166" s="174"/>
      <c r="AF166" s="174" t="s">
        <v>186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380.71301733236</v>
      </c>
      <c r="B167" s="177" t="str">
        <f aca="false">B94</f>
        <v>0</v>
      </c>
      <c r="C167" s="174"/>
      <c r="D167" s="174"/>
      <c r="E167" s="177" t="n">
        <f aca="false">B96</f>
        <v>380.71301733236</v>
      </c>
      <c r="F167" s="23"/>
      <c r="G167" s="23" t="n">
        <f aca="false">ROUND(G95, 2)</f>
        <v>300.95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31" t="s">
        <v>83</v>
      </c>
      <c r="K169" s="93" t="s">
        <v>84</v>
      </c>
      <c r="L169" s="93"/>
      <c r="M169" s="23"/>
      <c r="N169" s="93" t="s">
        <v>188</v>
      </c>
      <c r="O169" s="23"/>
      <c r="P169" s="23"/>
      <c r="Q169" s="33"/>
      <c r="S169" s="31" t="s">
        <v>83</v>
      </c>
      <c r="T169" s="93" t="s">
        <v>84</v>
      </c>
      <c r="U169" s="93"/>
      <c r="V169" s="23"/>
      <c r="W169" s="93" t="s">
        <v>188</v>
      </c>
      <c r="X169" s="23"/>
      <c r="Y169" s="23"/>
      <c r="Z169" s="33"/>
      <c r="AB169" s="31" t="s">
        <v>83</v>
      </c>
      <c r="AC169" s="93" t="s">
        <v>84</v>
      </c>
      <c r="AD169" s="93"/>
      <c r="AE169" s="23"/>
      <c r="AF169" s="93" t="s">
        <v>188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15100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15100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15100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15100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31" t="s">
        <v>189</v>
      </c>
      <c r="K172" s="93" t="s">
        <v>190</v>
      </c>
      <c r="L172" s="93"/>
      <c r="M172" s="23"/>
      <c r="N172" s="93" t="s">
        <v>191</v>
      </c>
      <c r="O172" s="23"/>
      <c r="P172" s="23"/>
      <c r="Q172" s="33"/>
      <c r="S172" s="31" t="s">
        <v>189</v>
      </c>
      <c r="T172" s="93" t="s">
        <v>190</v>
      </c>
      <c r="U172" s="93"/>
      <c r="V172" s="23"/>
      <c r="W172" s="93" t="s">
        <v>191</v>
      </c>
      <c r="X172" s="23"/>
      <c r="Y172" s="23"/>
      <c r="Z172" s="33"/>
      <c r="AB172" s="31" t="s">
        <v>189</v>
      </c>
      <c r="AC172" s="93" t="s">
        <v>190</v>
      </c>
      <c r="AD172" s="93"/>
      <c r="AE172" s="23"/>
      <c r="AF172" s="93" t="s">
        <v>191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20208.33</v>
      </c>
      <c r="B173" s="103" t="n">
        <f aca="false">H137</f>
        <v>4041.666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31" t="s">
        <v>192</v>
      </c>
      <c r="K175" s="93" t="s">
        <v>138</v>
      </c>
      <c r="L175" s="93"/>
      <c r="M175" s="23"/>
      <c r="N175" s="93" t="s">
        <v>139</v>
      </c>
      <c r="O175" s="23"/>
      <c r="P175" s="23"/>
      <c r="Q175" s="33"/>
      <c r="S175" s="31" t="s">
        <v>192</v>
      </c>
      <c r="T175" s="93" t="s">
        <v>138</v>
      </c>
      <c r="U175" s="93"/>
      <c r="V175" s="23"/>
      <c r="W175" s="93" t="s">
        <v>139</v>
      </c>
      <c r="X175" s="23"/>
      <c r="Y175" s="23"/>
      <c r="Z175" s="33"/>
      <c r="AB175" s="31" t="s">
        <v>192</v>
      </c>
      <c r="AC175" s="93" t="s">
        <v>138</v>
      </c>
      <c r="AD175" s="93"/>
      <c r="AE175" s="23"/>
      <c r="AF175" s="93" t="s">
        <v>139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24249.996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31" t="s">
        <v>140</v>
      </c>
      <c r="K178" s="93" t="s">
        <v>176</v>
      </c>
      <c r="L178" s="93"/>
      <c r="M178" s="23"/>
      <c r="N178" s="93" t="s">
        <v>181</v>
      </c>
      <c r="O178" s="23"/>
      <c r="P178" s="23"/>
      <c r="Q178" s="33"/>
      <c r="S178" s="31" t="s">
        <v>140</v>
      </c>
      <c r="T178" s="93" t="s">
        <v>176</v>
      </c>
      <c r="U178" s="93"/>
      <c r="V178" s="23"/>
      <c r="W178" s="93" t="s">
        <v>181</v>
      </c>
      <c r="X178" s="23"/>
      <c r="Y178" s="23"/>
      <c r="Z178" s="33"/>
      <c r="AB178" s="31" t="s">
        <v>140</v>
      </c>
      <c r="AC178" s="93" t="s">
        <v>176</v>
      </c>
      <c r="AD178" s="93"/>
      <c r="AE178" s="23"/>
      <c r="AF178" s="93" t="s">
        <v>181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21749.996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31" t="s">
        <v>193</v>
      </c>
      <c r="K181" s="93" t="s">
        <v>53</v>
      </c>
      <c r="L181" s="93"/>
      <c r="M181" s="23"/>
      <c r="N181" s="93" t="s">
        <v>194</v>
      </c>
      <c r="O181" s="23"/>
      <c r="P181" s="23"/>
      <c r="Q181" s="33"/>
      <c r="S181" s="31" t="s">
        <v>193</v>
      </c>
      <c r="T181" s="93" t="s">
        <v>53</v>
      </c>
      <c r="U181" s="93"/>
      <c r="V181" s="23"/>
      <c r="W181" s="93" t="s">
        <v>194</v>
      </c>
      <c r="X181" s="23"/>
      <c r="Y181" s="23"/>
      <c r="Z181" s="33"/>
      <c r="AB181" s="31" t="s">
        <v>193</v>
      </c>
      <c r="AC181" s="93" t="s">
        <v>53</v>
      </c>
      <c r="AD181" s="93"/>
      <c r="AE181" s="23"/>
      <c r="AF181" s="93" t="s">
        <v>194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6674.95960663259</v>
      </c>
      <c r="B182" s="103" t="str">
        <f aca="false">B114</f>
        <v>199.99</v>
      </c>
      <c r="C182" s="103"/>
      <c r="D182" s="23"/>
      <c r="E182" s="103" t="n">
        <f aca="false">E179+A182+(B182*1.2)+A185</f>
        <v>28674.9436066326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31" t="s">
        <v>195</v>
      </c>
      <c r="K184" s="93" t="s">
        <v>196</v>
      </c>
      <c r="L184" s="93"/>
      <c r="M184" s="23"/>
      <c r="N184" s="93" t="s">
        <v>197</v>
      </c>
      <c r="O184" s="23"/>
      <c r="P184" s="23"/>
      <c r="Q184" s="33"/>
      <c r="S184" s="31" t="s">
        <v>195</v>
      </c>
      <c r="T184" s="93" t="s">
        <v>196</v>
      </c>
      <c r="U184" s="93"/>
      <c r="V184" s="23"/>
      <c r="W184" s="93" t="s">
        <v>197</v>
      </c>
      <c r="X184" s="23"/>
      <c r="Y184" s="23"/>
      <c r="Z184" s="33"/>
      <c r="AB184" s="31" t="s">
        <v>195</v>
      </c>
      <c r="AC184" s="93" t="s">
        <v>196</v>
      </c>
      <c r="AD184" s="93"/>
      <c r="AE184" s="23"/>
      <c r="AF184" s="93" t="s">
        <v>197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IF(A40=0,(E167+A185),(E170+A185))</f>
        <v>15110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15120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15110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15110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31" t="s">
        <v>198</v>
      </c>
      <c r="K187" s="93" t="s">
        <v>199</v>
      </c>
      <c r="L187" s="93"/>
      <c r="M187" s="93"/>
      <c r="N187" s="166" t="s">
        <v>200</v>
      </c>
      <c r="O187" s="23"/>
      <c r="P187" s="23"/>
      <c r="Q187" s="33"/>
      <c r="S187" s="31" t="s">
        <v>198</v>
      </c>
      <c r="T187" s="93" t="s">
        <v>199</v>
      </c>
      <c r="U187" s="93"/>
      <c r="V187" s="93"/>
      <c r="W187" s="166" t="s">
        <v>200</v>
      </c>
      <c r="X187" s="32"/>
      <c r="Y187" s="32"/>
      <c r="Z187" s="33"/>
      <c r="AB187" s="31" t="s">
        <v>198</v>
      </c>
      <c r="AC187" s="93" t="s">
        <v>199</v>
      </c>
      <c r="AD187" s="93"/>
      <c r="AE187" s="93"/>
      <c r="AF187" s="166" t="s">
        <v>200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181.249966666667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60" t="s">
        <v>201</v>
      </c>
      <c r="K190" s="166" t="s">
        <v>202</v>
      </c>
      <c r="L190" s="93"/>
      <c r="M190" s="93"/>
      <c r="N190" s="166" t="s">
        <v>203</v>
      </c>
      <c r="O190" s="23"/>
      <c r="P190" s="23"/>
      <c r="Q190" s="33"/>
      <c r="S190" s="60" t="s">
        <v>201</v>
      </c>
      <c r="T190" s="166" t="s">
        <v>202</v>
      </c>
      <c r="U190" s="93"/>
      <c r="V190" s="93"/>
      <c r="W190" s="166" t="s">
        <v>203</v>
      </c>
      <c r="X190" s="32"/>
      <c r="Y190" s="32"/>
      <c r="Z190" s="33"/>
      <c r="AB190" s="60" t="s">
        <v>201</v>
      </c>
      <c r="AC190" s="166" t="s">
        <v>202</v>
      </c>
      <c r="AD190" s="93"/>
      <c r="AE190" s="93"/>
      <c r="AF190" s="166" t="s">
        <v>203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281.239966666667</v>
      </c>
      <c r="C191" s="93"/>
      <c r="D191" s="93"/>
      <c r="E191" s="103" t="n">
        <f aca="false">H148</f>
        <v>1500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66" t="s">
        <v>204</v>
      </c>
      <c r="K193" s="93"/>
      <c r="L193" s="93"/>
      <c r="M193" s="67"/>
      <c r="N193" s="67"/>
      <c r="O193" s="67"/>
      <c r="P193" s="67"/>
      <c r="Q193" s="68"/>
      <c r="S193" s="66" t="s">
        <v>204</v>
      </c>
      <c r="T193" s="93"/>
      <c r="U193" s="93"/>
      <c r="V193" s="67"/>
      <c r="W193" s="67"/>
      <c r="X193" s="67"/>
      <c r="Y193" s="67"/>
      <c r="Z193" s="68"/>
      <c r="AB193" s="66" t="s">
        <v>204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187" t="s">
        <v>83</v>
      </c>
      <c r="K195" s="71" t="s">
        <v>84</v>
      </c>
      <c r="L195" s="71"/>
      <c r="M195" s="71"/>
      <c r="N195" s="23"/>
      <c r="O195" s="23"/>
      <c r="P195" s="23"/>
      <c r="Q195" s="33"/>
      <c r="S195" s="187" t="s">
        <v>83</v>
      </c>
      <c r="T195" s="71" t="s">
        <v>84</v>
      </c>
      <c r="U195" s="71"/>
      <c r="V195" s="71"/>
      <c r="W195" s="23"/>
      <c r="X195" s="23"/>
      <c r="Y195" s="23"/>
      <c r="Z195" s="33"/>
      <c r="AB195" s="187" t="s">
        <v>83</v>
      </c>
      <c r="AC195" s="71" t="s">
        <v>84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380.71301733236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3883.254</v>
      </c>
      <c r="B201" s="186" t="n">
        <f aca="false">E179+A201+(B182*1.2)+A185</f>
        <v>25883.238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380.71301733236</v>
      </c>
      <c r="B212" s="177" t="str">
        <f aca="false">B167</f>
        <v>0</v>
      </c>
      <c r="C212" s="174"/>
      <c r="D212" s="174"/>
      <c r="E212" s="177" t="n">
        <f aca="false">E167</f>
        <v>380.71301733236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20208.33</v>
      </c>
      <c r="B215" s="103" t="n">
        <f aca="false">B173</f>
        <v>4041.666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24249.996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21749.996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6674.95960663259</v>
      </c>
      <c r="B224" s="103" t="str">
        <f aca="false">B182</f>
        <v>199.99</v>
      </c>
      <c r="C224" s="103"/>
      <c r="D224" s="113"/>
      <c r="E224" s="103" t="n">
        <f aca="false">E182</f>
        <v>28674.9436066326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380.71301733236</v>
      </c>
      <c r="B230" s="103" t="str">
        <f aca="false">B167</f>
        <v>0</v>
      </c>
      <c r="C230" s="186"/>
      <c r="D230" s="186"/>
      <c r="E230" s="103" t="n">
        <f aca="false">E167</f>
        <v>380.71301733236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188</v>
      </c>
      <c r="B232" s="93" t="s">
        <v>210</v>
      </c>
      <c r="C232" s="93"/>
      <c r="D232" s="93"/>
      <c r="E232" s="93" t="s">
        <v>211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15100</v>
      </c>
      <c r="B233" s="103" t="n">
        <f aca="false">E185</f>
        <v>15110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132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1500</v>
      </c>
      <c r="B240" s="103" t="n">
        <f aca="false">B68</f>
        <v>181.249966666667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1781.23996666667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K35</f>
        <v>0.07</v>
      </c>
      <c r="C253" s="197"/>
      <c r="D253" s="198" t="s">
        <v>216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2801.7056066326</v>
      </c>
      <c r="C254" s="197"/>
      <c r="D254" s="198" t="s">
        <v>218</v>
      </c>
      <c r="E254" s="198"/>
      <c r="F254" s="200" t="n">
        <f aca="false">F261+F267+F269+B270+B271</f>
        <v>217.49996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</v>
      </c>
      <c r="C255" s="197"/>
      <c r="D255" s="198" t="s">
        <v>220</v>
      </c>
      <c r="E255" s="198"/>
      <c r="F255" s="200" t="n">
        <f aca="false">(B254-F254)+B255</f>
        <v>2684.1956466326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0.12</v>
      </c>
      <c r="C260" s="43"/>
      <c r="D260" s="166" t="s">
        <v>217</v>
      </c>
      <c r="E260" s="166"/>
      <c r="F260" s="146" t="n">
        <f aca="false">B254</f>
        <v>2801.7056066326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0.01</v>
      </c>
      <c r="C261" s="32"/>
      <c r="D261" s="166" t="s">
        <v>223</v>
      </c>
      <c r="E261" s="166"/>
      <c r="F261" s="151" t="n">
        <f aca="false">B68*1.2</f>
        <v>217.49996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</v>
      </c>
      <c r="C263" s="32"/>
      <c r="D263" s="39" t="s">
        <v>220</v>
      </c>
      <c r="E263" s="39"/>
      <c r="F263" s="146" t="n">
        <f aca="false">(B254-F254)+B255</f>
        <v>2684.1956466326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24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141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n">
        <f aca="false">IF(B38="YES", D38+A41, D38)</f>
        <v>500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0.0</v>
      </c>
      <c r="C44" s="104"/>
      <c r="D44" s="279" t="n">
        <f aca="false">A44+B44</f>
        <v>1</v>
      </c>
      <c r="E44" s="279"/>
      <c r="F44" s="63"/>
      <c r="G44" s="63" t="s">
        <v>257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85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86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22050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B60*B63</f>
        <v>1543.5</v>
      </c>
      <c r="C64" s="215" t="n">
        <v>10000.0</v>
      </c>
      <c r="D64" s="291" t="n">
        <f aca="false">B64</f>
        <v>1543.5</v>
      </c>
      <c r="E64" s="216"/>
      <c r="F64" s="63"/>
      <c r="G64" s="285" t="s">
        <v>91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0.01</v>
      </c>
      <c r="C65" s="215"/>
      <c r="D65" s="215"/>
      <c r="E65" s="216"/>
      <c r="F65" s="63"/>
      <c r="G65" s="292" t="s">
        <v>92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93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B60*B66</f>
        <v>220.5</v>
      </c>
      <c r="C67" s="215"/>
      <c r="D67" s="291"/>
      <c r="E67" s="216"/>
      <c r="F67" s="63"/>
      <c r="G67" s="285" t="s">
        <v>94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215"/>
      <c r="D68" s="215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297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200.0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5.0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100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 t="n">
        <f aca="false">IF(G18&gt;40000, 325, 0)</f>
        <v>0</v>
      </c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200.0</v>
      </c>
      <c r="C79" s="215"/>
      <c r="D79" s="291" t="n">
        <f aca="false">B79</f>
        <v>200</v>
      </c>
      <c r="E79" s="216"/>
      <c r="F79" s="63"/>
      <c r="G79" s="295" t="s">
        <v>101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200.0</v>
      </c>
      <c r="C80" s="215"/>
      <c r="D80" s="291" t="n">
        <f aca="false">B80</f>
        <v>200</v>
      </c>
      <c r="E80" s="216"/>
      <c r="F80" s="63"/>
      <c r="G80" s="301" t="s">
        <v>102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2870.16666666667</v>
      </c>
      <c r="C81" s="215"/>
      <c r="D81" s="215"/>
      <c r="E81" s="216"/>
      <c r="F81" s="63"/>
      <c r="G81" s="303" t="s">
        <v>103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239.180555555556</v>
      </c>
      <c r="C82" s="215"/>
      <c r="D82" s="215"/>
      <c r="E82" s="216"/>
      <c r="F82" s="63"/>
      <c r="G82" s="214" t="s">
        <v>104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H46</f>
        <v>501</v>
      </c>
      <c r="C83" s="215"/>
      <c r="D83" s="215"/>
      <c r="E83" s="216"/>
      <c r="F83" s="63"/>
      <c r="G83" s="305" t="s">
        <v>105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((B83*(H29)+B81))*1.2</f>
        <v>10658.6</v>
      </c>
      <c r="C85" s="215"/>
      <c r="D85" s="215"/>
      <c r="E85" s="216"/>
      <c r="F85" s="63"/>
      <c r="G85" s="288" t="s">
        <v>115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(((B83*(H29))+B81)/(1-B70))*B70</f>
        <v>75.2422347720855</v>
      </c>
      <c r="C86" s="215"/>
      <c r="D86" s="215"/>
      <c r="E86" s="216"/>
      <c r="F86" s="63"/>
      <c r="G86" s="214" t="s">
        <v>116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IF(B110="YES",((B85+B86)-E114),((B85+B86)))</f>
        <v>10733.8422347721</v>
      </c>
      <c r="C87" s="215"/>
      <c r="D87" s="215"/>
      <c r="E87" s="216"/>
      <c r="F87" s="63"/>
      <c r="G87" s="285" t="s">
        <v>117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118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IF(B99=Z102, (B87-D105)/(B58), B87/(B57+B58))</f>
        <v>894.486852897674</v>
      </c>
      <c r="C90" s="215"/>
      <c r="D90" s="215"/>
      <c r="E90" s="216"/>
      <c r="F90" s="63"/>
      <c r="G90" s="308" t="s">
        <v>119</v>
      </c>
      <c r="H90" s="309" t="n">
        <f aca="false">IF(H99=AE98, (H87-J105)/(H58), H87/(H57+H58))</f>
        <v>1024.59311617588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894.486852897674</v>
      </c>
      <c r="C91" s="215"/>
      <c r="D91" s="215"/>
      <c r="E91" s="216"/>
      <c r="F91" s="63"/>
      <c r="G91" s="310" t="s">
        <v>120</v>
      </c>
      <c r="H91" s="311" t="n">
        <f aca="false">IF(G105="YES", H90+H89, H90)</f>
        <v>1024.59311617588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351</v>
      </c>
      <c r="C99" s="312"/>
      <c r="D99" s="107" t="n">
        <v>1000</v>
      </c>
      <c r="E99" s="107"/>
      <c r="F99" s="63"/>
      <c r="G99" s="220" t="s">
        <v>286</v>
      </c>
      <c r="H99" s="312" t="s">
        <v>130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289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130</v>
      </c>
      <c r="AA101" s="63"/>
    </row>
    <row r="102" customFormat="false" ht="18.75" hidden="false" customHeight="true" outlineLevel="0" collapsed="false">
      <c r="A102" s="313" t="n">
        <f aca="false">199.99*1.2</f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388</v>
      </c>
      <c r="B105" s="312" t="n">
        <v>0.0</v>
      </c>
      <c r="C105" s="312"/>
      <c r="D105" s="107" t="s">
        <v>403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290</v>
      </c>
      <c r="B108" s="217" t="n">
        <v>0.0</v>
      </c>
      <c r="C108" s="217"/>
      <c r="D108" s="217" t="n">
        <v>0.0</v>
      </c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291</v>
      </c>
      <c r="B110" s="222" t="s">
        <v>388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10000.0</v>
      </c>
      <c r="E112" s="107" t="n">
        <v>6000.0</v>
      </c>
      <c r="F112" s="63"/>
      <c r="G112" s="214" t="s">
        <v>176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177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178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4000</v>
      </c>
      <c r="E115" s="216"/>
      <c r="F115" s="63"/>
      <c r="G115" s="214" t="s">
        <v>179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f aca="false">D99</f>
        <v>1000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(E118+E117)-D115</f>
        <v>-2760.012</v>
      </c>
      <c r="F119" s="63"/>
      <c r="G119" s="315" t="s">
        <v>292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0.0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83</v>
      </c>
      <c r="H126" s="215" t="s">
        <v>84</v>
      </c>
      <c r="I126" s="215"/>
      <c r="J126" s="215" t="s">
        <v>86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894.486852897674</v>
      </c>
      <c r="B128" s="321" t="n">
        <f aca="false">IF(A105="YES", B89, 0)</f>
        <v>0</v>
      </c>
      <c r="C128" s="326"/>
      <c r="D128" s="321" t="n">
        <f aca="false">B91</f>
        <v>894.486852897674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296</v>
      </c>
      <c r="H129" s="328" t="s">
        <v>297</v>
      </c>
      <c r="I129" s="328"/>
      <c r="J129" s="328" t="s">
        <v>298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333" t="n">
        <f aca="false">H90</f>
        <v>1024.59311617588</v>
      </c>
      <c r="H130" s="177" t="n">
        <f aca="false">IF(G105="YES", H89*H57, 0)</f>
        <v>0</v>
      </c>
      <c r="I130" s="177"/>
      <c r="J130" s="334" t="n">
        <f aca="false">H91</f>
        <v>1024.59311617588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8050.38167607906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0</v>
      </c>
      <c r="I133" s="221"/>
      <c r="J133" s="184" t="n">
        <f aca="false">H91*H57</f>
        <v>1024.59311617588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8050.38167607906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894.486852897674</v>
      </c>
      <c r="B137" s="38" t="n">
        <f aca="false">IF(A105="YES", B89, 0)</f>
        <v>0</v>
      </c>
      <c r="C137" s="317"/>
      <c r="D137" s="38" t="n">
        <f aca="false">B91</f>
        <v>894.486852897674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1407.013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220.5</v>
      </c>
      <c r="B148" s="38" t="n">
        <f aca="false">B102</f>
        <v>400</v>
      </c>
      <c r="C148" s="38"/>
      <c r="D148" s="38" t="n">
        <f aca="false">IF(A105="YES", (A41*B105)*B125, 0)*0.001</f>
        <v>0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720.49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1024.59311617588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894.486852897674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293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127</v>
      </c>
      <c r="B167" s="354" t="s">
        <v>39</v>
      </c>
      <c r="C167" s="355"/>
      <c r="D167" s="354" t="s">
        <v>84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119</v>
      </c>
      <c r="B170" s="354" t="s">
        <v>294</v>
      </c>
      <c r="C170" s="355"/>
      <c r="D170" s="354" t="s">
        <v>295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894.486852897674</v>
      </c>
      <c r="B171" s="355" t="n">
        <f aca="false">IF(A105="YES", B89, 0)</f>
        <v>0</v>
      </c>
      <c r="C171" s="358"/>
      <c r="D171" s="355" t="n">
        <f aca="false">B91</f>
        <v>894.486852897674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299</v>
      </c>
      <c r="C173" s="230"/>
      <c r="D173" s="359" t="s">
        <v>300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8050.38167607906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304</v>
      </c>
      <c r="B176" s="166" t="s">
        <v>305</v>
      </c>
      <c r="C176" s="360"/>
      <c r="D176" s="241" t="s">
        <v>208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8050.38167607906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119</v>
      </c>
      <c r="B179" s="363" t="s">
        <v>294</v>
      </c>
      <c r="C179" s="353"/>
      <c r="D179" s="353" t="s">
        <v>295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894.486852897674</v>
      </c>
      <c r="B180" s="103" t="n">
        <f aca="false">IF(A105="YES", B89, 0)</f>
        <v>0</v>
      </c>
      <c r="C180" s="353"/>
      <c r="D180" s="103" t="n">
        <f aca="false">B91</f>
        <v>894.486852897674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312</v>
      </c>
      <c r="C182" s="103"/>
      <c r="D182" s="364" t="s">
        <v>73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316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319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320</v>
      </c>
      <c r="B190" s="353" t="s">
        <v>321</v>
      </c>
      <c r="C190" s="353"/>
      <c r="D190" s="353" t="s">
        <v>322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220.5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324</v>
      </c>
      <c r="B193" s="353" t="s">
        <v>318</v>
      </c>
      <c r="C193" s="353"/>
      <c r="D193" s="353" t="s">
        <v>315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720.49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325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214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215</v>
      </c>
      <c r="B203" s="369" t="n">
        <f aca="false">B209</f>
        <v>0.065</v>
      </c>
      <c r="C203" s="321" t="s">
        <v>217</v>
      </c>
      <c r="D203" s="370" t="n">
        <f aca="false">D64</f>
        <v>1543.5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218</v>
      </c>
      <c r="B205" s="321" t="n">
        <f aca="false">B213</f>
        <v>220.5</v>
      </c>
      <c r="C205" s="320" t="s">
        <v>219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220</v>
      </c>
      <c r="B207" s="321" t="n">
        <f aca="false">E217</f>
        <v>1662.99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215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217</v>
      </c>
      <c r="B211" s="104" t="n">
        <f aca="false">D64</f>
        <v>1543.5</v>
      </c>
      <c r="C211" s="375" t="s">
        <v>223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223</v>
      </c>
      <c r="B213" s="104" t="n">
        <f aca="false">B67</f>
        <v>220.5</v>
      </c>
      <c r="C213" s="336" t="s">
        <v>326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326</v>
      </c>
      <c r="B215" s="241" t="n">
        <f aca="false">B191*E213*100</f>
        <v>40</v>
      </c>
      <c r="C215" s="336" t="s">
        <v>225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327</v>
      </c>
      <c r="B217" s="241" t="n">
        <f aca="false">B78-(B78*(E213*100))</f>
        <v>200</v>
      </c>
      <c r="C217" s="336" t="s">
        <v>220</v>
      </c>
      <c r="D217" s="317"/>
      <c r="E217" s="33" t="n">
        <f aca="false">(B211-B205+D205)</f>
        <v>1662.99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328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329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227</v>
      </c>
      <c r="B223" s="104" t="n">
        <f aca="false">B71</f>
        <v>200</v>
      </c>
      <c r="C223" s="336" t="s">
        <v>228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229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230</v>
      </c>
      <c r="B225" s="381" t="n">
        <f aca="false">B68</f>
        <v>0.0075</v>
      </c>
      <c r="C225" s="336" t="s">
        <v>231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232</v>
      </c>
      <c r="D226" s="343"/>
      <c r="E226" s="33" t="n">
        <f aca="false">B86</f>
        <v>75.2422347720855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233</v>
      </c>
      <c r="B227" s="104" t="n">
        <f aca="false">B79</f>
        <v>200</v>
      </c>
      <c r="C227" s="382" t="s">
        <v>330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234</v>
      </c>
      <c r="B229" s="104" t="n">
        <f aca="false">B80</f>
        <v>200</v>
      </c>
      <c r="C229" s="386" t="s">
        <v>331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390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141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50.0</v>
      </c>
      <c r="B41" s="241" t="n">
        <f aca="false">IF(B38="YES", D38+A41, D38)</f>
        <v>550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1.0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85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86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22050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B60*B63</f>
        <v>1543.5</v>
      </c>
      <c r="C64" s="215" t="n">
        <v>10000.0</v>
      </c>
      <c r="D64" s="291" t="n">
        <f aca="false">B64</f>
        <v>1543.5</v>
      </c>
      <c r="E64" s="216"/>
      <c r="F64" s="63"/>
      <c r="G64" s="285" t="s">
        <v>91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0.01</v>
      </c>
      <c r="C65" s="215"/>
      <c r="D65" s="215"/>
      <c r="E65" s="216"/>
      <c r="F65" s="63"/>
      <c r="G65" s="292" t="s">
        <v>92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93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B60*B66</f>
        <v>220.5</v>
      </c>
      <c r="C67" s="215"/>
      <c r="D67" s="291"/>
      <c r="E67" s="216"/>
      <c r="F67" s="63"/>
      <c r="G67" s="285" t="s">
        <v>94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215"/>
      <c r="D68" s="215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297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200.0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5.0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100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200.0</v>
      </c>
      <c r="C79" s="215"/>
      <c r="D79" s="291" t="n">
        <f aca="false">B79</f>
        <v>200</v>
      </c>
      <c r="E79" s="216"/>
      <c r="F79" s="63"/>
      <c r="G79" s="295" t="s">
        <v>101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200.0</v>
      </c>
      <c r="C80" s="215"/>
      <c r="D80" s="291" t="n">
        <f aca="false">B80</f>
        <v>200</v>
      </c>
      <c r="E80" s="216"/>
      <c r="F80" s="63"/>
      <c r="G80" s="301" t="s">
        <v>102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2870.16666666667</v>
      </c>
      <c r="C81" s="215"/>
      <c r="D81" s="215"/>
      <c r="E81" s="216"/>
      <c r="F81" s="63"/>
      <c r="G81" s="303" t="s">
        <v>103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239.180555555556</v>
      </c>
      <c r="C82" s="215"/>
      <c r="D82" s="215"/>
      <c r="E82" s="216"/>
      <c r="F82" s="63"/>
      <c r="G82" s="214" t="s">
        <v>104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H46</f>
        <v>501</v>
      </c>
      <c r="C83" s="215"/>
      <c r="D83" s="215"/>
      <c r="E83" s="216"/>
      <c r="F83" s="63"/>
      <c r="G83" s="305" t="s">
        <v>105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((B83*(H29)+B81))</f>
        <v>8882.16666666667</v>
      </c>
      <c r="C85" s="215"/>
      <c r="D85" s="215"/>
      <c r="E85" s="216"/>
      <c r="F85" s="63"/>
      <c r="G85" s="288" t="s">
        <v>115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(B85/(1-B70))*B70</f>
        <v>75.2422347720855</v>
      </c>
      <c r="C86" s="215"/>
      <c r="D86" s="215"/>
      <c r="E86" s="216"/>
      <c r="F86" s="63"/>
      <c r="G86" s="214" t="s">
        <v>116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IF(B110="YES",((B85+B86)-E114),((B85+B86)))</f>
        <v>8957.40890143875</v>
      </c>
      <c r="C87" s="215"/>
      <c r="D87" s="215"/>
      <c r="E87" s="216"/>
      <c r="F87" s="63"/>
      <c r="G87" s="285" t="s">
        <v>117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7" t="n">
        <f aca="false">IF(B99=Z102,(((H44*B35)+(H44*B35)*(B105/100))/(B58)),(((H44*B35)+(H44*B35)*(B105/100))/(B57+B58)))</f>
        <v>65</v>
      </c>
      <c r="C89" s="215" t="s">
        <v>4</v>
      </c>
      <c r="D89" s="215"/>
      <c r="E89" s="216"/>
      <c r="F89" s="63"/>
      <c r="G89" s="303" t="s">
        <v>118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IF(B99=Z102, (B87-D105)/(B58), B87/(B57+B58))</f>
        <v>746.450741786563</v>
      </c>
      <c r="C90" s="215"/>
      <c r="D90" s="215"/>
      <c r="E90" s="216"/>
      <c r="F90" s="63"/>
      <c r="G90" s="308" t="s">
        <v>119</v>
      </c>
      <c r="H90" s="309" t="n">
        <f aca="false">IF(H99=AE98, (H87-J105)/(H58), H87/(H57+H58))</f>
        <v>1024.59311617588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811.450741786563</v>
      </c>
      <c r="C91" s="215"/>
      <c r="D91" s="215"/>
      <c r="E91" s="216"/>
      <c r="F91" s="63"/>
      <c r="G91" s="310" t="s">
        <v>120</v>
      </c>
      <c r="H91" s="311" t="n">
        <f aca="false">IF(G105="YES", H90+H89, H90)</f>
        <v>1096.59311617588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351</v>
      </c>
      <c r="C99" s="312"/>
      <c r="D99" s="107" t="n">
        <v>0</v>
      </c>
      <c r="E99" s="107"/>
      <c r="F99" s="63"/>
      <c r="G99" s="220" t="s">
        <v>286</v>
      </c>
      <c r="H99" s="312" t="s">
        <v>130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289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130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390</v>
      </c>
      <c r="B105" s="312" t="n">
        <v>30.0</v>
      </c>
      <c r="C105" s="312"/>
      <c r="D105" s="107" t="s">
        <v>403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290</v>
      </c>
      <c r="B108" s="217" t="n">
        <v>0.0</v>
      </c>
      <c r="C108" s="217"/>
      <c r="D108" s="217" t="n">
        <v>0.0</v>
      </c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291</v>
      </c>
      <c r="B110" s="222" t="s">
        <v>388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0.0</v>
      </c>
      <c r="E112" s="107" t="n">
        <v>6000.0</v>
      </c>
      <c r="F112" s="63"/>
      <c r="G112" s="214" t="s">
        <v>176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177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178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-6000</v>
      </c>
      <c r="E115" s="216"/>
      <c r="F115" s="63"/>
      <c r="G115" s="214" t="s">
        <v>179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f aca="false">D99</f>
        <v>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((E118*1.2)+E117)-E114</f>
        <v>-3760.012</v>
      </c>
      <c r="F119" s="63"/>
      <c r="G119" s="315" t="s">
        <v>292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0.0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83</v>
      </c>
      <c r="H126" s="215" t="s">
        <v>84</v>
      </c>
      <c r="I126" s="215"/>
      <c r="J126" s="215" t="s">
        <v>86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746.450741786563</v>
      </c>
      <c r="B128" s="321" t="n">
        <f aca="false">IF(A105="YES", B89, 0)</f>
        <v>65</v>
      </c>
      <c r="C128" s="326"/>
      <c r="D128" s="321" t="n">
        <f aca="false">B91</f>
        <v>811.450741786563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296</v>
      </c>
      <c r="H129" s="328" t="s">
        <v>297</v>
      </c>
      <c r="I129" s="328"/>
      <c r="J129" s="328" t="s">
        <v>298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333" t="n">
        <f aca="false">H90</f>
        <v>1024.59311617588</v>
      </c>
      <c r="H130" s="177" t="n">
        <f aca="false">IF(G105="YES", H89*H57, 0)</f>
        <v>72</v>
      </c>
      <c r="I130" s="177"/>
      <c r="J130" s="334" t="n">
        <f aca="false">H91</f>
        <v>1096.59311617588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6718.05667607907</v>
      </c>
      <c r="C131" s="317"/>
      <c r="D131" s="38" t="n">
        <f aca="false">IF(A105="YES", B89*B57, 0)</f>
        <v>585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72</v>
      </c>
      <c r="I133" s="221"/>
      <c r="J133" s="184" t="n">
        <f aca="false">H91*H57</f>
        <v>1096.59311617588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7303.05667607907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746.450741786563</v>
      </c>
      <c r="B137" s="38" t="n">
        <f aca="false">IF(A105="YES", B89, 0)</f>
        <v>65</v>
      </c>
      <c r="C137" s="317"/>
      <c r="D137" s="38" t="n">
        <f aca="false">B91</f>
        <v>811.450741786563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1414.213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220.5</v>
      </c>
      <c r="B148" s="38" t="n">
        <f aca="false">B102</f>
        <v>400</v>
      </c>
      <c r="C148" s="38"/>
      <c r="D148" s="38" t="n">
        <f aca="false">IF(A105="YES", (A41*B105)*B125, 0)*0.001</f>
        <v>18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738.49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1096.59311617588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811.450741786563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293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127</v>
      </c>
      <c r="B167" s="354" t="s">
        <v>39</v>
      </c>
      <c r="C167" s="355"/>
      <c r="D167" s="354" t="s">
        <v>84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119</v>
      </c>
      <c r="B170" s="354" t="s">
        <v>294</v>
      </c>
      <c r="C170" s="355"/>
      <c r="D170" s="354" t="s">
        <v>295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746.450741786563</v>
      </c>
      <c r="B171" s="355" t="n">
        <f aca="false">IF(A105="YES", B89, 0)</f>
        <v>65</v>
      </c>
      <c r="C171" s="358"/>
      <c r="D171" s="355" t="n">
        <f aca="false">B91</f>
        <v>811.450741786563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299</v>
      </c>
      <c r="C173" s="230"/>
      <c r="D173" s="359" t="s">
        <v>300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6718.05667607907</v>
      </c>
      <c r="C174" s="353"/>
      <c r="D174" s="103" t="n">
        <f aca="false">IF(A105="YES", B89*B57, 0)</f>
        <v>585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304</v>
      </c>
      <c r="B176" s="166" t="s">
        <v>305</v>
      </c>
      <c r="C176" s="360"/>
      <c r="D176" s="241" t="s">
        <v>208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7303.05667607907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119</v>
      </c>
      <c r="B179" s="363" t="s">
        <v>294</v>
      </c>
      <c r="C179" s="353"/>
      <c r="D179" s="353" t="s">
        <v>295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746.450741786563</v>
      </c>
      <c r="B180" s="103" t="n">
        <f aca="false">IF(A105="YES", B89, 0)</f>
        <v>65</v>
      </c>
      <c r="C180" s="353"/>
      <c r="D180" s="103" t="n">
        <f aca="false">B91</f>
        <v>811.450741786563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312</v>
      </c>
      <c r="C182" s="103"/>
      <c r="D182" s="364" t="s">
        <v>73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316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319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320</v>
      </c>
      <c r="B190" s="353" t="s">
        <v>321</v>
      </c>
      <c r="C190" s="353"/>
      <c r="D190" s="353" t="s">
        <v>322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220.5</v>
      </c>
      <c r="B191" s="103" t="n">
        <f aca="false">B102</f>
        <v>400</v>
      </c>
      <c r="C191" s="103"/>
      <c r="D191" s="103" t="n">
        <f aca="false">IF(A105="YES", (A38/100*B105)*B125, 0)*0.001</f>
        <v>18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324</v>
      </c>
      <c r="B193" s="353" t="s">
        <v>318</v>
      </c>
      <c r="C193" s="353"/>
      <c r="D193" s="353" t="s">
        <v>315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738.49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325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214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215</v>
      </c>
      <c r="B203" s="369" t="n">
        <f aca="false">H29</f>
        <v>12</v>
      </c>
      <c r="C203" s="321" t="s">
        <v>217</v>
      </c>
      <c r="D203" s="370" t="n">
        <f aca="false">D64</f>
        <v>1543.5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218</v>
      </c>
      <c r="B205" s="321" t="n">
        <f aca="false">B213</f>
        <v>220.5</v>
      </c>
      <c r="C205" s="320" t="s">
        <v>219</v>
      </c>
      <c r="D205" s="370" t="n">
        <f aca="false">B219+E215+B215+B217</f>
        <v>519.99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220</v>
      </c>
      <c r="B207" s="321" t="n">
        <f aca="false">E217</f>
        <v>1842.99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215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217</v>
      </c>
      <c r="B211" s="104" t="n">
        <f aca="false">D64</f>
        <v>1543.5</v>
      </c>
      <c r="C211" s="375" t="s">
        <v>223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223</v>
      </c>
      <c r="B213" s="104" t="n">
        <f aca="false">B67</f>
        <v>220.5</v>
      </c>
      <c r="C213" s="336" t="s">
        <v>326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326</v>
      </c>
      <c r="B215" s="241" t="n">
        <f aca="false">B191*E213*100</f>
        <v>40</v>
      </c>
      <c r="C215" s="336" t="s">
        <v>225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327</v>
      </c>
      <c r="B217" s="241" t="n">
        <f aca="false">B78-(B78*(E213*100))</f>
        <v>200</v>
      </c>
      <c r="C217" s="336" t="s">
        <v>220</v>
      </c>
      <c r="D217" s="317"/>
      <c r="E217" s="33" t="n">
        <f aca="false">(B211-B205+D205)</f>
        <v>1842.99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328</v>
      </c>
      <c r="B219" s="341" t="n">
        <f aca="false">D191/0.1</f>
        <v>180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329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227</v>
      </c>
      <c r="B223" s="104" t="n">
        <f aca="false">B71</f>
        <v>200</v>
      </c>
      <c r="C223" s="336" t="s">
        <v>228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229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230</v>
      </c>
      <c r="B225" s="381" t="n">
        <f aca="false">B68</f>
        <v>0.0075</v>
      </c>
      <c r="C225" s="336" t="s">
        <v>231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232</v>
      </c>
      <c r="D226" s="343"/>
      <c r="E226" s="33" t="n">
        <f aca="false">B86</f>
        <v>75.2422347720855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233</v>
      </c>
      <c r="B227" s="104" t="n">
        <f aca="false">B79</f>
        <v>200</v>
      </c>
      <c r="C227" s="382" t="s">
        <v>330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234</v>
      </c>
      <c r="B229" s="104" t="n">
        <f aca="false">B80</f>
        <v>200</v>
      </c>
      <c r="C229" s="386" t="s">
        <v>331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353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128</v>
      </c>
      <c r="B26" s="222" t="s">
        <v>390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182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36.0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183</v>
      </c>
      <c r="B30" s="172" t="s">
        <v>391</v>
      </c>
      <c r="C30" s="172"/>
      <c r="D30" s="215"/>
      <c r="E30" s="216"/>
      <c r="F30" s="63"/>
      <c r="G30" s="218" t="s">
        <v>32</v>
      </c>
      <c r="H30" s="457" t="n">
        <v>10000.0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66666.66666666667</v>
      </c>
      <c r="I31" s="63"/>
      <c r="J31" s="63"/>
      <c r="K31" s="63" t="n">
        <v>66666.6666666667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83</v>
      </c>
      <c r="B32" s="215" t="s">
        <v>84</v>
      </c>
      <c r="C32" s="215"/>
      <c r="D32" s="458" t="s">
        <v>354</v>
      </c>
      <c r="E32" s="216"/>
      <c r="F32" s="63"/>
      <c r="G32" s="218" t="s">
        <v>36</v>
      </c>
      <c r="I32" s="449" t="n">
        <v>6000.0</v>
      </c>
      <c r="J32" s="63"/>
      <c r="K32" s="63" t="n">
        <v>6000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247.379094023601</v>
      </c>
      <c r="E33" s="216"/>
      <c r="F33" s="63"/>
      <c r="G33" s="219" t="s">
        <v>355</v>
      </c>
      <c r="H33" s="460" t="n">
        <f aca="false">E21-E11</f>
        <v>18375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371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356</v>
      </c>
      <c r="B35" s="215" t="s">
        <v>357</v>
      </c>
      <c r="C35" s="215"/>
      <c r="D35" s="215" t="s">
        <v>358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247.379094023601</v>
      </c>
      <c r="B36" s="103" t="n">
        <f aca="false">IF(B26="YES", H42, "")</f>
        <v>0</v>
      </c>
      <c r="C36" s="221"/>
      <c r="D36" s="184" t="n">
        <f aca="false">H31</f>
        <v>15100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359</v>
      </c>
      <c r="B39" s="215" t="s">
        <v>360</v>
      </c>
      <c r="C39" s="215"/>
      <c r="D39" s="215" t="s">
        <v>361</v>
      </c>
      <c r="E39" s="216"/>
      <c r="F39" s="63"/>
      <c r="G39" s="63" t="s">
        <v>85</v>
      </c>
      <c r="H39" s="238" t="n">
        <f aca="false">H33</f>
        <v>18375</v>
      </c>
      <c r="I39" s="238" t="n">
        <f aca="false">(I48*H46)+H44</f>
        <v>55982.1257724274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15100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107</v>
      </c>
      <c r="H40" s="238" t="n">
        <f aca="false">A40/1.2</f>
        <v>12583.3333333333</v>
      </c>
      <c r="I40" s="238" t="n">
        <f aca="false">H39-I39</f>
        <v>-37607.1257724273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362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363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364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77</v>
      </c>
      <c r="B44" s="215"/>
      <c r="C44" s="363" t="s">
        <v>78</v>
      </c>
      <c r="D44" s="363"/>
      <c r="E44" s="216"/>
      <c r="F44" s="63"/>
      <c r="G44" s="63" t="s">
        <v>372</v>
      </c>
      <c r="H44" s="238" t="n">
        <f aca="false">(H40/(1+H41)^(H34+1))</f>
        <v>10303.6413649301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30.0</v>
      </c>
      <c r="B45" s="215"/>
      <c r="C45" s="463" t="n">
        <v>30.0</v>
      </c>
      <c r="D45" s="463"/>
      <c r="E45" s="216"/>
      <c r="F45" s="63"/>
      <c r="G45" s="63" t="s">
        <v>373</v>
      </c>
      <c r="H45" s="238" t="n">
        <f aca="false">(H39-H44)</f>
        <v>8071.35863506989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374</v>
      </c>
      <c r="H46" s="238" t="n">
        <f aca="false">((1-(1/((1+H41)^H34)))/H41)</f>
        <v>32.627488862498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368</v>
      </c>
      <c r="H47" s="238" t="n">
        <f aca="false">H45/H46</f>
        <v>247.379094023601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464" t="s">
        <v>369</v>
      </c>
      <c r="H48" s="238" t="n">
        <f aca="false">IF(B26="YES", H47+H42, H47)</f>
        <v>247.379094023601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370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247.379094023601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85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85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86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86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375</v>
      </c>
      <c r="B60" s="215" t="n">
        <f aca="false">E19</f>
        <v>22050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C64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91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91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0.01</v>
      </c>
      <c r="C65" s="215"/>
      <c r="D65" s="291"/>
      <c r="E65" s="216"/>
      <c r="F65" s="63"/>
      <c r="G65" s="292" t="s">
        <v>92</v>
      </c>
      <c r="H65" s="293" t="n">
        <v>0.01</v>
      </c>
      <c r="I65" s="215"/>
      <c r="J65" s="215"/>
      <c r="K65" s="216"/>
      <c r="L65" s="63"/>
      <c r="M65" s="292" t="s">
        <v>92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0.02</v>
      </c>
      <c r="C66" s="467" t="s">
        <v>223</v>
      </c>
      <c r="D66" s="215"/>
      <c r="E66" s="216"/>
      <c r="F66" s="63"/>
      <c r="G66" s="214" t="s">
        <v>93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93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B60*B66</f>
        <v>441</v>
      </c>
      <c r="C67" s="468" t="s">
        <v>223</v>
      </c>
      <c r="D67" s="469"/>
      <c r="E67" s="216"/>
      <c r="F67" s="63"/>
      <c r="G67" s="285" t="s">
        <v>94</v>
      </c>
      <c r="H67" s="133" t="n">
        <f aca="false">(H61*H66)/1.2</f>
        <v>0</v>
      </c>
      <c r="I67" s="215"/>
      <c r="J67" s="291"/>
      <c r="K67" s="216"/>
      <c r="L67" s="63"/>
      <c r="M67" s="285" t="s">
        <v>94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470"/>
      <c r="D68" s="291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292" t="s">
        <v>95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295" t="s">
        <v>96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297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285" t="s">
        <v>97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200.0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292" t="s">
        <v>98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5.0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295" t="s">
        <v>99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229</v>
      </c>
      <c r="F73" s="63"/>
      <c r="G73" s="285" t="s">
        <v>100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100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200.0</v>
      </c>
      <c r="C79" s="473"/>
      <c r="D79" s="291" t="n">
        <f aca="false">B79</f>
        <v>200</v>
      </c>
      <c r="E79" s="466"/>
      <c r="F79" s="63"/>
      <c r="G79" s="295" t="s">
        <v>101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101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200.0</v>
      </c>
      <c r="C80" s="473"/>
      <c r="D80" s="291" t="n">
        <f aca="false">B80</f>
        <v>200</v>
      </c>
      <c r="E80" s="466" t="n">
        <f aca="false">(D73+D76+D79+D80)/(B58+B57)</f>
        <v>21.6666666666667</v>
      </c>
      <c r="F80" s="63"/>
      <c r="G80" s="301" t="s">
        <v>102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102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10780</v>
      </c>
      <c r="C81" s="473"/>
      <c r="D81" s="474"/>
      <c r="E81" s="466"/>
      <c r="F81" s="63"/>
      <c r="G81" s="303" t="s">
        <v>103</v>
      </c>
      <c r="H81" s="304" t="n">
        <f aca="false">SUM(J64:J80)</f>
        <v>1065.75</v>
      </c>
      <c r="I81" s="215"/>
      <c r="J81" s="215"/>
      <c r="K81" s="216"/>
      <c r="L81" s="63"/>
      <c r="M81" s="303" t="s">
        <v>103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299.444444444444</v>
      </c>
      <c r="C82" s="473"/>
      <c r="D82" s="215"/>
      <c r="E82" s="466"/>
      <c r="F82" s="63"/>
      <c r="G82" s="214" t="s">
        <v>104</v>
      </c>
      <c r="H82" s="300" t="n">
        <f aca="false">H81/H29</f>
        <v>29.6041666666667</v>
      </c>
      <c r="I82" s="215"/>
      <c r="J82" s="215"/>
      <c r="K82" s="216"/>
      <c r="L82" s="63"/>
      <c r="M82" s="214" t="s">
        <v>104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H47</f>
        <v>247.379094023601</v>
      </c>
      <c r="C83" s="473"/>
      <c r="D83" s="215"/>
      <c r="E83" s="466" t="n">
        <f aca="false">B83+E80+E77+E64</f>
        <v>546.823538468045</v>
      </c>
      <c r="F83" s="63"/>
      <c r="G83" s="305" t="s">
        <v>105</v>
      </c>
      <c r="H83" s="306" t="n">
        <f aca="false">H47</f>
        <v>247.379094023601</v>
      </c>
      <c r="I83" s="215"/>
      <c r="J83" s="215"/>
      <c r="K83" s="216"/>
      <c r="L83" s="63"/>
      <c r="M83" s="305" t="s">
        <v>105</v>
      </c>
      <c r="N83" s="306" t="n">
        <f aca="false">H47</f>
        <v>247.379094023601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((B83*H29)+B81)</f>
        <v>19685.6473848496</v>
      </c>
      <c r="C85" s="473"/>
      <c r="D85" s="473"/>
      <c r="E85" s="466" t="n">
        <f aca="false">B85/(B58+B57)</f>
        <v>546.823538468045</v>
      </c>
      <c r="F85" s="63"/>
      <c r="G85" s="288" t="s">
        <v>115</v>
      </c>
      <c r="H85" s="131" t="n">
        <f aca="false">((H83*H29)+H81)*1.2</f>
        <v>11965.6768618196</v>
      </c>
      <c r="I85" s="215"/>
      <c r="J85" s="215"/>
      <c r="K85" s="216"/>
      <c r="L85" s="63"/>
      <c r="M85" s="288" t="s">
        <v>115</v>
      </c>
      <c r="N85" s="131" t="n">
        <f aca="false">((N83*H29)+N81)</f>
        <v>9627.64738484963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(((B83*H29)+B81)/(1-B70))*B70</f>
        <v>166.760223913611</v>
      </c>
      <c r="C86" s="473" t="s">
        <v>232</v>
      </c>
      <c r="D86" s="215"/>
      <c r="E86" s="466" t="n">
        <f aca="false">B86/(B58+B57)</f>
        <v>4.63222844204476</v>
      </c>
      <c r="F86" s="63"/>
      <c r="G86" s="214" t="s">
        <v>116</v>
      </c>
      <c r="H86" s="300" t="n">
        <f aca="false">((((H83*H29)+H81))/(1-H70))*H70</f>
        <v>84.4692799846076</v>
      </c>
      <c r="I86" s="215"/>
      <c r="J86" s="215"/>
      <c r="K86" s="216"/>
      <c r="L86" s="63"/>
      <c r="M86" s="214" t="s">
        <v>116</v>
      </c>
      <c r="N86" s="300" t="n">
        <f aca="false">(N85/(1-N70))*N70</f>
        <v>81.557319516677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IF(B110="YES",((B85+B86)-E114),((B85+B86)))</f>
        <v>19852.4076087632</v>
      </c>
      <c r="C87" s="473"/>
      <c r="D87" s="475"/>
      <c r="E87" s="466" t="n">
        <f aca="false">E86+E85</f>
        <v>551.45576691009</v>
      </c>
      <c r="F87" s="63"/>
      <c r="G87" s="285" t="s">
        <v>117</v>
      </c>
      <c r="H87" s="133" t="n">
        <f aca="false">IF(H110="YES",((H85+H86)-K114),(H85+H86))</f>
        <v>12050.1461418042</v>
      </c>
      <c r="I87" s="215"/>
      <c r="J87" s="215"/>
      <c r="K87" s="216"/>
      <c r="L87" s="63"/>
      <c r="M87" s="285" t="s">
        <v>117</v>
      </c>
      <c r="N87" s="133" t="n">
        <f aca="false">IF(N110="YES",((N85+N86)-Q114),(N85+N86))</f>
        <v>9709.2047043663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118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118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IF(B99=Y98, (B87-D105)/(B58), B87/(B57+B58))</f>
        <v>551.45576691009</v>
      </c>
      <c r="C90" s="473"/>
      <c r="D90" s="215"/>
      <c r="E90" s="476"/>
      <c r="F90" s="63"/>
      <c r="G90" s="308" t="s">
        <v>119</v>
      </c>
      <c r="H90" s="309" t="n">
        <f aca="false">IF(H99=Y98, (H87-J105)/(H58), H87/(H57+H58))</f>
        <v>293.906003458638</v>
      </c>
      <c r="I90" s="215"/>
      <c r="J90" s="215"/>
      <c r="K90" s="216"/>
      <c r="L90" s="63"/>
      <c r="M90" s="308" t="s">
        <v>119</v>
      </c>
      <c r="N90" s="309" t="n">
        <f aca="false">IF(N99=Y98, (N87-P105)/(N58), N87/(N57+N58))</f>
        <v>236.809870838203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551.45576691009</v>
      </c>
      <c r="C91" s="473"/>
      <c r="D91" s="477"/>
      <c r="E91" s="430"/>
      <c r="F91" s="63"/>
      <c r="G91" s="310" t="s">
        <v>120</v>
      </c>
      <c r="H91" s="311" t="n">
        <f aca="false">IF(G105="YES", H90+H89, H90)</f>
        <v>293.906003458638</v>
      </c>
      <c r="I91" s="215"/>
      <c r="J91" s="215"/>
      <c r="K91" s="216"/>
      <c r="L91" s="63"/>
      <c r="M91" s="310" t="s">
        <v>120</v>
      </c>
      <c r="N91" s="311" t="n">
        <f aca="false">IF(M105="YES", N90+N89, N90)</f>
        <v>236.809870838203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341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376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217" t="s">
        <v>126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130</v>
      </c>
      <c r="Z97" s="63"/>
      <c r="AC97" s="388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214" t="s">
        <v>127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130</v>
      </c>
      <c r="C99" s="312"/>
      <c r="D99" s="107" t="n">
        <v>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377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214" t="s">
        <v>287</v>
      </c>
      <c r="N101" s="215" t="s">
        <v>288</v>
      </c>
      <c r="O101" s="215"/>
      <c r="P101" s="215" t="s">
        <v>289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220" t="s">
        <v>128</v>
      </c>
      <c r="N104" s="63" t="s">
        <v>131</v>
      </c>
      <c r="O104" s="215"/>
      <c r="P104" s="215" t="s">
        <v>142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390</v>
      </c>
      <c r="B105" s="314" t="n">
        <v>0.3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342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217" t="s">
        <v>290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291</v>
      </c>
      <c r="B110" s="222" t="s">
        <v>388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214" t="s">
        <v>291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0.0</v>
      </c>
      <c r="E112" s="107" t="n">
        <v>6000.0</v>
      </c>
      <c r="F112" s="63"/>
      <c r="G112" s="214" t="s">
        <v>176</v>
      </c>
      <c r="H112" s="215"/>
      <c r="I112" s="215"/>
      <c r="J112" s="313" t="n">
        <v>0</v>
      </c>
      <c r="K112" s="107" t="n">
        <v>0</v>
      </c>
      <c r="L112" s="63"/>
      <c r="M112" s="214" t="s">
        <v>176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177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177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178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178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-6000</v>
      </c>
      <c r="E115" s="216"/>
      <c r="F115" s="63"/>
      <c r="G115" s="214" t="s">
        <v>179</v>
      </c>
      <c r="H115" s="215"/>
      <c r="I115" s="215"/>
      <c r="J115" s="166" t="n">
        <f aca="false">J114-K114</f>
        <v>0</v>
      </c>
      <c r="K115" s="216"/>
      <c r="L115" s="63"/>
      <c r="M115" s="214" t="s">
        <v>179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v>1000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288" t="s">
        <v>138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292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292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217" t="s">
        <v>293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0.0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214" t="s">
        <v>183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296</v>
      </c>
      <c r="H126" s="328" t="s">
        <v>297</v>
      </c>
      <c r="I126" s="328"/>
      <c r="J126" s="328" t="s">
        <v>298</v>
      </c>
      <c r="K126" s="216"/>
      <c r="L126" s="63"/>
      <c r="M126" s="327" t="s">
        <v>343</v>
      </c>
      <c r="N126" s="328" t="s">
        <v>252</v>
      </c>
      <c r="O126" s="328"/>
      <c r="P126" s="328" t="s">
        <v>120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333" t="n">
        <f aca="false">H90</f>
        <v>293.906003458638</v>
      </c>
      <c r="H127" s="177" t="n">
        <f aca="false">IF(G105="YES", H89*H57, 0)</f>
        <v>0</v>
      </c>
      <c r="I127" s="177"/>
      <c r="J127" s="334" t="n">
        <f aca="false">H91</f>
        <v>293.906003458638</v>
      </c>
      <c r="K127" s="216"/>
      <c r="L127" s="63"/>
      <c r="M127" s="333" t="n">
        <f aca="false">N90</f>
        <v>236.809870838203</v>
      </c>
      <c r="N127" s="177" t="n">
        <f aca="false">IF(M105="YES", N89*N57, 0)</f>
        <v>0</v>
      </c>
      <c r="O127" s="177"/>
      <c r="P127" s="177" t="n">
        <f aca="false">N91</f>
        <v>236.809870838203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551.45576691009</v>
      </c>
      <c r="B128" s="321" t="n">
        <f aca="false">IF(A105="YES", B89, 0)</f>
        <v>0</v>
      </c>
      <c r="C128" s="325"/>
      <c r="D128" s="321" t="n">
        <f aca="false">B91</f>
        <v>551.45576691009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83</v>
      </c>
      <c r="H129" s="215" t="s">
        <v>84</v>
      </c>
      <c r="I129" s="215"/>
      <c r="J129" s="215" t="s">
        <v>86</v>
      </c>
      <c r="K129" s="216"/>
      <c r="L129" s="63"/>
      <c r="M129" s="214" t="s">
        <v>83</v>
      </c>
      <c r="N129" s="215" t="s">
        <v>84</v>
      </c>
      <c r="O129" s="215"/>
      <c r="P129" s="215" t="s">
        <v>86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551.45576691009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214" t="s">
        <v>344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1763.43602075183</v>
      </c>
      <c r="H133" s="103" t="n">
        <f aca="false">IF(G105="YES", H89*H57, 0)</f>
        <v>0</v>
      </c>
      <c r="I133" s="221"/>
      <c r="J133" s="184" t="n">
        <f aca="false">H91*H57</f>
        <v>1763.43602075183</v>
      </c>
      <c r="K133" s="216"/>
      <c r="L133" s="63"/>
      <c r="M133" s="185" t="n">
        <f aca="false">N90*N57</f>
        <v>1420.85922502922</v>
      </c>
      <c r="N133" s="103" t="n">
        <f aca="false">IF(M105="YES", N89*N57, 0)</f>
        <v>0</v>
      </c>
      <c r="O133" s="221"/>
      <c r="P133" s="184" t="n">
        <f aca="false">N91*N57</f>
        <v>1420.85922502922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551.45576691009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551.45576691009</v>
      </c>
      <c r="B137" s="38" t="n">
        <f aca="false">IF(A105="YES", B89, 0)</f>
        <v>0</v>
      </c>
      <c r="C137" s="317"/>
      <c r="D137" s="38" t="n">
        <f aca="false">B91</f>
        <v>551.45576691009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214" t="s">
        <v>141</v>
      </c>
      <c r="N138" s="215" t="s">
        <v>310</v>
      </c>
      <c r="O138" s="215"/>
      <c r="P138" s="215" t="s">
        <v>311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214" t="s">
        <v>313</v>
      </c>
      <c r="N141" s="215" t="s">
        <v>314</v>
      </c>
      <c r="O141" s="215"/>
      <c r="P141" s="215" t="s">
        <v>315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214" t="s">
        <v>317</v>
      </c>
      <c r="N144" s="215" t="s">
        <v>318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345</v>
      </c>
      <c r="N147" s="166" t="s">
        <v>346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441</v>
      </c>
      <c r="B148" s="103" t="n">
        <f aca="false">B102</f>
        <v>0</v>
      </c>
      <c r="C148" s="38"/>
      <c r="D148" s="38" t="n">
        <f aca="false">IF(A105="YES", (B40*B105)*B125, 0)*0.1</f>
        <v>0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540.99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323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293.906003458638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83</v>
      </c>
      <c r="N153" s="251" t="s">
        <v>84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236.809870838203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551.45576691009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551.45576691009</v>
      </c>
      <c r="B177" s="355" t="n">
        <f aca="false">IF(A105="YES", B89, 0)</f>
        <v>0</v>
      </c>
      <c r="C177" s="357"/>
      <c r="D177" s="355" t="n">
        <f aca="false">B91</f>
        <v>551.45576691009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551.45576691009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551.45576691009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551.45576691009</v>
      </c>
      <c r="B186" s="103" t="n">
        <f aca="false">IF(A105="YES", B89, 0)</f>
        <v>0</v>
      </c>
      <c r="C186" s="353"/>
      <c r="D186" s="103" t="n">
        <f aca="false">B91</f>
        <v>551.45576691009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441</v>
      </c>
      <c r="B197" s="103" t="n">
        <f aca="false">B102</f>
        <v>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540.99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0.065</v>
      </c>
      <c r="C209" s="321" t="s">
        <v>217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441</v>
      </c>
      <c r="C211" s="320" t="s">
        <v>219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9658.99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D64</f>
        <v>10000</v>
      </c>
      <c r="C217" s="375" t="s">
        <v>223</v>
      </c>
      <c r="D217" s="317"/>
      <c r="E217" s="376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B67</f>
        <v>441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(B77-(B77*(E219*100)))*0.1</f>
        <v>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B78-(B78*(E219*100))</f>
        <v>0</v>
      </c>
      <c r="C223" s="336" t="s">
        <v>220</v>
      </c>
      <c r="D223" s="317"/>
      <c r="E223" s="33" t="n">
        <f aca="false">(B217-B211+D211)</f>
        <v>9658.99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B71</f>
        <v>200</v>
      </c>
      <c r="C229" s="336" t="s">
        <v>228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B68</f>
        <v>0.0075</v>
      </c>
      <c r="C231" s="336" t="s">
        <v>231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B86</f>
        <v>166.760223913611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B79</f>
        <v>200</v>
      </c>
      <c r="C233" s="382" t="s">
        <v>330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B80</f>
        <v>200</v>
      </c>
      <c r="C235" s="386" t="s">
        <v>331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81" colorId="64" zoomScale="85" zoomScaleNormal="85" zoomScalePageLayoutView="100" workbookViewId="0">
      <selection pane="topLeft" activeCell="A152" activeCellId="0" sqref="A152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353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128</v>
      </c>
      <c r="B26" s="222" t="s">
        <v>390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182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36.0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183</v>
      </c>
      <c r="B30" s="172" t="s">
        <v>391</v>
      </c>
      <c r="C30" s="172"/>
      <c r="D30" s="215"/>
      <c r="E30" s="216"/>
      <c r="F30" s="63"/>
      <c r="G30" s="218" t="s">
        <v>32</v>
      </c>
      <c r="H30" s="457" t="n">
        <v>10000.0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20000.0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83</v>
      </c>
      <c r="B32" s="215" t="s">
        <v>84</v>
      </c>
      <c r="C32" s="215"/>
      <c r="D32" s="458" t="s">
        <v>354</v>
      </c>
      <c r="E32" s="216"/>
      <c r="F32" s="63"/>
      <c r="G32" s="218" t="s">
        <v>36</v>
      </c>
      <c r="I32" s="449" t="n">
        <v>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577.753498373238</v>
      </c>
      <c r="E33" s="216"/>
      <c r="F33" s="63"/>
      <c r="G33" s="219" t="s">
        <v>355</v>
      </c>
      <c r="H33" s="460" t="n">
        <f aca="false">E21-E11</f>
        <v>18375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371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356</v>
      </c>
      <c r="B35" s="215" t="s">
        <v>357</v>
      </c>
      <c r="C35" s="215"/>
      <c r="D35" s="215" t="s">
        <v>358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577.753498373238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359</v>
      </c>
      <c r="B39" s="215" t="s">
        <v>360</v>
      </c>
      <c r="C39" s="215"/>
      <c r="D39" s="215" t="s">
        <v>361</v>
      </c>
      <c r="E39" s="216"/>
      <c r="F39" s="63"/>
      <c r="G39" s="63" t="s">
        <v>85</v>
      </c>
      <c r="H39" s="238" t="n">
        <f aca="false">H33</f>
        <v>18375</v>
      </c>
      <c r="I39" s="238" t="n">
        <f aca="false">(I48*H46)+H44</f>
        <v>44525.9095313712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107</v>
      </c>
      <c r="H40" s="238" t="n">
        <f aca="false">A40/1.2</f>
        <v>0</v>
      </c>
      <c r="I40" s="238" t="n">
        <f aca="false">H39-I39</f>
        <v>-26150.9095313712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362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363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364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77</v>
      </c>
      <c r="B44" s="215"/>
      <c r="C44" s="363" t="s">
        <v>78</v>
      </c>
      <c r="D44" s="363"/>
      <c r="E44" s="216"/>
      <c r="F44" s="63"/>
      <c r="G44" s="63" t="s">
        <v>372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373</v>
      </c>
      <c r="H45" s="238" t="n">
        <f aca="false">(H39-H44)</f>
        <v>18375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374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368</v>
      </c>
      <c r="H47" s="238" t="n">
        <f aca="false">H45/H46</f>
        <v>577.753498373238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464" t="s">
        <v>369</v>
      </c>
      <c r="H48" s="238" t="n">
        <f aca="false">IF(B26="YES", H47+H42, H47)</f>
        <v>577.753498373238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370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577.753498373238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85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85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86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86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375</v>
      </c>
      <c r="B60" s="215" t="n">
        <f aca="false">E19</f>
        <v>22050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C64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91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91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0.01</v>
      </c>
      <c r="C65" s="215"/>
      <c r="D65" s="291"/>
      <c r="E65" s="216"/>
      <c r="F65" s="63"/>
      <c r="G65" s="292" t="s">
        <v>92</v>
      </c>
      <c r="H65" s="293" t="n">
        <v>0.01</v>
      </c>
      <c r="I65" s="215"/>
      <c r="J65" s="215"/>
      <c r="K65" s="216"/>
      <c r="L65" s="63"/>
      <c r="M65" s="292" t="s">
        <v>92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0.0195833333333333</v>
      </c>
      <c r="C66" s="467" t="s">
        <v>223</v>
      </c>
      <c r="D66" s="215"/>
      <c r="E66" s="216"/>
      <c r="F66" s="63"/>
      <c r="G66" s="214" t="s">
        <v>93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93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B60*B66</f>
        <v>431.8125</v>
      </c>
      <c r="C67" s="468" t="s">
        <v>223</v>
      </c>
      <c r="D67" s="469"/>
      <c r="E67" s="216"/>
      <c r="F67" s="63"/>
      <c r="G67" s="285" t="s">
        <v>94</v>
      </c>
      <c r="H67" s="133" t="n">
        <f aca="false">(H61*H66)/1.2</f>
        <v>0</v>
      </c>
      <c r="I67" s="215"/>
      <c r="J67" s="291"/>
      <c r="K67" s="216"/>
      <c r="L67" s="63"/>
      <c r="M67" s="285" t="s">
        <v>94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470"/>
      <c r="D68" s="291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292" t="s">
        <v>95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295" t="s">
        <v>96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297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285" t="s">
        <v>97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200.0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292" t="s">
        <v>98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5.0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295" t="s">
        <v>99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229</v>
      </c>
      <c r="F73" s="63"/>
      <c r="G73" s="285" t="s">
        <v>100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100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165.0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495</v>
      </c>
      <c r="C76" s="215"/>
      <c r="D76" s="291" t="n">
        <f aca="false">B76</f>
        <v>495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200.0</v>
      </c>
      <c r="C79" s="473"/>
      <c r="D79" s="291" t="n">
        <f aca="false">B79</f>
        <v>200</v>
      </c>
      <c r="E79" s="466"/>
      <c r="F79" s="63"/>
      <c r="G79" s="295" t="s">
        <v>101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101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200.0</v>
      </c>
      <c r="C80" s="473"/>
      <c r="D80" s="291" t="n">
        <f aca="false">B80</f>
        <v>200</v>
      </c>
      <c r="E80" s="466" t="n">
        <f aca="false">(D73+D76+D79+D80)/(B58+B57)</f>
        <v>36.2857142857143</v>
      </c>
      <c r="F80" s="63"/>
      <c r="G80" s="301" t="s">
        <v>102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102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11936.6666666667</v>
      </c>
      <c r="C81" s="473"/>
      <c r="D81" s="474"/>
      <c r="E81" s="466"/>
      <c r="F81" s="63"/>
      <c r="G81" s="303" t="s">
        <v>103</v>
      </c>
      <c r="H81" s="304" t="n">
        <f aca="false">SUM(J64:J80)</f>
        <v>1047.5</v>
      </c>
      <c r="I81" s="215"/>
      <c r="J81" s="215"/>
      <c r="K81" s="216"/>
      <c r="L81" s="63"/>
      <c r="M81" s="303" t="s">
        <v>103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341.047619047619</v>
      </c>
      <c r="C82" s="473"/>
      <c r="D82" s="215"/>
      <c r="E82" s="466"/>
      <c r="F82" s="63"/>
      <c r="G82" s="214" t="s">
        <v>104</v>
      </c>
      <c r="H82" s="300" t="n">
        <f aca="false">H81/H29</f>
        <v>29.9285714285714</v>
      </c>
      <c r="I82" s="215"/>
      <c r="J82" s="215"/>
      <c r="K82" s="216"/>
      <c r="L82" s="63"/>
      <c r="M82" s="214" t="s">
        <v>104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H47</f>
        <v>577.753498373238</v>
      </c>
      <c r="C83" s="473"/>
      <c r="D83" s="215"/>
      <c r="E83" s="466" t="n">
        <f aca="false">B83+E80+E77+E64</f>
        <v>912.451911071651</v>
      </c>
      <c r="F83" s="63"/>
      <c r="G83" s="305" t="s">
        <v>105</v>
      </c>
      <c r="H83" s="306" t="n">
        <f aca="false">H47</f>
        <v>577.753498373238</v>
      </c>
      <c r="I83" s="215"/>
      <c r="J83" s="215"/>
      <c r="K83" s="216"/>
      <c r="L83" s="63"/>
      <c r="M83" s="305" t="s">
        <v>105</v>
      </c>
      <c r="N83" s="306" t="n">
        <f aca="false">H47</f>
        <v>577.753498373238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((B83*H29)+B81)*1.2</f>
        <v>38589.646931676</v>
      </c>
      <c r="C85" s="473"/>
      <c r="D85" s="473"/>
      <c r="E85" s="466" t="n">
        <f aca="false">B85/(B58+B57)</f>
        <v>1102.56134090503</v>
      </c>
      <c r="F85" s="63"/>
      <c r="G85" s="288" t="s">
        <v>115</v>
      </c>
      <c r="H85" s="131" t="n">
        <f aca="false">((H83*H29)+H81)*1.2</f>
        <v>25522.646931676</v>
      </c>
      <c r="I85" s="215"/>
      <c r="J85" s="215"/>
      <c r="K85" s="216"/>
      <c r="L85" s="63"/>
      <c r="M85" s="288" t="s">
        <v>115</v>
      </c>
      <c r="N85" s="131" t="n">
        <f aca="false">((N83*H29)+N81)</f>
        <v>20938.8724430633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(((B83*H29)+B81)/(1-B70))*B70</f>
        <v>272.415821421674</v>
      </c>
      <c r="C86" s="473" t="s">
        <v>232</v>
      </c>
      <c r="D86" s="215"/>
      <c r="E86" s="466" t="n">
        <f aca="false">B86/(B58+B57)</f>
        <v>7.7833091834764</v>
      </c>
      <c r="F86" s="63"/>
      <c r="G86" s="214" t="s">
        <v>116</v>
      </c>
      <c r="H86" s="300" t="n">
        <f aca="false">((((H83*H29)+H81))/(1-H70))*H70</f>
        <v>180.171973095736</v>
      </c>
      <c r="I86" s="215"/>
      <c r="J86" s="215"/>
      <c r="K86" s="216"/>
      <c r="L86" s="63"/>
      <c r="M86" s="214" t="s">
        <v>116</v>
      </c>
      <c r="N86" s="300" t="n">
        <f aca="false">(N85/(1-N70))*N70</f>
        <v>177.376491046523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IF(B110="YES",((B85+B86)-E114),((B85+B86)))</f>
        <v>38862.0627530977</v>
      </c>
      <c r="C87" s="473"/>
      <c r="D87" s="475"/>
      <c r="E87" s="466" t="n">
        <f aca="false">E86+E85</f>
        <v>1110.3446500885</v>
      </c>
      <c r="F87" s="63"/>
      <c r="G87" s="285" t="s">
        <v>117</v>
      </c>
      <c r="H87" s="133" t="n">
        <f aca="false">IF(H110="YES",((H85+H86)-K114),(H85+H86))</f>
        <v>25702.8189047717</v>
      </c>
      <c r="I87" s="215"/>
      <c r="J87" s="215"/>
      <c r="K87" s="216"/>
      <c r="L87" s="63"/>
      <c r="M87" s="285" t="s">
        <v>117</v>
      </c>
      <c r="N87" s="133" t="n">
        <f aca="false">IF(N110="YES",((N85+N86)-Q114),(N85+N86))</f>
        <v>21116.2489341098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118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118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IF(B99=Y98, (B87-D105)/(B58), B87/(B57+B58))</f>
        <v>1110.3446500885</v>
      </c>
      <c r="C90" s="473"/>
      <c r="D90" s="215"/>
      <c r="E90" s="476"/>
      <c r="F90" s="63"/>
      <c r="G90" s="308" t="s">
        <v>119</v>
      </c>
      <c r="H90" s="309" t="n">
        <f aca="false">IF(H99=Y98, (H87-J105)/(H58), H87/(H57+H58))</f>
        <v>642.570472619293</v>
      </c>
      <c r="I90" s="215"/>
      <c r="J90" s="215"/>
      <c r="K90" s="216"/>
      <c r="L90" s="63"/>
      <c r="M90" s="308" t="s">
        <v>119</v>
      </c>
      <c r="N90" s="309" t="n">
        <f aca="false">IF(N99=Y98, (N87-P105)/(N58), N87/(N57+N58))</f>
        <v>527.906223352746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1110.3446500885</v>
      </c>
      <c r="C91" s="473"/>
      <c r="D91" s="477"/>
      <c r="E91" s="430"/>
      <c r="F91" s="63"/>
      <c r="G91" s="310" t="s">
        <v>120</v>
      </c>
      <c r="H91" s="311" t="n">
        <f aca="false">IF(G105="YES", H90+H89, H90)</f>
        <v>642.570472619293</v>
      </c>
      <c r="I91" s="215"/>
      <c r="J91" s="215"/>
      <c r="K91" s="216"/>
      <c r="L91" s="63"/>
      <c r="M91" s="310" t="s">
        <v>120</v>
      </c>
      <c r="N91" s="311" t="n">
        <f aca="false">IF(M105="YES", N90+N89, N90)</f>
        <v>527.906223352746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341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376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217" t="s">
        <v>126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130</v>
      </c>
      <c r="Z97" s="63"/>
      <c r="AC97" s="388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214" t="s">
        <v>127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130</v>
      </c>
      <c r="C99" s="312"/>
      <c r="D99" s="107" t="n">
        <v>1000.0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377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214" t="s">
        <v>287</v>
      </c>
      <c r="N101" s="215" t="s">
        <v>288</v>
      </c>
      <c r="O101" s="215"/>
      <c r="P101" s="215" t="s">
        <v>289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220" t="s">
        <v>128</v>
      </c>
      <c r="N104" s="63" t="s">
        <v>131</v>
      </c>
      <c r="O104" s="215"/>
      <c r="P104" s="215" t="s">
        <v>142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390</v>
      </c>
      <c r="B105" s="314" t="n">
        <v>0.3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342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217" t="s">
        <v>290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291</v>
      </c>
      <c r="B110" s="222" t="s">
        <v>388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214" t="s">
        <v>291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0.0</v>
      </c>
      <c r="E112" s="107" t="n">
        <v>6000.0</v>
      </c>
      <c r="F112" s="63"/>
      <c r="G112" s="214" t="s">
        <v>176</v>
      </c>
      <c r="H112" s="215"/>
      <c r="I112" s="215"/>
      <c r="J112" s="313" t="n">
        <v>0</v>
      </c>
      <c r="K112" s="107" t="n">
        <v>0</v>
      </c>
      <c r="L112" s="63"/>
      <c r="M112" s="214" t="s">
        <v>176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177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177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178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178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-6000</v>
      </c>
      <c r="E115" s="216"/>
      <c r="F115" s="63"/>
      <c r="G115" s="214" t="s">
        <v>179</v>
      </c>
      <c r="H115" s="215"/>
      <c r="I115" s="215"/>
      <c r="J115" s="166" t="n">
        <f aca="false">J114-K114</f>
        <v>0</v>
      </c>
      <c r="K115" s="216"/>
      <c r="L115" s="63"/>
      <c r="M115" s="214" t="s">
        <v>179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v>1000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288" t="s">
        <v>138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((E118)+E117)-E114</f>
        <v>-2760.01</v>
      </c>
      <c r="F119" s="63"/>
      <c r="G119" s="315" t="s">
        <v>292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292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217" t="s">
        <v>293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0.0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214" t="s">
        <v>183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296</v>
      </c>
      <c r="H126" s="328" t="s">
        <v>297</v>
      </c>
      <c r="I126" s="328"/>
      <c r="J126" s="328" t="s">
        <v>298</v>
      </c>
      <c r="K126" s="216"/>
      <c r="L126" s="63"/>
      <c r="M126" s="327" t="s">
        <v>343</v>
      </c>
      <c r="N126" s="328" t="s">
        <v>252</v>
      </c>
      <c r="O126" s="328"/>
      <c r="P126" s="328" t="s">
        <v>120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333" t="n">
        <f aca="false">H90</f>
        <v>642.570472619293</v>
      </c>
      <c r="H127" s="177" t="n">
        <f aca="false">IF(G105="YES", H89*H57, 0)</f>
        <v>0</v>
      </c>
      <c r="I127" s="177"/>
      <c r="J127" s="334" t="n">
        <f aca="false">H91</f>
        <v>642.570472619293</v>
      </c>
      <c r="K127" s="216"/>
      <c r="L127" s="63"/>
      <c r="M127" s="333" t="n">
        <f aca="false">N90</f>
        <v>527.906223352746</v>
      </c>
      <c r="N127" s="177" t="n">
        <f aca="false">IF(M105="YES", N89*N57, 0)</f>
        <v>0</v>
      </c>
      <c r="O127" s="177"/>
      <c r="P127" s="177" t="n">
        <f aca="false">N91</f>
        <v>527.906223352746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1110.3446500885</v>
      </c>
      <c r="B128" s="321" t="n">
        <f aca="false">IF(A105="YES", B89, 0)</f>
        <v>0</v>
      </c>
      <c r="C128" s="325"/>
      <c r="D128" s="321" t="n">
        <f aca="false">B91</f>
        <v>1110.3446500885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83</v>
      </c>
      <c r="H129" s="215" t="s">
        <v>84</v>
      </c>
      <c r="I129" s="215"/>
      <c r="J129" s="215" t="s">
        <v>86</v>
      </c>
      <c r="K129" s="216"/>
      <c r="L129" s="63"/>
      <c r="M129" s="214" t="s">
        <v>83</v>
      </c>
      <c r="N129" s="215" t="s">
        <v>84</v>
      </c>
      <c r="O129" s="215"/>
      <c r="P129" s="215" t="s">
        <v>86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1110.3446500885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214" t="s">
        <v>344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3855.42283571576</v>
      </c>
      <c r="H133" s="103" t="n">
        <f aca="false">IF(G105="YES", H89*H57, 0)</f>
        <v>0</v>
      </c>
      <c r="I133" s="221"/>
      <c r="J133" s="184" t="n">
        <f aca="false">H91*H57</f>
        <v>3855.42283571576</v>
      </c>
      <c r="K133" s="216"/>
      <c r="L133" s="63"/>
      <c r="M133" s="185" t="n">
        <f aca="false">N90*N57</f>
        <v>3167.43734011648</v>
      </c>
      <c r="N133" s="103" t="n">
        <f aca="false">IF(M105="YES", N89*N57, 0)</f>
        <v>0</v>
      </c>
      <c r="O133" s="221"/>
      <c r="P133" s="184" t="n">
        <f aca="false">N91*N57</f>
        <v>3167.43734011648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1110.3446500885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1110.3446500885</v>
      </c>
      <c r="B137" s="38" t="n">
        <f aca="false">IF(A105="YES", B89, 0)</f>
        <v>0</v>
      </c>
      <c r="C137" s="317"/>
      <c r="D137" s="38" t="n">
        <f aca="false">B91</f>
        <v>1110.3446500885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214" t="s">
        <v>141</v>
      </c>
      <c r="N138" s="215" t="s">
        <v>310</v>
      </c>
      <c r="O138" s="215"/>
      <c r="P138" s="215" t="s">
        <v>311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214" t="s">
        <v>313</v>
      </c>
      <c r="N141" s="215" t="s">
        <v>314</v>
      </c>
      <c r="O141" s="215"/>
      <c r="P141" s="215" t="s">
        <v>315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214" t="s">
        <v>317</v>
      </c>
      <c r="N144" s="215" t="s">
        <v>318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345</v>
      </c>
      <c r="N147" s="166" t="s">
        <v>346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431.8125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931.804166666667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323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642.570472619293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83</v>
      </c>
      <c r="N153" s="251" t="s">
        <v>84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527.906223352746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1110.3446500885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1110.3446500885</v>
      </c>
      <c r="B177" s="355" t="n">
        <f aca="false">IF(A105="YES", B89, 0)</f>
        <v>0</v>
      </c>
      <c r="C177" s="357"/>
      <c r="D177" s="355" t="n">
        <f aca="false">B91</f>
        <v>1110.3446500885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1110.3446500885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1110.3446500885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1110.3446500885</v>
      </c>
      <c r="B186" s="103" t="n">
        <f aca="false">IF(A105="YES", B89, 0)</f>
        <v>0</v>
      </c>
      <c r="C186" s="353"/>
      <c r="D186" s="103" t="n">
        <f aca="false">B91</f>
        <v>1110.3446500885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431.8125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931.804166666667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0.065</v>
      </c>
      <c r="C209" s="321" t="s">
        <v>217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431.8125</v>
      </c>
      <c r="C211" s="320" t="s">
        <v>219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9908.17916666667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D64</f>
        <v>10000</v>
      </c>
      <c r="C217" s="375" t="s">
        <v>223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B67</f>
        <v>431.8125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(B77-(B77*(E219*100)))*0.1</f>
        <v>40</v>
      </c>
      <c r="C221" s="336" t="s">
        <v>225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B78-(B78*(E219*100))</f>
        <v>200</v>
      </c>
      <c r="C223" s="336" t="s">
        <v>220</v>
      </c>
      <c r="D223" s="317"/>
      <c r="E223" s="33" t="n">
        <f aca="false">(B217-B211+D211)</f>
        <v>9908.17916666667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B71</f>
        <v>200</v>
      </c>
      <c r="C229" s="336" t="s">
        <v>228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B68</f>
        <v>0.0075</v>
      </c>
      <c r="C231" s="336" t="s">
        <v>231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B86</f>
        <v>272.415821421674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B79</f>
        <v>200</v>
      </c>
      <c r="C233" s="382" t="s">
        <v>330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B80</f>
        <v>200</v>
      </c>
      <c r="C235" s="386" t="s">
        <v>331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3" colorId="64" zoomScale="85" zoomScaleNormal="85" zoomScalePageLayoutView="100" workbookViewId="0">
      <selection pane="topLeft" activeCell="A36" activeCellId="0" sqref="A3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145</v>
      </c>
      <c r="C2" s="482" t="s">
        <v>146</v>
      </c>
      <c r="D2" s="482" t="s">
        <v>147</v>
      </c>
      <c r="E2" s="483" t="s">
        <v>148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151</v>
      </c>
      <c r="B3" s="484" t="n">
        <v>17895.0</v>
      </c>
      <c r="C3" s="484" t="n">
        <v>0.0</v>
      </c>
      <c r="D3" s="484" t="n">
        <v>0.0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152</v>
      </c>
      <c r="B4" s="485" t="n">
        <v>0.0</v>
      </c>
      <c r="C4" s="485" t="n">
        <v>0.0</v>
      </c>
      <c r="D4" s="485" t="n">
        <v>0.0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153</v>
      </c>
      <c r="B5" s="484" t="n">
        <v>0.0</v>
      </c>
      <c r="C5" s="484" t="n">
        <v>0.0</v>
      </c>
      <c r="D5" s="484" t="n">
        <v>0.0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154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155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650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163</v>
      </c>
      <c r="B9" s="486"/>
      <c r="C9" s="486"/>
      <c r="D9" s="486"/>
      <c r="E9" s="487" t="n">
        <f aca="false">B7+C7+D7+E3</f>
        <v>47687.5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164</v>
      </c>
      <c r="B10" s="488"/>
      <c r="C10" s="488"/>
      <c r="D10" s="488"/>
      <c r="E10" s="442" t="n">
        <v>695.0</v>
      </c>
      <c r="F10" s="388"/>
      <c r="G10" s="388"/>
      <c r="H10" s="388"/>
      <c r="I10" s="16" t="s">
        <v>1</v>
      </c>
      <c r="J10" s="14" t="n">
        <f aca="false">E15-E11-J8</f>
        <v>48237.5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165</v>
      </c>
      <c r="B11" s="488"/>
      <c r="C11" s="488"/>
      <c r="D11" s="488"/>
      <c r="E11" s="33" t="n">
        <f aca="false">(E9+E10)*20%</f>
        <v>9647.5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166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167</v>
      </c>
      <c r="B13" s="488"/>
      <c r="C13" s="488"/>
      <c r="D13" s="488"/>
      <c r="E13" s="442" t="n">
        <v>290.0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168</v>
      </c>
      <c r="B14" s="488"/>
      <c r="C14" s="488"/>
      <c r="D14" s="488"/>
      <c r="E14" s="442" t="n">
        <v>55.0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169</v>
      </c>
      <c r="B15" s="488"/>
      <c r="C15" s="488"/>
      <c r="D15" s="488"/>
      <c r="E15" s="444" t="n">
        <f aca="false">(E9+E10+E13+E14+E11)-E12</f>
        <v>58535</v>
      </c>
      <c r="F15" s="388"/>
      <c r="G15" s="17" t="n">
        <f aca="false">E15</f>
        <v>58535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170</v>
      </c>
      <c r="B16" s="488"/>
      <c r="C16" s="488"/>
      <c r="D16" s="488"/>
      <c r="E16" s="442" t="n">
        <v>0.0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171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172</v>
      </c>
      <c r="C18" s="490"/>
      <c r="D18" s="490"/>
      <c r="E18" s="445" t="n">
        <v>0</v>
      </c>
      <c r="F18" s="388"/>
      <c r="G18" s="17" t="n">
        <f aca="false">(B3+C3+D3+E3+E10)*1.2</f>
        <v>57885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172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172</v>
      </c>
      <c r="C20" s="490"/>
      <c r="D20" s="490"/>
      <c r="E20" s="445" t="n">
        <v>0.0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173</v>
      </c>
      <c r="B21" s="491"/>
      <c r="C21" s="491"/>
      <c r="D21" s="491"/>
      <c r="E21" s="447" t="n">
        <f aca="false">E15-((E18*1.2)+(E19*1.2)+(E20*1.2)+(E16*1.2))</f>
        <v>58535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45302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E15</f>
        <v>58535</v>
      </c>
      <c r="B35" s="223" t="s">
        <v>399</v>
      </c>
      <c r="C35" s="223"/>
      <c r="D35" s="279" t="n">
        <f aca="false">A35-B35</f>
        <v>57535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394</v>
      </c>
      <c r="B38" s="241" t="n">
        <f aca="false">A32-1</f>
        <v>11</v>
      </c>
      <c r="C38" s="241"/>
      <c r="D38" s="104" t="s">
        <v>393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E11</f>
        <v>9647.5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408</v>
      </c>
      <c r="B41" s="104" t="s">
        <v>411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118</v>
      </c>
      <c r="B43" s="240" t="s">
        <v>67</v>
      </c>
      <c r="C43" s="230" t="s">
        <v>335</v>
      </c>
      <c r="D43" s="240" t="s">
        <v>211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405</v>
      </c>
      <c r="B44" s="104" t="s">
        <v>409</v>
      </c>
      <c r="C44" s="104"/>
      <c r="D44" s="104" t="s">
        <v>409</v>
      </c>
      <c r="E44" s="104"/>
      <c r="F44" s="388"/>
      <c r="G44" s="2" t="s">
        <v>65</v>
      </c>
      <c r="H44" s="2" t="n">
        <f aca="false">((H40-(((H42/(1.2))*0.2)))/(H43))</f>
        <v>720.625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-220.625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337</v>
      </c>
      <c r="B46" s="230" t="s">
        <v>338</v>
      </c>
      <c r="C46" s="230" t="s">
        <v>4</v>
      </c>
      <c r="D46" s="230"/>
      <c r="E46" s="243"/>
      <c r="F46" s="388" t="n">
        <v>0</v>
      </c>
      <c r="G46" s="2" t="s">
        <v>71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337</v>
      </c>
      <c r="B47" s="230"/>
      <c r="C47" s="230"/>
      <c r="D47" s="230"/>
      <c r="E47" s="243"/>
      <c r="F47" s="388"/>
      <c r="G47" s="2" t="s">
        <v>72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74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75</v>
      </c>
      <c r="H49" s="2" t="n">
        <f aca="false">H45+H48+H47</f>
        <v>-217.958333333333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30"/>
      <c r="E50" s="243"/>
      <c r="F50" s="388"/>
      <c r="G50" s="2" t="s">
        <v>339</v>
      </c>
      <c r="H50" s="2" t="n">
        <f aca="false">H49-H41</f>
        <v>-217.958333333333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-217.958333333333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337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-217.958333333333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85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85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85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86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/>
      <c r="D64" s="317"/>
      <c r="E64" s="318"/>
      <c r="F64" s="388"/>
      <c r="G64" s="316" t="s">
        <v>86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86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57885</v>
      </c>
      <c r="C67" s="317"/>
      <c r="D67" s="317"/>
      <c r="E67" s="318"/>
      <c r="F67" s="388"/>
      <c r="G67" s="316" t="s">
        <v>14</v>
      </c>
      <c r="H67" s="32" t="n">
        <f aca="false">G18</f>
        <v>57885</v>
      </c>
      <c r="I67" s="317"/>
      <c r="J67" s="317"/>
      <c r="K67" s="318"/>
      <c r="L67" s="388"/>
      <c r="M67" s="316" t="s">
        <v>14</v>
      </c>
      <c r="N67" s="32" t="n">
        <f aca="false">G18</f>
        <v>57885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277</v>
      </c>
      <c r="B68" s="400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278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91</v>
      </c>
      <c r="B70" s="65" t="n">
        <f aca="false">B67*B69</f>
        <v>4051.95</v>
      </c>
      <c r="C70" s="317" t="n">
        <v>10000.0</v>
      </c>
      <c r="D70" s="32" t="n">
        <f aca="false">B70-A149</f>
        <v>4051.95</v>
      </c>
      <c r="E70" s="318" t="n">
        <f aca="false">D70/12</f>
        <v>337.6625</v>
      </c>
      <c r="F70" s="388"/>
      <c r="G70" s="366" t="s">
        <v>91</v>
      </c>
      <c r="H70" s="65" t="n">
        <f aca="false">H67*H69</f>
        <v>4051.95</v>
      </c>
      <c r="I70" s="317"/>
      <c r="J70" s="32" t="n">
        <f aca="false">H70-G151</f>
        <v>4051.95</v>
      </c>
      <c r="K70" s="318"/>
      <c r="L70" s="388"/>
      <c r="M70" s="366" t="s">
        <v>91</v>
      </c>
      <c r="N70" s="65" t="n">
        <f aca="false">N67*N69</f>
        <v>4051.95</v>
      </c>
      <c r="O70" s="317"/>
      <c r="P70" s="32" t="n">
        <f aca="false">N70-M151</f>
        <v>4051.95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92</v>
      </c>
      <c r="B71" s="400" t="n">
        <v>0.005</v>
      </c>
      <c r="C71" s="317"/>
      <c r="D71" s="317"/>
      <c r="E71" s="318"/>
      <c r="F71" s="388"/>
      <c r="G71" s="399" t="s">
        <v>92</v>
      </c>
      <c r="H71" s="400" t="n">
        <v>0.005</v>
      </c>
      <c r="I71" s="317"/>
      <c r="J71" s="317"/>
      <c r="K71" s="318"/>
      <c r="L71" s="388"/>
      <c r="M71" s="399" t="s">
        <v>92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93</v>
      </c>
      <c r="B72" s="376" t="n">
        <f aca="false">B71+(B71*0.5*(H29/12-1))</f>
        <v>0.01</v>
      </c>
      <c r="C72" s="317"/>
      <c r="D72" s="317"/>
      <c r="E72" s="318"/>
      <c r="F72" s="388"/>
      <c r="G72" s="316" t="s">
        <v>93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93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94</v>
      </c>
      <c r="B73" s="65" t="n">
        <f aca="false">B67*B72</f>
        <v>578.85</v>
      </c>
      <c r="C73" s="317"/>
      <c r="D73" s="32"/>
      <c r="E73" s="318"/>
      <c r="F73" s="388"/>
      <c r="G73" s="366" t="s">
        <v>94</v>
      </c>
      <c r="H73" s="65" t="n">
        <f aca="false">H67*H72</f>
        <v>289.425</v>
      </c>
      <c r="I73" s="317"/>
      <c r="J73" s="32"/>
      <c r="K73" s="318"/>
      <c r="L73" s="388"/>
      <c r="M73" s="366" t="s">
        <v>94</v>
      </c>
      <c r="N73" s="65" t="n">
        <f aca="false">N67*N72</f>
        <v>289.425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95</v>
      </c>
      <c r="B74" s="400" t="n">
        <v>0.0075</v>
      </c>
      <c r="C74" s="317"/>
      <c r="D74" s="317"/>
      <c r="E74" s="318"/>
      <c r="F74" s="388"/>
      <c r="G74" s="399" t="s">
        <v>95</v>
      </c>
      <c r="H74" s="400" t="n">
        <v>0.0075</v>
      </c>
      <c r="I74" s="317"/>
      <c r="J74" s="317"/>
      <c r="K74" s="318"/>
      <c r="L74" s="388"/>
      <c r="M74" s="399" t="s">
        <v>95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96</v>
      </c>
      <c r="B75" s="402" t="n">
        <v>0.12</v>
      </c>
      <c r="C75" s="317"/>
      <c r="D75" s="317"/>
      <c r="E75" s="318"/>
      <c r="F75" s="388"/>
      <c r="G75" s="401" t="s">
        <v>96</v>
      </c>
      <c r="H75" s="402" t="n">
        <v>0.12</v>
      </c>
      <c r="I75" s="317"/>
      <c r="J75" s="317"/>
      <c r="K75" s="318"/>
      <c r="L75" s="388"/>
      <c r="M75" s="401" t="s">
        <v>96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97</v>
      </c>
      <c r="B76" s="403" t="n">
        <f aca="false">B74*(1+B75)</f>
        <v>0.0084</v>
      </c>
      <c r="C76" s="317"/>
      <c r="D76" s="317"/>
      <c r="E76" s="318"/>
      <c r="F76" s="388"/>
      <c r="G76" s="366" t="s">
        <v>97</v>
      </c>
      <c r="H76" s="403" t="n">
        <f aca="false">H74*(1+H75)</f>
        <v>0.0084</v>
      </c>
      <c r="I76" s="317"/>
      <c r="J76" s="317"/>
      <c r="K76" s="318"/>
      <c r="L76" s="388"/>
      <c r="M76" s="366" t="s">
        <v>97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98</v>
      </c>
      <c r="B77" s="86" t="n">
        <v>160.0</v>
      </c>
      <c r="C77" s="317"/>
      <c r="D77" s="317"/>
      <c r="E77" s="318"/>
      <c r="F77" s="388"/>
      <c r="G77" s="399" t="s">
        <v>98</v>
      </c>
      <c r="H77" s="86" t="n">
        <v>160</v>
      </c>
      <c r="I77" s="317"/>
      <c r="J77" s="317"/>
      <c r="K77" s="318"/>
      <c r="L77" s="388"/>
      <c r="M77" s="399" t="s">
        <v>98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99</v>
      </c>
      <c r="B78" s="77" t="n">
        <v>4.5</v>
      </c>
      <c r="C78" s="317"/>
      <c r="D78" s="317"/>
      <c r="E78" s="318"/>
      <c r="F78" s="388"/>
      <c r="G78" s="401" t="s">
        <v>99</v>
      </c>
      <c r="H78" s="77" t="n">
        <v>4.5</v>
      </c>
      <c r="I78" s="317"/>
      <c r="J78" s="317"/>
      <c r="K78" s="318"/>
      <c r="L78" s="388"/>
      <c r="M78" s="401" t="s">
        <v>99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100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100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100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0.0</v>
      </c>
      <c r="C80" s="317"/>
      <c r="D80" s="317"/>
      <c r="E80" s="404" t="n">
        <f aca="false">E79+D82</f>
        <v>703.333333333333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0.0</v>
      </c>
      <c r="C81" s="317"/>
      <c r="D81" s="317"/>
      <c r="E81" s="318" t="n">
        <f aca="false">E80/12</f>
        <v>58.6111111111111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((B80+B81)/12)*(H29-11)</f>
        <v>43.3333333333333</v>
      </c>
      <c r="C82" s="317"/>
      <c r="D82" s="32" t="n">
        <f aca="false">IF(A50="YES", 0, B82)</f>
        <v>43.3333333333333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340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101</v>
      </c>
      <c r="B85" s="77" t="n">
        <v>300.0</v>
      </c>
      <c r="C85" s="317"/>
      <c r="D85" s="32" t="n">
        <f aca="false">B85</f>
        <v>200</v>
      </c>
      <c r="E85" s="318"/>
      <c r="F85" s="388"/>
      <c r="G85" s="401" t="s">
        <v>101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101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102</v>
      </c>
      <c r="B86" s="87" t="n">
        <v>100.0</v>
      </c>
      <c r="C86" s="317"/>
      <c r="D86" s="32" t="n">
        <f aca="false">B86</f>
        <v>200</v>
      </c>
      <c r="E86" s="318"/>
      <c r="F86" s="388"/>
      <c r="G86" s="411" t="s">
        <v>102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102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103</v>
      </c>
      <c r="B87" s="413" t="n">
        <f aca="false">SUM(D70:D86)</f>
        <v>5421.95</v>
      </c>
      <c r="C87" s="317"/>
      <c r="D87" s="317"/>
      <c r="E87" s="318"/>
      <c r="F87" s="388"/>
      <c r="G87" s="412" t="s">
        <v>103</v>
      </c>
      <c r="H87" s="413" t="n">
        <f aca="false">SUM(J70:J86)</f>
        <v>7205.53333333333</v>
      </c>
      <c r="I87" s="317"/>
      <c r="J87" s="317"/>
      <c r="K87" s="318"/>
      <c r="L87" s="388"/>
      <c r="M87" s="412" t="s">
        <v>103</v>
      </c>
      <c r="N87" s="413" t="n">
        <f aca="false">SUM(P70:P86)</f>
        <v>7165.95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104</v>
      </c>
      <c r="B88" s="33" t="n">
        <f aca="false">B87/H29</f>
        <v>451.829166666667</v>
      </c>
      <c r="C88" s="317"/>
      <c r="D88" s="317"/>
      <c r="E88" s="318"/>
      <c r="F88" s="388"/>
      <c r="G88" s="316" t="s">
        <v>104</v>
      </c>
      <c r="H88" s="33" t="n">
        <f aca="false">H87/H29</f>
        <v>600.461111111111</v>
      </c>
      <c r="I88" s="317"/>
      <c r="J88" s="317"/>
      <c r="K88" s="318"/>
      <c r="L88" s="388"/>
      <c r="M88" s="316" t="s">
        <v>104</v>
      </c>
      <c r="N88" s="33" t="n">
        <f aca="false">N87/H29</f>
        <v>597.1625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105</v>
      </c>
      <c r="B89" s="59" t="n">
        <f aca="false">H50</f>
        <v>-217.958333333333</v>
      </c>
      <c r="C89" s="317"/>
      <c r="D89" s="317"/>
      <c r="E89" s="318"/>
      <c r="F89" s="388"/>
      <c r="G89" s="414" t="s">
        <v>105</v>
      </c>
      <c r="H89" s="59" t="n">
        <f aca="false">H46</f>
        <v>0</v>
      </c>
      <c r="I89" s="317"/>
      <c r="J89" s="317"/>
      <c r="K89" s="318"/>
      <c r="L89" s="388"/>
      <c r="M89" s="414" t="s">
        <v>105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115</v>
      </c>
      <c r="B91" s="27" t="n">
        <f aca="false">((B89*H29)+B87)*1.2</f>
        <v>3367.74</v>
      </c>
      <c r="C91" s="317"/>
      <c r="D91" s="317"/>
      <c r="E91" s="318"/>
      <c r="F91" s="388"/>
      <c r="G91" s="396" t="s">
        <v>115</v>
      </c>
      <c r="H91" s="27" t="n">
        <f aca="false">((H89*H29)+H87)*1.2</f>
        <v>8646.64</v>
      </c>
      <c r="I91" s="317"/>
      <c r="J91" s="317"/>
      <c r="K91" s="318"/>
      <c r="L91" s="388"/>
      <c r="M91" s="396" t="s">
        <v>115</v>
      </c>
      <c r="N91" s="27" t="n">
        <f aca="false">((N89*H29)+N87)</f>
        <v>7165.95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116</v>
      </c>
      <c r="B92" s="33" t="n">
        <f aca="false">(((B89*H29)+B87)/(1-B76))*B76</f>
        <v>23.7738805970149</v>
      </c>
      <c r="C92" s="317"/>
      <c r="D92" s="317"/>
      <c r="E92" s="415"/>
      <c r="F92" s="388"/>
      <c r="G92" s="316" t="s">
        <v>116</v>
      </c>
      <c r="H92" s="33" t="n">
        <f aca="false">(((H89*H29)+H87)/(1-H76))*H76</f>
        <v>61.0392093586123</v>
      </c>
      <c r="I92" s="317"/>
      <c r="J92" s="317"/>
      <c r="K92" s="318"/>
      <c r="L92" s="388"/>
      <c r="M92" s="316" t="s">
        <v>116</v>
      </c>
      <c r="N92" s="33" t="n">
        <f aca="false">(N91/(1-N76))*N76</f>
        <v>60.7038926986688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117</v>
      </c>
      <c r="B93" s="65" t="n">
        <f aca="false">IF(B116="YES",((B91+B92)-E120),(B91+B92))</f>
        <v>3391.51388059702</v>
      </c>
      <c r="C93" s="317"/>
      <c r="D93" s="317"/>
      <c r="E93" s="318"/>
      <c r="F93" s="388"/>
      <c r="G93" s="366" t="s">
        <v>117</v>
      </c>
      <c r="H93" s="65" t="n">
        <f aca="false">IF(H116="YES",((H91+H92)-K120),(H91+H92))</f>
        <v>10707.6792093586</v>
      </c>
      <c r="I93" s="317"/>
      <c r="J93" s="317"/>
      <c r="K93" s="318"/>
      <c r="L93" s="388"/>
      <c r="M93" s="366" t="s">
        <v>117</v>
      </c>
      <c r="N93" s="65" t="n">
        <f aca="false">IF(N116="YES",((N91+N92)-K120),(N91+N92))</f>
        <v>9226.65389269867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118</v>
      </c>
      <c r="B95" s="413" t="n">
        <f aca="false">IF(B105=Z104,(((H41*A32)+(H41*A32)*(B111/100))/(B64)),(((H41*A32)+(H41*A32)*(B111/100))/(B63+B64)))*1.2</f>
        <v>0</v>
      </c>
      <c r="C95" s="317"/>
      <c r="D95" s="317"/>
      <c r="E95" s="318"/>
      <c r="F95" s="388"/>
      <c r="G95" s="412" t="s">
        <v>118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118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119</v>
      </c>
      <c r="B96" s="417" t="n">
        <f aca="false">IF(B105=Z104, (B93-D111)/(B64), B93/(B63+B64))</f>
        <v>282.626156716418</v>
      </c>
      <c r="C96" s="317"/>
      <c r="D96" s="317"/>
      <c r="E96" s="318"/>
      <c r="F96" s="388"/>
      <c r="G96" s="416" t="s">
        <v>119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119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120</v>
      </c>
      <c r="B97" s="419" t="n">
        <f aca="false">IF(A111="YES", B96+B95, B96)</f>
        <v>282.626156716418</v>
      </c>
      <c r="C97" s="317"/>
      <c r="D97" s="420"/>
      <c r="E97" s="318"/>
      <c r="F97" s="388"/>
      <c r="G97" s="418" t="s">
        <v>120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120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332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341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388"/>
      <c r="G102" s="217" t="s">
        <v>126</v>
      </c>
      <c r="H102" s="217"/>
      <c r="I102" s="217"/>
      <c r="J102" s="217"/>
      <c r="K102" s="217"/>
      <c r="L102" s="388"/>
      <c r="M102" s="217" t="s">
        <v>126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130</v>
      </c>
    </row>
    <row r="104" customFormat="false" ht="18.75" hidden="false" customHeight="true" outlineLevel="0" collapsed="false">
      <c r="A104" s="316" t="s">
        <v>127</v>
      </c>
      <c r="B104" s="317" t="s">
        <v>23</v>
      </c>
      <c r="C104" s="317"/>
      <c r="D104" s="317" t="s">
        <v>285</v>
      </c>
      <c r="E104" s="318"/>
      <c r="F104" s="388"/>
      <c r="G104" s="316" t="s">
        <v>127</v>
      </c>
      <c r="H104" s="317" t="s">
        <v>23</v>
      </c>
      <c r="I104" s="317"/>
      <c r="J104" s="317" t="s">
        <v>285</v>
      </c>
      <c r="K104" s="318"/>
      <c r="L104" s="388"/>
      <c r="M104" s="316" t="s">
        <v>127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130</v>
      </c>
      <c r="C105" s="312"/>
      <c r="D105" s="421" t="n">
        <v>1000.0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287</v>
      </c>
      <c r="B107" s="317" t="s">
        <v>288</v>
      </c>
      <c r="C107" s="317"/>
      <c r="D107" s="317" t="s">
        <v>289</v>
      </c>
      <c r="E107" s="318"/>
      <c r="F107" s="388"/>
      <c r="G107" s="316" t="s">
        <v>287</v>
      </c>
      <c r="H107" s="317" t="s">
        <v>288</v>
      </c>
      <c r="I107" s="317"/>
      <c r="J107" s="317" t="s">
        <v>289</v>
      </c>
      <c r="K107" s="318"/>
      <c r="L107" s="388"/>
      <c r="M107" s="316" t="s">
        <v>287</v>
      </c>
      <c r="N107" s="317" t="s">
        <v>288</v>
      </c>
      <c r="O107" s="317"/>
      <c r="P107" s="317" t="s">
        <v>289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128</v>
      </c>
      <c r="B110" s="388" t="s">
        <v>131</v>
      </c>
      <c r="C110" s="317"/>
      <c r="D110" s="317" t="s">
        <v>142</v>
      </c>
      <c r="E110" s="318"/>
      <c r="F110" s="388"/>
      <c r="G110" s="374" t="s">
        <v>128</v>
      </c>
      <c r="H110" s="388" t="s">
        <v>131</v>
      </c>
      <c r="I110" s="317"/>
      <c r="J110" s="317" t="s">
        <v>142</v>
      </c>
      <c r="K110" s="318"/>
      <c r="L110" s="388"/>
      <c r="M110" s="374" t="s">
        <v>128</v>
      </c>
      <c r="N110" s="388" t="s">
        <v>131</v>
      </c>
      <c r="O110" s="317"/>
      <c r="P110" s="317" t="s">
        <v>142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390</v>
      </c>
      <c r="B111" s="312" t="n">
        <v>30.0</v>
      </c>
      <c r="C111" s="312"/>
      <c r="D111" s="107" t="n">
        <v>200.0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342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388"/>
      <c r="G114" s="217" t="s">
        <v>290</v>
      </c>
      <c r="H114" s="217"/>
      <c r="I114" s="217"/>
      <c r="J114" s="217"/>
      <c r="K114" s="217"/>
      <c r="L114" s="388"/>
      <c r="M114" s="217" t="s">
        <v>290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291</v>
      </c>
      <c r="B116" s="389" t="s">
        <v>388</v>
      </c>
      <c r="C116" s="317"/>
      <c r="D116" s="317"/>
      <c r="E116" s="318"/>
      <c r="F116" s="388"/>
      <c r="G116" s="316" t="s">
        <v>291</v>
      </c>
      <c r="H116" s="389" t="s">
        <v>18</v>
      </c>
      <c r="I116" s="317"/>
      <c r="J116" s="317"/>
      <c r="K116" s="318"/>
      <c r="L116" s="388"/>
      <c r="M116" s="316" t="s">
        <v>291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176</v>
      </c>
      <c r="B118" s="317"/>
      <c r="C118" s="317"/>
      <c r="D118" s="313" t="n">
        <v>0.0</v>
      </c>
      <c r="E118" s="107" t="n">
        <v>6000.0</v>
      </c>
      <c r="F118" s="388"/>
      <c r="G118" s="316" t="s">
        <v>176</v>
      </c>
      <c r="H118" s="317"/>
      <c r="I118" s="317"/>
      <c r="J118" s="313" t="n">
        <v>10000</v>
      </c>
      <c r="K118" s="107" t="n">
        <v>5000</v>
      </c>
      <c r="L118" s="388"/>
      <c r="M118" s="316" t="s">
        <v>176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177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177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177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178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178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178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179</v>
      </c>
      <c r="B121" s="317"/>
      <c r="C121" s="317"/>
      <c r="D121" s="39" t="n">
        <f aca="false">D120-E120</f>
        <v>-6000</v>
      </c>
      <c r="E121" s="318"/>
      <c r="F121" s="388"/>
      <c r="G121" s="316" t="s">
        <v>179</v>
      </c>
      <c r="H121" s="317"/>
      <c r="I121" s="317"/>
      <c r="J121" s="39" t="n">
        <f aca="false">J120-K120</f>
        <v>5000</v>
      </c>
      <c r="K121" s="318"/>
      <c r="L121" s="388"/>
      <c r="M121" s="316" t="s">
        <v>179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138</v>
      </c>
      <c r="B123" s="397"/>
      <c r="C123" s="397"/>
      <c r="D123" s="397"/>
      <c r="E123" s="27" t="n">
        <f aca="false">D105</f>
        <v>1000</v>
      </c>
      <c r="F123" s="388"/>
      <c r="G123" s="396" t="s">
        <v>138</v>
      </c>
      <c r="H123" s="397"/>
      <c r="I123" s="397"/>
      <c r="J123" s="397"/>
      <c r="K123" s="27" t="n">
        <f aca="false">J105</f>
        <v>5000</v>
      </c>
      <c r="L123" s="388"/>
      <c r="M123" s="396" t="s">
        <v>138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292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292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292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388"/>
      <c r="G128" s="217" t="s">
        <v>293</v>
      </c>
      <c r="H128" s="217"/>
      <c r="I128" s="217"/>
      <c r="J128" s="217"/>
      <c r="K128" s="217"/>
      <c r="L128" s="388"/>
      <c r="M128" s="217" t="s">
        <v>293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388"/>
      <c r="G130" s="316" t="s">
        <v>183</v>
      </c>
      <c r="H130" s="172" t="n">
        <v>0</v>
      </c>
      <c r="I130" s="172"/>
      <c r="J130" s="317"/>
      <c r="K130" s="318"/>
      <c r="L130" s="388"/>
      <c r="M130" s="316" t="s">
        <v>183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83</v>
      </c>
      <c r="H132" s="317" t="s">
        <v>84</v>
      </c>
      <c r="I132" s="317"/>
      <c r="J132" s="317" t="s">
        <v>86</v>
      </c>
      <c r="K132" s="318"/>
      <c r="L132" s="388"/>
      <c r="M132" s="316" t="s">
        <v>83</v>
      </c>
      <c r="N132" s="317" t="s">
        <v>84</v>
      </c>
      <c r="O132" s="317"/>
      <c r="P132" s="317" t="s">
        <v>86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282.626156716418</v>
      </c>
      <c r="B134" s="321" t="n">
        <f aca="false">IF(A111="YES", B95, 0)</f>
        <v>0</v>
      </c>
      <c r="C134" s="325"/>
      <c r="D134" s="321" t="n">
        <f aca="false">B97</f>
        <v>282.626156716418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296</v>
      </c>
      <c r="H135" s="424" t="s">
        <v>297</v>
      </c>
      <c r="I135" s="424"/>
      <c r="J135" s="424" t="s">
        <v>298</v>
      </c>
      <c r="K135" s="318"/>
      <c r="L135" s="388"/>
      <c r="M135" s="423" t="s">
        <v>343</v>
      </c>
      <c r="N135" s="424" t="s">
        <v>252</v>
      </c>
      <c r="O135" s="424"/>
      <c r="P135" s="424" t="s">
        <v>120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2543.63541044776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301</v>
      </c>
      <c r="H138" s="317" t="s">
        <v>302</v>
      </c>
      <c r="I138" s="317"/>
      <c r="J138" s="317" t="s">
        <v>303</v>
      </c>
      <c r="K138" s="318"/>
      <c r="L138" s="388"/>
      <c r="M138" s="316" t="s">
        <v>344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2543.63541044776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306</v>
      </c>
      <c r="H141" s="317" t="s">
        <v>307</v>
      </c>
      <c r="I141" s="317"/>
      <c r="J141" s="317" t="s">
        <v>308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388"/>
      <c r="G142" s="111" t="n">
        <f aca="false">E15*0.000006</f>
        <v>0.35121</v>
      </c>
      <c r="H142" s="38" t="n">
        <f aca="false">IF(G111="YES", E15*0.000002, 0)</f>
        <v>0.11707</v>
      </c>
      <c r="I142" s="38"/>
      <c r="J142" s="38" t="n">
        <f aca="false">G142+H142</f>
        <v>0.46828</v>
      </c>
      <c r="K142" s="105"/>
      <c r="L142" s="388"/>
      <c r="M142" s="111" t="n">
        <f aca="false">E15*0.000006</f>
        <v>0.35121</v>
      </c>
      <c r="N142" s="38" t="n">
        <f aca="false">IF(M111="YES", E15*0.000002, 0)</f>
        <v>0.11707</v>
      </c>
      <c r="O142" s="38"/>
      <c r="P142" s="38" t="n">
        <f aca="false">M142+N142</f>
        <v>0.46828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282.626156716418</v>
      </c>
      <c r="B143" s="38" t="n">
        <f aca="false">IF(A111="YES", B95, 0)</f>
        <v>0</v>
      </c>
      <c r="C143" s="317"/>
      <c r="D143" s="38" t="n">
        <f aca="false">B97</f>
        <v>282.626156716418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309</v>
      </c>
      <c r="H144" s="317" t="s">
        <v>310</v>
      </c>
      <c r="I144" s="317"/>
      <c r="J144" s="317" t="s">
        <v>311</v>
      </c>
      <c r="K144" s="318"/>
      <c r="L144" s="388"/>
      <c r="M144" s="316" t="s">
        <v>141</v>
      </c>
      <c r="N144" s="317" t="s">
        <v>310</v>
      </c>
      <c r="O144" s="317"/>
      <c r="P144" s="317" t="s">
        <v>311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388"/>
      <c r="G145" s="111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313</v>
      </c>
      <c r="H147" s="317" t="s">
        <v>314</v>
      </c>
      <c r="I147" s="317"/>
      <c r="J147" s="317" t="s">
        <v>315</v>
      </c>
      <c r="K147" s="318"/>
      <c r="L147" s="388"/>
      <c r="M147" s="316" t="s">
        <v>313</v>
      </c>
      <c r="N147" s="317" t="s">
        <v>314</v>
      </c>
      <c r="O147" s="317"/>
      <c r="P147" s="317" t="s">
        <v>315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317</v>
      </c>
      <c r="H150" s="317" t="s">
        <v>318</v>
      </c>
      <c r="I150" s="317"/>
      <c r="J150" s="317"/>
      <c r="K150" s="318"/>
      <c r="L150" s="388"/>
      <c r="M150" s="316" t="s">
        <v>317</v>
      </c>
      <c r="N150" s="317" t="s">
        <v>318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345</v>
      </c>
      <c r="N153" s="39" t="s">
        <v>346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323</v>
      </c>
      <c r="H154" s="317"/>
      <c r="I154" s="317"/>
      <c r="J154" s="349"/>
      <c r="K154" s="350"/>
      <c r="L154" s="388"/>
      <c r="M154" s="425" t="n">
        <f aca="false">H40</f>
        <v>9647.5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388"/>
      <c r="G156" s="250" t="s">
        <v>83</v>
      </c>
      <c r="H156" s="251" t="s">
        <v>84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1078.84166666667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323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83</v>
      </c>
      <c r="N159" s="251" t="s">
        <v>84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282.626156716418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282.626156716418</v>
      </c>
      <c r="B177" s="355" t="n">
        <f aca="false">IF(A111="YES", B95, 0)</f>
        <v>0</v>
      </c>
      <c r="C177" s="357"/>
      <c r="D177" s="355" t="n">
        <f aca="false">A177+B177</f>
        <v>282.626156716418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2543.63541044776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2543.63541044776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282.626156716418</v>
      </c>
      <c r="B186" s="103" t="n">
        <f aca="false">IF(A111="YES", B95, 0)</f>
        <v>0</v>
      </c>
      <c r="C186" s="353"/>
      <c r="D186" s="103" t="n">
        <f aca="false">B97</f>
        <v>282.626156716418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1078.84166666667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215</v>
      </c>
      <c r="B209" s="369" t="n">
        <f aca="false">H35</f>
        <v>0.065</v>
      </c>
      <c r="C209" s="321" t="s">
        <v>217</v>
      </c>
      <c r="D209" s="370" t="n">
        <f aca="false">D70</f>
        <v>4051.95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218</v>
      </c>
      <c r="B211" s="321" t="n">
        <f aca="false">B219</f>
        <v>578.85</v>
      </c>
      <c r="C211" s="320" t="s">
        <v>219</v>
      </c>
      <c r="D211" s="370" t="n">
        <f aca="false">B225+E221+B221+B223</f>
        <v>339.991666666667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220</v>
      </c>
      <c r="B213" s="321" t="n">
        <f aca="false">E223</f>
        <v>3813.09166666667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217</v>
      </c>
      <c r="B217" s="104" t="n">
        <f aca="false">D70</f>
        <v>4051.95</v>
      </c>
      <c r="C217" s="375" t="s">
        <v>223</v>
      </c>
      <c r="D217" s="317"/>
      <c r="E217" s="376" t="n">
        <f aca="false">B72</f>
        <v>0.01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223</v>
      </c>
      <c r="B219" s="104" t="n">
        <f aca="false">B73</f>
        <v>578.85</v>
      </c>
      <c r="C219" s="336" t="s">
        <v>326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3813.09166666667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23.7738805970149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165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355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3" colorId="64" zoomScale="85" zoomScaleNormal="85" zoomScalePageLayoutView="100" workbookViewId="0">
      <selection pane="topLeft" activeCell="A36" activeCellId="0" sqref="A3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145</v>
      </c>
      <c r="C2" s="482" t="s">
        <v>146</v>
      </c>
      <c r="D2" s="482" t="s">
        <v>147</v>
      </c>
      <c r="E2" s="483" t="s">
        <v>148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151</v>
      </c>
      <c r="B3" s="484" t="n">
        <v>17895.0</v>
      </c>
      <c r="C3" s="484" t="n">
        <v>0.0</v>
      </c>
      <c r="D3" s="484" t="n">
        <v>0.0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152</v>
      </c>
      <c r="B4" s="485" t="n">
        <v>0.0</v>
      </c>
      <c r="C4" s="485" t="n">
        <v>0.0</v>
      </c>
      <c r="D4" s="485" t="n">
        <v>0.0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153</v>
      </c>
      <c r="B5" s="484" t="n">
        <v>0.0</v>
      </c>
      <c r="C5" s="484" t="n">
        <v>0.0</v>
      </c>
      <c r="D5" s="484" t="n">
        <v>0.0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154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155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650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163</v>
      </c>
      <c r="B9" s="486"/>
      <c r="C9" s="486"/>
      <c r="D9" s="486"/>
      <c r="E9" s="487" t="n">
        <f aca="false">B7+C7+D7+E3</f>
        <v>47687.5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164</v>
      </c>
      <c r="B10" s="488"/>
      <c r="C10" s="488"/>
      <c r="D10" s="488"/>
      <c r="E10" s="442" t="n">
        <v>695.0</v>
      </c>
      <c r="F10" s="388"/>
      <c r="G10" s="388"/>
      <c r="H10" s="388"/>
      <c r="I10" s="16" t="s">
        <v>1</v>
      </c>
      <c r="J10" s="14" t="n">
        <f aca="false">E15-E11-J8</f>
        <v>48237.5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165</v>
      </c>
      <c r="B11" s="488"/>
      <c r="C11" s="488"/>
      <c r="D11" s="488"/>
      <c r="E11" s="33" t="n">
        <f aca="false">(E9+E10)*20%</f>
        <v>9647.5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166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167</v>
      </c>
      <c r="B13" s="488"/>
      <c r="C13" s="488"/>
      <c r="D13" s="488"/>
      <c r="E13" s="442" t="n">
        <v>290.0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168</v>
      </c>
      <c r="B14" s="488"/>
      <c r="C14" s="488"/>
      <c r="D14" s="488"/>
      <c r="E14" s="442" t="n">
        <v>55.0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169</v>
      </c>
      <c r="B15" s="488"/>
      <c r="C15" s="488"/>
      <c r="D15" s="488"/>
      <c r="E15" s="444" t="n">
        <f aca="false">(E9+E10+E13+E14+E11)-E12</f>
        <v>58535</v>
      </c>
      <c r="F15" s="388"/>
      <c r="G15" s="17" t="n">
        <f aca="false">E15</f>
        <v>58535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170</v>
      </c>
      <c r="B16" s="488"/>
      <c r="C16" s="488"/>
      <c r="D16" s="488"/>
      <c r="E16" s="442" t="n">
        <v>0.0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171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172</v>
      </c>
      <c r="C18" s="490"/>
      <c r="D18" s="490"/>
      <c r="E18" s="445" t="n">
        <v>0</v>
      </c>
      <c r="F18" s="388"/>
      <c r="G18" s="17" t="n">
        <f aca="false">(B3+C3+D3+E3+E10)*1.2</f>
        <v>57885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172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172</v>
      </c>
      <c r="C20" s="490"/>
      <c r="D20" s="490"/>
      <c r="E20" s="445" t="n">
        <v>0.0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173</v>
      </c>
      <c r="B21" s="491"/>
      <c r="C21" s="491"/>
      <c r="D21" s="491"/>
      <c r="E21" s="447" t="n">
        <f aca="false">E15-((E18*1.2)+(E19*1.2)+(E20*1.2)+(E16*1.2))</f>
        <v>58535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45302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337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E15</f>
        <v>58535</v>
      </c>
      <c r="B35" s="223" t="s">
        <v>399</v>
      </c>
      <c r="C35" s="223"/>
      <c r="D35" s="279" t="n">
        <f aca="false">A35-B35</f>
        <v>57535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394</v>
      </c>
      <c r="B38" s="241" t="n">
        <f aca="false">A32-1</f>
        <v>11</v>
      </c>
      <c r="C38" s="241"/>
      <c r="D38" s="104" t="s">
        <v>393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E11</f>
        <v>9647.5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408</v>
      </c>
      <c r="B41" s="104" t="s">
        <v>411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118</v>
      </c>
      <c r="B43" s="240" t="s">
        <v>67</v>
      </c>
      <c r="C43" s="230" t="s">
        <v>4</v>
      </c>
      <c r="D43" s="240" t="s">
        <v>211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405</v>
      </c>
      <c r="B44" s="104" t="s">
        <v>409</v>
      </c>
      <c r="C44" s="104"/>
      <c r="D44" s="104" t="s">
        <v>409</v>
      </c>
      <c r="E44" s="104"/>
      <c r="F44" s="388"/>
      <c r="G44" s="2" t="s">
        <v>65</v>
      </c>
      <c r="H44" s="2" t="n">
        <f aca="false">((H40-(((H42/(1.2))*0.2)))/(H43))</f>
        <v>720.625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-170.625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337</v>
      </c>
      <c r="B46" s="230" t="s">
        <v>338</v>
      </c>
      <c r="C46" s="230" t="s">
        <v>4</v>
      </c>
      <c r="D46" s="230"/>
      <c r="E46" s="243"/>
      <c r="F46" s="388" t="n">
        <v>0</v>
      </c>
      <c r="G46" s="2" t="s">
        <v>71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337</v>
      </c>
      <c r="B47" s="230"/>
      <c r="C47" s="230"/>
      <c r="D47" s="230"/>
      <c r="E47" s="243"/>
      <c r="F47" s="388"/>
      <c r="G47" s="2" t="s">
        <v>72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74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75</v>
      </c>
      <c r="H49" s="2" t="n">
        <f aca="false">H45+H48+H47</f>
        <v>-167.958333333333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339</v>
      </c>
      <c r="H50" s="2" t="n">
        <f aca="false">H49-H41</f>
        <v>-217.958333333333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337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-167.958333333333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85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85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85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86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86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86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57885</v>
      </c>
      <c r="C67" s="317"/>
      <c r="D67" s="317"/>
      <c r="E67" s="318"/>
      <c r="F67" s="388"/>
      <c r="G67" s="316" t="s">
        <v>14</v>
      </c>
      <c r="H67" s="32" t="n">
        <f aca="false">G18</f>
        <v>57885</v>
      </c>
      <c r="I67" s="317"/>
      <c r="J67" s="317"/>
      <c r="K67" s="318"/>
      <c r="L67" s="388"/>
      <c r="M67" s="316" t="s">
        <v>14</v>
      </c>
      <c r="N67" s="32" t="n">
        <f aca="false">G18</f>
        <v>57885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277</v>
      </c>
      <c r="B68" s="400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278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91</v>
      </c>
      <c r="B70" s="65" t="n">
        <f aca="false">B67*B69</f>
        <v>4051.95</v>
      </c>
      <c r="C70" s="317" t="n">
        <v>10000.0</v>
      </c>
      <c r="D70" s="32" t="n">
        <f aca="false">B70-A149</f>
        <v>4051.95</v>
      </c>
      <c r="E70" s="318" t="n">
        <f aca="false">D70/12</f>
        <v>337.6625</v>
      </c>
      <c r="F70" s="388"/>
      <c r="G70" s="366" t="s">
        <v>91</v>
      </c>
      <c r="H70" s="65" t="n">
        <f aca="false">H67*H69</f>
        <v>4051.95</v>
      </c>
      <c r="I70" s="317"/>
      <c r="J70" s="32" t="n">
        <f aca="false">H70-G151</f>
        <v>4051.95</v>
      </c>
      <c r="K70" s="318"/>
      <c r="L70" s="388"/>
      <c r="M70" s="366" t="s">
        <v>91</v>
      </c>
      <c r="N70" s="65" t="n">
        <f aca="false">N67*N69</f>
        <v>4051.95</v>
      </c>
      <c r="O70" s="317"/>
      <c r="P70" s="32" t="n">
        <f aca="false">N70-M151</f>
        <v>4051.95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92</v>
      </c>
      <c r="B71" s="400" t="n">
        <v>0.005</v>
      </c>
      <c r="C71" s="317"/>
      <c r="D71" s="317"/>
      <c r="E71" s="318"/>
      <c r="F71" s="388"/>
      <c r="G71" s="399" t="s">
        <v>92</v>
      </c>
      <c r="H71" s="400" t="n">
        <v>0.005</v>
      </c>
      <c r="I71" s="317"/>
      <c r="J71" s="317"/>
      <c r="K71" s="318"/>
      <c r="L71" s="388"/>
      <c r="M71" s="399" t="s">
        <v>92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93</v>
      </c>
      <c r="B72" s="376" t="n">
        <f aca="false">B71+(B71*0.5*(H29/12-1))</f>
        <v>0.01</v>
      </c>
      <c r="C72" s="317"/>
      <c r="D72" s="317"/>
      <c r="E72" s="318"/>
      <c r="F72" s="388"/>
      <c r="G72" s="316" t="s">
        <v>93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93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94</v>
      </c>
      <c r="B73" s="65" t="n">
        <f aca="false">B67*B72</f>
        <v>578.85</v>
      </c>
      <c r="C73" s="317"/>
      <c r="D73" s="32"/>
      <c r="E73" s="318"/>
      <c r="F73" s="388"/>
      <c r="G73" s="366" t="s">
        <v>94</v>
      </c>
      <c r="H73" s="65" t="n">
        <f aca="false">H67*H72</f>
        <v>289.425</v>
      </c>
      <c r="I73" s="317"/>
      <c r="J73" s="32"/>
      <c r="K73" s="318"/>
      <c r="L73" s="388"/>
      <c r="M73" s="366" t="s">
        <v>94</v>
      </c>
      <c r="N73" s="65" t="n">
        <f aca="false">N67*N72</f>
        <v>289.425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95</v>
      </c>
      <c r="B74" s="400" t="n">
        <v>0.0075</v>
      </c>
      <c r="C74" s="317"/>
      <c r="D74" s="317"/>
      <c r="E74" s="318"/>
      <c r="F74" s="388"/>
      <c r="G74" s="399" t="s">
        <v>95</v>
      </c>
      <c r="H74" s="400" t="n">
        <v>0.0075</v>
      </c>
      <c r="I74" s="317"/>
      <c r="J74" s="317"/>
      <c r="K74" s="318"/>
      <c r="L74" s="388"/>
      <c r="M74" s="399" t="s">
        <v>95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96</v>
      </c>
      <c r="B75" s="402" t="n">
        <v>0.12</v>
      </c>
      <c r="C75" s="317"/>
      <c r="D75" s="317"/>
      <c r="E75" s="318"/>
      <c r="F75" s="388"/>
      <c r="G75" s="401" t="s">
        <v>96</v>
      </c>
      <c r="H75" s="402" t="n">
        <v>0.12</v>
      </c>
      <c r="I75" s="317"/>
      <c r="J75" s="317"/>
      <c r="K75" s="318"/>
      <c r="L75" s="388"/>
      <c r="M75" s="401" t="s">
        <v>96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97</v>
      </c>
      <c r="B76" s="403" t="n">
        <f aca="false">B74*(1+B75)</f>
        <v>0.0084</v>
      </c>
      <c r="C76" s="317"/>
      <c r="D76" s="317"/>
      <c r="E76" s="318"/>
      <c r="F76" s="388"/>
      <c r="G76" s="366" t="s">
        <v>97</v>
      </c>
      <c r="H76" s="403" t="n">
        <f aca="false">H74*(1+H75)</f>
        <v>0.0084</v>
      </c>
      <c r="I76" s="317"/>
      <c r="J76" s="317"/>
      <c r="K76" s="318"/>
      <c r="L76" s="388"/>
      <c r="M76" s="366" t="s">
        <v>97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98</v>
      </c>
      <c r="B77" s="86" t="n">
        <v>160.0</v>
      </c>
      <c r="C77" s="317"/>
      <c r="D77" s="317"/>
      <c r="E77" s="318"/>
      <c r="F77" s="388"/>
      <c r="G77" s="399" t="s">
        <v>98</v>
      </c>
      <c r="H77" s="86" t="n">
        <v>160</v>
      </c>
      <c r="I77" s="317"/>
      <c r="J77" s="317"/>
      <c r="K77" s="318"/>
      <c r="L77" s="388"/>
      <c r="M77" s="399" t="s">
        <v>98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99</v>
      </c>
      <c r="B78" s="77" t="n">
        <v>4.5</v>
      </c>
      <c r="C78" s="317"/>
      <c r="D78" s="317"/>
      <c r="E78" s="318"/>
      <c r="F78" s="388"/>
      <c r="G78" s="401" t="s">
        <v>99</v>
      </c>
      <c r="H78" s="77" t="n">
        <v>4.5</v>
      </c>
      <c r="I78" s="317"/>
      <c r="J78" s="317"/>
      <c r="K78" s="318"/>
      <c r="L78" s="388"/>
      <c r="M78" s="401" t="s">
        <v>99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100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100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100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0.0</v>
      </c>
      <c r="C80" s="317"/>
      <c r="D80" s="317"/>
      <c r="E80" s="404" t="n">
        <f aca="false">E79+D82</f>
        <v>703.333333333333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0.0</v>
      </c>
      <c r="C81" s="317"/>
      <c r="D81" s="317"/>
      <c r="E81" s="318" t="n">
        <f aca="false">E80/12</f>
        <v>58.6111111111111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((B80+B81)/12)*(H29-11)</f>
        <v>43.3333333333333</v>
      </c>
      <c r="C82" s="317"/>
      <c r="D82" s="32" t="n">
        <f aca="false">IF(A50="YES", 0, B82)</f>
        <v>43.3333333333333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340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101</v>
      </c>
      <c r="B85" s="77" t="n">
        <v>300.0</v>
      </c>
      <c r="C85" s="317"/>
      <c r="D85" s="32" t="n">
        <f aca="false">B85</f>
        <v>200</v>
      </c>
      <c r="E85" s="318"/>
      <c r="F85" s="388"/>
      <c r="G85" s="401" t="s">
        <v>101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101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102</v>
      </c>
      <c r="B86" s="87" t="n">
        <v>100.0</v>
      </c>
      <c r="C86" s="317"/>
      <c r="D86" s="32" t="n">
        <f aca="false">B86</f>
        <v>200</v>
      </c>
      <c r="E86" s="318"/>
      <c r="F86" s="388"/>
      <c r="G86" s="411" t="s">
        <v>102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102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103</v>
      </c>
      <c r="B87" s="413" t="n">
        <f aca="false">SUM(D70:D86)</f>
        <v>5421.95</v>
      </c>
      <c r="C87" s="317"/>
      <c r="D87" s="317"/>
      <c r="E87" s="318"/>
      <c r="F87" s="388"/>
      <c r="G87" s="412" t="s">
        <v>103</v>
      </c>
      <c r="H87" s="413" t="n">
        <f aca="false">SUM(J70:J86)</f>
        <v>7205.53333333333</v>
      </c>
      <c r="I87" s="317"/>
      <c r="J87" s="317"/>
      <c r="K87" s="318"/>
      <c r="L87" s="388"/>
      <c r="M87" s="412" t="s">
        <v>103</v>
      </c>
      <c r="N87" s="413" t="n">
        <f aca="false">SUM(P70:P86)</f>
        <v>7165.95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104</v>
      </c>
      <c r="B88" s="33" t="n">
        <f aca="false">B87/H29</f>
        <v>451.829166666667</v>
      </c>
      <c r="C88" s="317"/>
      <c r="D88" s="317"/>
      <c r="E88" s="318"/>
      <c r="F88" s="388"/>
      <c r="G88" s="316" t="s">
        <v>104</v>
      </c>
      <c r="H88" s="33" t="n">
        <f aca="false">H87/H29</f>
        <v>600.461111111111</v>
      </c>
      <c r="I88" s="317"/>
      <c r="J88" s="317"/>
      <c r="K88" s="318"/>
      <c r="L88" s="388"/>
      <c r="M88" s="316" t="s">
        <v>104</v>
      </c>
      <c r="N88" s="33" t="n">
        <f aca="false">N87/H29</f>
        <v>597.1625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105</v>
      </c>
      <c r="B89" s="59" t="n">
        <f aca="false">H50</f>
        <v>-217.958333333333</v>
      </c>
      <c r="C89" s="317"/>
      <c r="D89" s="317"/>
      <c r="E89" s="318"/>
      <c r="F89" s="388"/>
      <c r="G89" s="414" t="s">
        <v>105</v>
      </c>
      <c r="H89" s="59" t="n">
        <f aca="false">H46</f>
        <v>0</v>
      </c>
      <c r="I89" s="317"/>
      <c r="J89" s="317"/>
      <c r="K89" s="318"/>
      <c r="L89" s="388"/>
      <c r="M89" s="414" t="s">
        <v>105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115</v>
      </c>
      <c r="B91" s="27" t="n">
        <f aca="false">((B89*H29)+B87)</f>
        <v>2806.45</v>
      </c>
      <c r="C91" s="317"/>
      <c r="D91" s="317"/>
      <c r="E91" s="318"/>
      <c r="F91" s="388"/>
      <c r="G91" s="396" t="s">
        <v>115</v>
      </c>
      <c r="H91" s="27" t="n">
        <f aca="false">((H89*H29)+H87)*1.2</f>
        <v>8646.64</v>
      </c>
      <c r="I91" s="317"/>
      <c r="J91" s="317"/>
      <c r="K91" s="318"/>
      <c r="L91" s="388"/>
      <c r="M91" s="396" t="s">
        <v>115</v>
      </c>
      <c r="N91" s="27" t="n">
        <f aca="false">((N89*H29)+N87)</f>
        <v>7165.95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116</v>
      </c>
      <c r="B92" s="33" t="n">
        <f aca="false">(((B89*H29)+B87)/(1-B76))*B76</f>
        <v>23.7738805970149</v>
      </c>
      <c r="C92" s="317"/>
      <c r="D92" s="317"/>
      <c r="E92" s="415"/>
      <c r="F92" s="388"/>
      <c r="G92" s="316" t="s">
        <v>116</v>
      </c>
      <c r="H92" s="33" t="n">
        <f aca="false">(((H89*H29)+H87)/(1-H76))*H76</f>
        <v>61.0392093586123</v>
      </c>
      <c r="I92" s="317"/>
      <c r="J92" s="317"/>
      <c r="K92" s="318"/>
      <c r="L92" s="388"/>
      <c r="M92" s="316" t="s">
        <v>116</v>
      </c>
      <c r="N92" s="33" t="n">
        <f aca="false">(N91/(1-N76))*N76</f>
        <v>60.7038926986688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117</v>
      </c>
      <c r="B93" s="65" t="n">
        <f aca="false">IF(B116="YES",((B91+B92)-E120),(B91+B92))</f>
        <v>2830.22388059702</v>
      </c>
      <c r="C93" s="317"/>
      <c r="D93" s="317"/>
      <c r="E93" s="318"/>
      <c r="F93" s="388"/>
      <c r="G93" s="366" t="s">
        <v>117</v>
      </c>
      <c r="H93" s="65" t="n">
        <f aca="false">IF(H116="YES",((H91+H92)-K120),(H91+H92))</f>
        <v>10707.6792093586</v>
      </c>
      <c r="I93" s="317"/>
      <c r="J93" s="317"/>
      <c r="K93" s="318"/>
      <c r="L93" s="388"/>
      <c r="M93" s="366" t="s">
        <v>117</v>
      </c>
      <c r="N93" s="65" t="n">
        <f aca="false">IF(N116="YES",((N91+N92)-K120),(N91+N92))</f>
        <v>9226.65389269867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118</v>
      </c>
      <c r="B95" s="413" t="n">
        <f aca="false">IF(B105=Z104,(((H41*A32)+(H41*A32)*(B111/100))/(B64)),(((H41*A32)+(H41*A32)*(B111/100))/(B63+B64)))</f>
        <v>65</v>
      </c>
      <c r="C95" s="317"/>
      <c r="D95" s="317"/>
      <c r="E95" s="318"/>
      <c r="F95" s="388"/>
      <c r="G95" s="412" t="s">
        <v>118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118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119</v>
      </c>
      <c r="B96" s="417" t="n">
        <f aca="false">IF(B105=Z104, (B93-D111)/(B64), B93/(B63+B64))</f>
        <v>235.851990049751</v>
      </c>
      <c r="C96" s="317" t="s">
        <v>4</v>
      </c>
      <c r="D96" s="317"/>
      <c r="E96" s="318"/>
      <c r="F96" s="388"/>
      <c r="G96" s="416" t="s">
        <v>119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119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120</v>
      </c>
      <c r="B97" s="419" t="n">
        <f aca="false">IF(A111="YES", B96+B95, B96)</f>
        <v>300.851990049751</v>
      </c>
      <c r="C97" s="317"/>
      <c r="D97" s="420"/>
      <c r="E97" s="318"/>
      <c r="F97" s="388"/>
      <c r="G97" s="418" t="s">
        <v>120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120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332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341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388"/>
      <c r="G102" s="217" t="s">
        <v>126</v>
      </c>
      <c r="H102" s="217"/>
      <c r="I102" s="217"/>
      <c r="J102" s="217"/>
      <c r="K102" s="217"/>
      <c r="L102" s="388"/>
      <c r="M102" s="217" t="s">
        <v>126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130</v>
      </c>
    </row>
    <row r="104" customFormat="false" ht="18.75" hidden="false" customHeight="true" outlineLevel="0" collapsed="false">
      <c r="A104" s="316" t="s">
        <v>127</v>
      </c>
      <c r="B104" s="317" t="s">
        <v>23</v>
      </c>
      <c r="C104" s="317"/>
      <c r="D104" s="317" t="s">
        <v>285</v>
      </c>
      <c r="E104" s="318"/>
      <c r="F104" s="388"/>
      <c r="G104" s="316" t="s">
        <v>127</v>
      </c>
      <c r="H104" s="317" t="s">
        <v>23</v>
      </c>
      <c r="I104" s="317"/>
      <c r="J104" s="317" t="s">
        <v>285</v>
      </c>
      <c r="K104" s="318"/>
      <c r="L104" s="388"/>
      <c r="M104" s="316" t="s">
        <v>127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130</v>
      </c>
      <c r="C105" s="312"/>
      <c r="D105" s="421" t="n">
        <v>1000.0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287</v>
      </c>
      <c r="B107" s="317" t="s">
        <v>288</v>
      </c>
      <c r="C107" s="317"/>
      <c r="D107" s="317" t="s">
        <v>289</v>
      </c>
      <c r="E107" s="318"/>
      <c r="F107" s="388"/>
      <c r="G107" s="316" t="s">
        <v>287</v>
      </c>
      <c r="H107" s="317" t="s">
        <v>288</v>
      </c>
      <c r="I107" s="317"/>
      <c r="J107" s="317" t="s">
        <v>289</v>
      </c>
      <c r="K107" s="318"/>
      <c r="L107" s="388"/>
      <c r="M107" s="316" t="s">
        <v>287</v>
      </c>
      <c r="N107" s="317" t="s">
        <v>288</v>
      </c>
      <c r="O107" s="317"/>
      <c r="P107" s="317" t="s">
        <v>289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128</v>
      </c>
      <c r="B110" s="388" t="s">
        <v>131</v>
      </c>
      <c r="C110" s="317"/>
      <c r="D110" s="317" t="s">
        <v>142</v>
      </c>
      <c r="E110" s="318"/>
      <c r="F110" s="388"/>
      <c r="G110" s="374" t="s">
        <v>128</v>
      </c>
      <c r="H110" s="388" t="s">
        <v>131</v>
      </c>
      <c r="I110" s="317"/>
      <c r="J110" s="317" t="s">
        <v>142</v>
      </c>
      <c r="K110" s="318"/>
      <c r="L110" s="388"/>
      <c r="M110" s="374" t="s">
        <v>128</v>
      </c>
      <c r="N110" s="388" t="s">
        <v>131</v>
      </c>
      <c r="O110" s="317"/>
      <c r="P110" s="317" t="s">
        <v>142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390</v>
      </c>
      <c r="B111" s="312" t="n">
        <v>30.0</v>
      </c>
      <c r="C111" s="312"/>
      <c r="D111" s="107" t="n">
        <v>200.0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342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388"/>
      <c r="G114" s="217" t="s">
        <v>290</v>
      </c>
      <c r="H114" s="217"/>
      <c r="I114" s="217"/>
      <c r="J114" s="217"/>
      <c r="K114" s="217"/>
      <c r="L114" s="388"/>
      <c r="M114" s="217" t="s">
        <v>290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291</v>
      </c>
      <c r="B116" s="389" t="s">
        <v>388</v>
      </c>
      <c r="C116" s="317"/>
      <c r="D116" s="317"/>
      <c r="E116" s="318"/>
      <c r="F116" s="388"/>
      <c r="G116" s="316" t="s">
        <v>291</v>
      </c>
      <c r="H116" s="389" t="s">
        <v>18</v>
      </c>
      <c r="I116" s="317"/>
      <c r="J116" s="317"/>
      <c r="K116" s="318"/>
      <c r="L116" s="388"/>
      <c r="M116" s="316" t="s">
        <v>291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176</v>
      </c>
      <c r="B118" s="317"/>
      <c r="C118" s="317"/>
      <c r="D118" s="313" t="n">
        <v>0.0</v>
      </c>
      <c r="E118" s="107" t="n">
        <v>6000.0</v>
      </c>
      <c r="F118" s="388"/>
      <c r="G118" s="316" t="s">
        <v>176</v>
      </c>
      <c r="H118" s="317"/>
      <c r="I118" s="317"/>
      <c r="J118" s="313" t="n">
        <v>10000</v>
      </c>
      <c r="K118" s="107" t="n">
        <v>5000</v>
      </c>
      <c r="L118" s="388"/>
      <c r="M118" s="316" t="s">
        <v>176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177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177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177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178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178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178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179</v>
      </c>
      <c r="B121" s="317"/>
      <c r="C121" s="317"/>
      <c r="D121" s="39" t="n">
        <f aca="false">D120-E120</f>
        <v>-6000</v>
      </c>
      <c r="E121" s="318"/>
      <c r="F121" s="388"/>
      <c r="G121" s="316" t="s">
        <v>179</v>
      </c>
      <c r="H121" s="317"/>
      <c r="I121" s="317"/>
      <c r="J121" s="39" t="n">
        <f aca="false">J120-K120</f>
        <v>5000</v>
      </c>
      <c r="K121" s="318"/>
      <c r="L121" s="388"/>
      <c r="M121" s="316" t="s">
        <v>179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138</v>
      </c>
      <c r="B123" s="397"/>
      <c r="C123" s="397"/>
      <c r="D123" s="397"/>
      <c r="E123" s="27" t="n">
        <f aca="false">D105</f>
        <v>1000</v>
      </c>
      <c r="F123" s="388"/>
      <c r="G123" s="396" t="s">
        <v>138</v>
      </c>
      <c r="H123" s="397"/>
      <c r="I123" s="397"/>
      <c r="J123" s="397"/>
      <c r="K123" s="27" t="n">
        <f aca="false">J105</f>
        <v>5000</v>
      </c>
      <c r="L123" s="388"/>
      <c r="M123" s="396" t="s">
        <v>138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292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292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292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388"/>
      <c r="G128" s="217" t="s">
        <v>293</v>
      </c>
      <c r="H128" s="217"/>
      <c r="I128" s="217"/>
      <c r="J128" s="217"/>
      <c r="K128" s="217"/>
      <c r="L128" s="388"/>
      <c r="M128" s="217" t="s">
        <v>293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388"/>
      <c r="G130" s="316" t="s">
        <v>183</v>
      </c>
      <c r="H130" s="172" t="n">
        <v>0</v>
      </c>
      <c r="I130" s="172"/>
      <c r="J130" s="317"/>
      <c r="K130" s="318"/>
      <c r="L130" s="388"/>
      <c r="M130" s="316" t="s">
        <v>183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83</v>
      </c>
      <c r="H132" s="317" t="s">
        <v>84</v>
      </c>
      <c r="I132" s="317"/>
      <c r="J132" s="317" t="s">
        <v>86</v>
      </c>
      <c r="K132" s="318"/>
      <c r="L132" s="388"/>
      <c r="M132" s="316" t="s">
        <v>83</v>
      </c>
      <c r="N132" s="317" t="s">
        <v>84</v>
      </c>
      <c r="O132" s="317"/>
      <c r="P132" s="317" t="s">
        <v>86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235.851990049751</v>
      </c>
      <c r="B134" s="321" t="n">
        <f aca="false">IF(A111="YES", B95, 0)</f>
        <v>65</v>
      </c>
      <c r="C134" s="326"/>
      <c r="D134" s="321" t="n">
        <f aca="false">B97</f>
        <v>300.851990049751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296</v>
      </c>
      <c r="H135" s="424" t="s">
        <v>297</v>
      </c>
      <c r="I135" s="424"/>
      <c r="J135" s="424" t="s">
        <v>298</v>
      </c>
      <c r="K135" s="318"/>
      <c r="L135" s="388"/>
      <c r="M135" s="423" t="s">
        <v>343</v>
      </c>
      <c r="N135" s="424" t="s">
        <v>252</v>
      </c>
      <c r="O135" s="424"/>
      <c r="P135" s="424" t="s">
        <v>120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2122.66791044776</v>
      </c>
      <c r="C137" s="317"/>
      <c r="D137" s="38" t="n">
        <f aca="false">IF(A111="YES", B95*B63, 0)</f>
        <v>585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301</v>
      </c>
      <c r="H138" s="317" t="s">
        <v>302</v>
      </c>
      <c r="I138" s="317"/>
      <c r="J138" s="317" t="s">
        <v>303</v>
      </c>
      <c r="K138" s="318"/>
      <c r="L138" s="388"/>
      <c r="M138" s="316" t="s">
        <v>344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2707.66791044776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306</v>
      </c>
      <c r="H141" s="317" t="s">
        <v>307</v>
      </c>
      <c r="I141" s="317"/>
      <c r="J141" s="317" t="s">
        <v>308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388"/>
      <c r="G142" s="111" t="n">
        <f aca="false">E15*0.000006</f>
        <v>0.35121</v>
      </c>
      <c r="H142" s="38" t="n">
        <f aca="false">IF(G111="YES", E15*0.000002, 0)</f>
        <v>0.11707</v>
      </c>
      <c r="I142" s="38"/>
      <c r="J142" s="38" t="n">
        <f aca="false">G142+H142</f>
        <v>0.46828</v>
      </c>
      <c r="K142" s="105"/>
      <c r="L142" s="388"/>
      <c r="M142" s="111" t="n">
        <f aca="false">E15*0.000006</f>
        <v>0.35121</v>
      </c>
      <c r="N142" s="38" t="n">
        <f aca="false">IF(M111="YES", E15*0.000002, 0)</f>
        <v>0.11707</v>
      </c>
      <c r="O142" s="38"/>
      <c r="P142" s="38" t="n">
        <f aca="false">M142+N142</f>
        <v>0.46828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235.851990049751</v>
      </c>
      <c r="B143" s="38" t="n">
        <f aca="false">IF(A111="YES", B95, 0)</f>
        <v>65</v>
      </c>
      <c r="C143" s="317"/>
      <c r="D143" s="38" t="n">
        <f aca="false">B97</f>
        <v>300.851990049751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309</v>
      </c>
      <c r="H144" s="317" t="s">
        <v>310</v>
      </c>
      <c r="I144" s="317"/>
      <c r="J144" s="317" t="s">
        <v>311</v>
      </c>
      <c r="K144" s="318"/>
      <c r="L144" s="388"/>
      <c r="M144" s="316" t="s">
        <v>141</v>
      </c>
      <c r="N144" s="317" t="s">
        <v>310</v>
      </c>
      <c r="O144" s="317"/>
      <c r="P144" s="317" t="s">
        <v>311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388"/>
      <c r="G145" s="111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313</v>
      </c>
      <c r="H147" s="317" t="s">
        <v>314</v>
      </c>
      <c r="I147" s="317"/>
      <c r="J147" s="317" t="s">
        <v>315</v>
      </c>
      <c r="K147" s="318"/>
      <c r="L147" s="388"/>
      <c r="M147" s="316" t="s">
        <v>313</v>
      </c>
      <c r="N147" s="317" t="s">
        <v>314</v>
      </c>
      <c r="O147" s="317"/>
      <c r="P147" s="317" t="s">
        <v>315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317</v>
      </c>
      <c r="H150" s="317" t="s">
        <v>318</v>
      </c>
      <c r="I150" s="317"/>
      <c r="J150" s="317"/>
      <c r="K150" s="318"/>
      <c r="L150" s="388"/>
      <c r="M150" s="316" t="s">
        <v>317</v>
      </c>
      <c r="N150" s="317" t="s">
        <v>318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345</v>
      </c>
      <c r="N153" s="39" t="s">
        <v>346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578.85</v>
      </c>
      <c r="B154" s="103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323</v>
      </c>
      <c r="H154" s="317"/>
      <c r="I154" s="317"/>
      <c r="J154" s="349"/>
      <c r="K154" s="350"/>
      <c r="L154" s="388"/>
      <c r="M154" s="425" t="n">
        <f aca="false">H40</f>
        <v>9647.5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388"/>
      <c r="G156" s="250" t="s">
        <v>83</v>
      </c>
      <c r="H156" s="251" t="s">
        <v>84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1096.84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323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83</v>
      </c>
      <c r="N159" s="251" t="s">
        <v>84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300.851990049751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235.851990049751</v>
      </c>
      <c r="B177" s="355" t="n">
        <f aca="false">IF(A111="YES", B95, 0)</f>
        <v>65</v>
      </c>
      <c r="C177" s="358"/>
      <c r="D177" s="355" t="n">
        <f aca="false">B91</f>
        <v>2806.45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2122.66791044776</v>
      </c>
      <c r="C180" s="353"/>
      <c r="D180" s="103" t="n">
        <f aca="false">IF(A111="YES", B95*B63, 0)</f>
        <v>585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2707.66791044776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235.851990049751</v>
      </c>
      <c r="B186" s="103" t="n">
        <f aca="false">IF(A111="YES", B95, 0)</f>
        <v>65</v>
      </c>
      <c r="C186" s="353"/>
      <c r="D186" s="103" t="n">
        <f aca="false">B97</f>
        <v>300.851990049751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1096.84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215</v>
      </c>
      <c r="B209" s="369" t="n">
        <f aca="false">H35</f>
        <v>0.065</v>
      </c>
      <c r="C209" s="321" t="s">
        <v>217</v>
      </c>
      <c r="D209" s="370" t="n">
        <f aca="false">D70</f>
        <v>4051.95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218</v>
      </c>
      <c r="B211" s="321" t="n">
        <f aca="false">B219</f>
        <v>578.85</v>
      </c>
      <c r="C211" s="320" t="s">
        <v>219</v>
      </c>
      <c r="D211" s="370" t="n">
        <f aca="false">B225+E221+B221+B223</f>
        <v>519.99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220</v>
      </c>
      <c r="B213" s="321" t="n">
        <f aca="false">E223</f>
        <v>3993.09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217</v>
      </c>
      <c r="B217" s="104" t="n">
        <f aca="false">D70</f>
        <v>4051.95</v>
      </c>
      <c r="C217" s="375" t="s">
        <v>223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223</v>
      </c>
      <c r="B219" s="104" t="n">
        <f aca="false">B73</f>
        <v>578.85</v>
      </c>
      <c r="C219" s="336" t="s">
        <v>326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3993.09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328</v>
      </c>
      <c r="B225" s="341" t="n">
        <f aca="false">D197/0.1</f>
        <v>180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23.7738805970149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165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355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68" colorId="64" zoomScale="85" zoomScaleNormal="85" zoomScalePageLayoutView="100" workbookViewId="0">
      <selection pane="topLeft" activeCell="A38" activeCellId="0" sqref="A3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145</v>
      </c>
      <c r="C2" s="439"/>
      <c r="D2" s="439" t="s">
        <v>146</v>
      </c>
      <c r="E2" s="439"/>
      <c r="F2" s="439" t="s">
        <v>147</v>
      </c>
      <c r="G2" s="439"/>
      <c r="H2" s="440" t="s">
        <v>148</v>
      </c>
      <c r="I2" s="2"/>
      <c r="J2" s="2"/>
    </row>
    <row r="3" customFormat="false" ht="17.35" hidden="false" customHeight="false" outlineLevel="0" collapsed="false">
      <c r="A3" s="31" t="s">
        <v>151</v>
      </c>
      <c r="B3" s="441" t="n">
        <v>17895.0</v>
      </c>
      <c r="C3" s="441"/>
      <c r="D3" s="441" t="n">
        <v>0.0</v>
      </c>
      <c r="E3" s="441"/>
      <c r="F3" s="441" t="n">
        <v>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152</v>
      </c>
      <c r="B4" s="492" t="n">
        <v>0.0</v>
      </c>
      <c r="C4" s="492"/>
      <c r="D4" s="493" t="n">
        <v>0.0</v>
      </c>
      <c r="E4" s="493"/>
      <c r="F4" s="493" t="n">
        <v>0.0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153</v>
      </c>
      <c r="B5" s="441" t="n">
        <v>0.0</v>
      </c>
      <c r="C5" s="441"/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154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155</v>
      </c>
      <c r="B7" s="155" t="n">
        <f aca="false">B3-B6</f>
        <v>46854.17</v>
      </c>
      <c r="C7" s="155"/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163</v>
      </c>
      <c r="B9" s="152"/>
      <c r="C9" s="152"/>
      <c r="D9" s="152"/>
      <c r="E9" s="152"/>
      <c r="F9" s="152"/>
      <c r="G9" s="139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164</v>
      </c>
      <c r="B10" s="154"/>
      <c r="C10" s="154"/>
      <c r="D10" s="154"/>
      <c r="E10" s="154"/>
      <c r="F10" s="154"/>
      <c r="G10" s="156"/>
      <c r="H10" s="442" t="n">
        <v>695.0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165</v>
      </c>
      <c r="B11" s="154"/>
      <c r="C11" s="154"/>
      <c r="D11" s="154"/>
      <c r="E11" s="154"/>
      <c r="F11" s="154"/>
      <c r="G11" s="156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166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167</v>
      </c>
      <c r="B13" s="154"/>
      <c r="C13" s="154"/>
      <c r="D13" s="154"/>
      <c r="E13" s="154"/>
      <c r="F13" s="154"/>
      <c r="G13" s="156"/>
      <c r="H13" s="442" t="n">
        <v>290.0</v>
      </c>
      <c r="I13" s="2"/>
      <c r="J13" s="2"/>
    </row>
    <row r="14" customFormat="false" ht="17.35" hidden="false" customHeight="false" outlineLevel="0" collapsed="false">
      <c r="A14" s="154" t="s">
        <v>168</v>
      </c>
      <c r="B14" s="154"/>
      <c r="C14" s="154"/>
      <c r="D14" s="154"/>
      <c r="E14" s="154"/>
      <c r="F14" s="154"/>
      <c r="G14" s="156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169</v>
      </c>
      <c r="B15" s="154"/>
      <c r="C15" s="154"/>
      <c r="D15" s="154"/>
      <c r="E15" s="154"/>
      <c r="F15" s="154"/>
      <c r="G15" s="156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170</v>
      </c>
      <c r="B16" s="154"/>
      <c r="C16" s="154"/>
      <c r="D16" s="154"/>
      <c r="E16" s="154"/>
      <c r="F16" s="154"/>
      <c r="G16" s="156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171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172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172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172</v>
      </c>
      <c r="C20" s="161"/>
      <c r="D20" s="161"/>
      <c r="E20" s="161"/>
      <c r="F20" s="161"/>
      <c r="G20" s="39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173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400</v>
      </c>
      <c r="B34" s="32"/>
      <c r="C34" s="41" t="s">
        <v>401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H15</f>
        <v>58535</v>
      </c>
      <c r="B37" s="32"/>
      <c r="C37" s="41" t="s">
        <v>399</v>
      </c>
      <c r="D37" s="41"/>
      <c r="E37" s="32"/>
      <c r="F37" s="43" t="n">
        <f aca="false">A37-C37</f>
        <v>57535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394</v>
      </c>
      <c r="B40" s="32"/>
      <c r="C40" s="54" t="n">
        <f aca="false">A34-1</f>
        <v>32</v>
      </c>
      <c r="D40" s="54"/>
      <c r="E40" s="32"/>
      <c r="F40" s="41" t="s">
        <v>393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287.954545454545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71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72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73</v>
      </c>
      <c r="B48" s="43"/>
      <c r="C48" s="43"/>
      <c r="D48" s="43"/>
      <c r="E48" s="43"/>
      <c r="F48" s="43"/>
      <c r="G48" s="43"/>
      <c r="H48" s="47"/>
      <c r="J48" s="55" t="s">
        <v>74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75</v>
      </c>
      <c r="K49" s="2" t="n">
        <f aca="false">K45+K48+K47</f>
        <v>288.924242424242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76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77</v>
      </c>
      <c r="B52" s="32"/>
      <c r="C52" s="32" t="s">
        <v>78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79</v>
      </c>
      <c r="K53" s="64" t="s">
        <v>425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81</v>
      </c>
      <c r="K55" s="2" t="n">
        <f aca="false">A46*A34</f>
        <v>1650</v>
      </c>
    </row>
    <row r="56" customFormat="false" ht="17.35" hidden="false" customHeight="false" outlineLevel="0" collapsed="false">
      <c r="A56" s="66" t="s">
        <v>82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83</v>
      </c>
      <c r="B58" s="71" t="s">
        <v>84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288.924242424242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85</v>
      </c>
      <c r="B67" s="32" t="n">
        <v>1</v>
      </c>
      <c r="C67" s="32"/>
      <c r="D67" s="32"/>
      <c r="E67" s="23"/>
      <c r="F67" s="23"/>
      <c r="G67" s="23"/>
      <c r="H67" s="33"/>
      <c r="J67" s="31" t="s">
        <v>85</v>
      </c>
      <c r="K67" s="32" t="n">
        <v>1</v>
      </c>
      <c r="L67" s="32"/>
      <c r="M67" s="32"/>
      <c r="N67" s="23"/>
      <c r="O67" s="23"/>
      <c r="P67" s="23"/>
      <c r="Q67" s="33"/>
      <c r="S67" s="31" t="s">
        <v>85</v>
      </c>
      <c r="T67" s="32" t="n">
        <v>1</v>
      </c>
      <c r="U67" s="32"/>
      <c r="V67" s="32"/>
      <c r="W67" s="23"/>
      <c r="X67" s="23"/>
      <c r="Y67" s="23"/>
      <c r="Z67" s="33"/>
      <c r="AB67" s="31" t="s">
        <v>85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86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86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86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86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87</v>
      </c>
      <c r="B69" s="77" t="n">
        <v>10.0</v>
      </c>
      <c r="C69" s="32"/>
      <c r="D69" s="32"/>
      <c r="E69" s="23"/>
      <c r="F69" s="23"/>
      <c r="G69" s="23"/>
      <c r="H69" s="33"/>
      <c r="J69" s="76" t="s">
        <v>87</v>
      </c>
      <c r="K69" s="77" t="n">
        <v>20</v>
      </c>
      <c r="L69" s="32"/>
      <c r="M69" s="32"/>
      <c r="N69" s="23"/>
      <c r="O69" s="23"/>
      <c r="P69" s="23"/>
      <c r="Q69" s="33"/>
      <c r="S69" s="76" t="s">
        <v>87</v>
      </c>
      <c r="T69" s="77" t="n">
        <v>10</v>
      </c>
      <c r="U69" s="32"/>
      <c r="V69" s="32"/>
      <c r="W69" s="23"/>
      <c r="X69" s="23"/>
      <c r="Y69" s="23"/>
      <c r="Z69" s="33"/>
      <c r="AB69" s="76" t="s">
        <v>87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88</v>
      </c>
      <c r="B71" s="79" t="n">
        <v>0.0</v>
      </c>
      <c r="C71" s="32"/>
      <c r="D71" s="32"/>
      <c r="E71" s="23"/>
      <c r="F71" s="23"/>
      <c r="G71" s="23"/>
      <c r="H71" s="33"/>
      <c r="J71" s="78" t="s">
        <v>88</v>
      </c>
      <c r="K71" s="79" t="n">
        <v>0.06</v>
      </c>
      <c r="L71" s="32"/>
      <c r="M71" s="32"/>
      <c r="N71" s="23"/>
      <c r="O71" s="23"/>
      <c r="P71" s="23"/>
      <c r="Q71" s="33"/>
      <c r="S71" s="78" t="s">
        <v>88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88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89</v>
      </c>
      <c r="B72" s="81" t="n">
        <v>0.065</v>
      </c>
      <c r="C72" s="32"/>
      <c r="D72" s="32"/>
      <c r="E72" s="23"/>
      <c r="F72" s="23"/>
      <c r="G72" s="23"/>
      <c r="H72" s="33"/>
      <c r="J72" s="80" t="s">
        <v>89</v>
      </c>
      <c r="K72" s="81" t="n">
        <v>0.08</v>
      </c>
      <c r="L72" s="32"/>
      <c r="M72" s="32"/>
      <c r="N72" s="23"/>
      <c r="O72" s="23"/>
      <c r="P72" s="23"/>
      <c r="Q72" s="33"/>
      <c r="S72" s="80" t="s">
        <v>89</v>
      </c>
      <c r="T72" s="81" t="n">
        <v>0.059</v>
      </c>
      <c r="U72" s="32"/>
      <c r="V72" s="32"/>
      <c r="W72" s="23"/>
      <c r="X72" s="23"/>
      <c r="Y72" s="23"/>
      <c r="Z72" s="33"/>
      <c r="AB72" s="80" t="s">
        <v>89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90</v>
      </c>
      <c r="B73" s="83" t="n">
        <v>0.05</v>
      </c>
      <c r="C73" s="32"/>
      <c r="D73" s="32"/>
      <c r="E73" s="23"/>
      <c r="F73" s="23"/>
      <c r="G73" s="23"/>
      <c r="H73" s="33"/>
      <c r="J73" s="82" t="s">
        <v>90</v>
      </c>
      <c r="K73" s="83" t="n">
        <v>0.1</v>
      </c>
      <c r="L73" s="32"/>
      <c r="M73" s="32"/>
      <c r="N73" s="23"/>
      <c r="O73" s="23"/>
      <c r="P73" s="23"/>
      <c r="Q73" s="33"/>
      <c r="S73" s="82" t="s">
        <v>90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90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91</v>
      </c>
      <c r="B74" s="65" t="n">
        <f aca="false">(B98*B68)-(K47*K29)</f>
        <v>61961.8526078134</v>
      </c>
      <c r="C74" s="32"/>
      <c r="D74" s="32"/>
      <c r="E74" s="23"/>
      <c r="F74" s="23"/>
      <c r="G74" s="23"/>
      <c r="H74" s="33"/>
      <c r="J74" s="56" t="s">
        <v>91</v>
      </c>
      <c r="K74" s="65" t="n">
        <f aca="false">(K98*K68)-(K47*K29)</f>
        <v>50218.602484192</v>
      </c>
      <c r="L74" s="32"/>
      <c r="M74" s="32"/>
      <c r="N74" s="23"/>
      <c r="O74" s="23"/>
      <c r="P74" s="23"/>
      <c r="Q74" s="33"/>
      <c r="S74" s="56" t="s">
        <v>91</v>
      </c>
      <c r="T74" s="65" t="n">
        <f aca="false">(T98*T68)-(K47*K29)</f>
        <v>53575.5554919699</v>
      </c>
      <c r="U74" s="32"/>
      <c r="V74" s="32"/>
      <c r="W74" s="23"/>
      <c r="X74" s="23"/>
      <c r="Y74" s="23"/>
      <c r="Z74" s="33"/>
      <c r="AB74" s="56" t="s">
        <v>91</v>
      </c>
      <c r="AC74" s="65" t="n">
        <f aca="false">(AC98*AC68)-(K47*K29)</f>
        <v>53575.5554919699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92</v>
      </c>
      <c r="B75" s="79" t="n">
        <v>0.005</v>
      </c>
      <c r="C75" s="32"/>
      <c r="D75" s="32"/>
      <c r="E75" s="23"/>
      <c r="F75" s="23"/>
      <c r="G75" s="23"/>
      <c r="H75" s="33"/>
      <c r="J75" s="78" t="s">
        <v>92</v>
      </c>
      <c r="K75" s="79" t="n">
        <v>0.05</v>
      </c>
      <c r="L75" s="32"/>
      <c r="M75" s="32"/>
      <c r="N75" s="23"/>
      <c r="O75" s="23"/>
      <c r="P75" s="23"/>
      <c r="Q75" s="33"/>
      <c r="S75" s="78" t="s">
        <v>92</v>
      </c>
      <c r="T75" s="79" t="n">
        <v>0.005</v>
      </c>
      <c r="U75" s="32"/>
      <c r="V75" s="32"/>
      <c r="W75" s="23"/>
      <c r="X75" s="23"/>
      <c r="Y75" s="23"/>
      <c r="Z75" s="33"/>
      <c r="AB75" s="78" t="s">
        <v>92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93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93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93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93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94</v>
      </c>
      <c r="B77" s="65" t="n">
        <f aca="false">(G167*B76)</f>
        <v>548.765625</v>
      </c>
      <c r="C77" s="32"/>
      <c r="D77" s="32"/>
      <c r="E77" s="23"/>
      <c r="F77" s="23"/>
      <c r="G77" s="23"/>
      <c r="H77" s="33"/>
      <c r="J77" s="56" t="s">
        <v>94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94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94</v>
      </c>
      <c r="AC77" s="65" t="n">
        <f aca="false">AH167*AC76</f>
        <v>426.269521875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95</v>
      </c>
      <c r="B78" s="79" t="n">
        <v>0.0</v>
      </c>
      <c r="C78" s="32"/>
      <c r="D78" s="32"/>
      <c r="E78" s="23"/>
      <c r="F78" s="23"/>
      <c r="G78" s="23"/>
      <c r="H78" s="33"/>
      <c r="J78" s="78" t="s">
        <v>95</v>
      </c>
      <c r="K78" s="79" t="n">
        <v>0</v>
      </c>
      <c r="L78" s="32"/>
      <c r="M78" s="32"/>
      <c r="N78" s="23"/>
      <c r="O78" s="23"/>
      <c r="P78" s="23"/>
      <c r="Q78" s="33"/>
      <c r="S78" s="78" t="s">
        <v>95</v>
      </c>
      <c r="T78" s="79" t="n">
        <v>0</v>
      </c>
      <c r="U78" s="32"/>
      <c r="V78" s="32"/>
      <c r="W78" s="23"/>
      <c r="X78" s="23"/>
      <c r="Y78" s="23"/>
      <c r="Z78" s="33"/>
      <c r="AB78" s="78" t="s">
        <v>95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96</v>
      </c>
      <c r="B79" s="81" t="n">
        <v>0.0</v>
      </c>
      <c r="C79" s="32"/>
      <c r="D79" s="32"/>
      <c r="E79" s="23"/>
      <c r="F79" s="23"/>
      <c r="G79" s="23"/>
      <c r="H79" s="33"/>
      <c r="J79" s="80" t="s">
        <v>96</v>
      </c>
      <c r="K79" s="81" t="n">
        <v>0</v>
      </c>
      <c r="L79" s="32"/>
      <c r="M79" s="32"/>
      <c r="N79" s="23"/>
      <c r="O79" s="23"/>
      <c r="P79" s="23"/>
      <c r="Q79" s="33"/>
      <c r="S79" s="80" t="s">
        <v>96</v>
      </c>
      <c r="T79" s="81" t="n">
        <v>0</v>
      </c>
      <c r="U79" s="32"/>
      <c r="V79" s="32"/>
      <c r="W79" s="23"/>
      <c r="X79" s="23"/>
      <c r="Y79" s="23"/>
      <c r="Z79" s="33"/>
      <c r="AB79" s="80" t="s">
        <v>96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97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97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97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97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98</v>
      </c>
      <c r="B81" s="86" t="n">
        <v>0.0</v>
      </c>
      <c r="C81" s="32"/>
      <c r="D81" s="32"/>
      <c r="E81" s="23"/>
      <c r="F81" s="23"/>
      <c r="G81" s="23"/>
      <c r="H81" s="33"/>
      <c r="J81" s="78" t="s">
        <v>98</v>
      </c>
      <c r="K81" s="86" t="n">
        <v>0</v>
      </c>
      <c r="L81" s="32"/>
      <c r="M81" s="32"/>
      <c r="N81" s="23"/>
      <c r="O81" s="23"/>
      <c r="P81" s="23"/>
      <c r="Q81" s="33"/>
      <c r="S81" s="78" t="s">
        <v>98</v>
      </c>
      <c r="T81" s="86" t="n">
        <v>0</v>
      </c>
      <c r="U81" s="32"/>
      <c r="V81" s="32"/>
      <c r="W81" s="23"/>
      <c r="X81" s="23"/>
      <c r="Y81" s="23"/>
      <c r="Z81" s="33"/>
      <c r="AB81" s="78" t="s">
        <v>98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99</v>
      </c>
      <c r="B82" s="77" t="n">
        <v>0.0</v>
      </c>
      <c r="C82" s="32"/>
      <c r="D82" s="32"/>
      <c r="E82" s="23"/>
      <c r="F82" s="23"/>
      <c r="G82" s="23"/>
      <c r="H82" s="33"/>
      <c r="J82" s="80" t="s">
        <v>99</v>
      </c>
      <c r="K82" s="77" t="n">
        <v>0</v>
      </c>
      <c r="L82" s="32"/>
      <c r="M82" s="32"/>
      <c r="N82" s="23"/>
      <c r="O82" s="23"/>
      <c r="P82" s="23"/>
      <c r="Q82" s="33"/>
      <c r="S82" s="80" t="s">
        <v>99</v>
      </c>
      <c r="T82" s="77" t="n">
        <v>0</v>
      </c>
      <c r="U82" s="32"/>
      <c r="V82" s="32"/>
      <c r="W82" s="23"/>
      <c r="X82" s="23"/>
      <c r="Y82" s="23"/>
      <c r="Z82" s="33"/>
      <c r="AB82" s="80" t="s">
        <v>99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100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100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100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100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101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101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101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101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102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102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102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102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103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103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103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103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104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104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104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104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105</v>
      </c>
      <c r="B88" s="59" t="n">
        <f aca="false">K49</f>
        <v>288.924242424242</v>
      </c>
      <c r="C88" s="32"/>
      <c r="D88" s="32"/>
      <c r="E88" s="23"/>
      <c r="F88" s="23"/>
      <c r="G88" s="23"/>
      <c r="H88" s="33"/>
      <c r="J88" s="90" t="s">
        <v>105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105</v>
      </c>
      <c r="T88" s="59" t="n">
        <f aca="false">B60</f>
        <v>288.924242424242</v>
      </c>
      <c r="U88" s="32"/>
      <c r="V88" s="32"/>
      <c r="W88" s="23"/>
      <c r="X88" s="23"/>
      <c r="Y88" s="23"/>
      <c r="Z88" s="33"/>
      <c r="AB88" s="90" t="s">
        <v>105</v>
      </c>
      <c r="AC88" s="59" t="n">
        <f aca="false">B60</f>
        <v>288.924242424242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106</v>
      </c>
      <c r="B90" s="27" t="n">
        <f aca="false">F37</f>
        <v>57535</v>
      </c>
      <c r="C90" s="32"/>
      <c r="D90" s="32"/>
      <c r="E90" s="23"/>
      <c r="F90" s="25" t="s">
        <v>106</v>
      </c>
      <c r="G90" s="27" t="n">
        <f aca="false">F37</f>
        <v>57535</v>
      </c>
      <c r="H90" s="33"/>
      <c r="J90" s="25" t="s">
        <v>106</v>
      </c>
      <c r="K90" s="27" t="n">
        <f aca="false">P167</f>
        <v>37655</v>
      </c>
      <c r="L90" s="32"/>
      <c r="M90" s="32"/>
      <c r="N90" s="23"/>
      <c r="O90" s="23"/>
      <c r="P90" s="23"/>
      <c r="Q90" s="33"/>
      <c r="S90" s="25" t="s">
        <v>106</v>
      </c>
      <c r="T90" s="27" t="n">
        <f aca="false">Y167</f>
        <v>45468.749</v>
      </c>
      <c r="U90" s="32"/>
      <c r="V90" s="32"/>
      <c r="W90" s="23"/>
      <c r="X90" s="23"/>
      <c r="Y90" s="23"/>
      <c r="Z90" s="33"/>
      <c r="AB90" s="25" t="s">
        <v>106</v>
      </c>
      <c r="AC90" s="27" t="n">
        <f aca="false">AH167</f>
        <v>45468.749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107</v>
      </c>
      <c r="B91" s="33" t="n">
        <f aca="false">IF(A111="YES",A43,0)*1.2</f>
        <v>6000</v>
      </c>
      <c r="C91" s="32"/>
      <c r="D91" s="32"/>
      <c r="E91" s="23"/>
      <c r="F91" s="31" t="s">
        <v>107</v>
      </c>
      <c r="G91" s="33" t="n">
        <f aca="false">IF(A111="YES",A43,0)*1.2</f>
        <v>6000</v>
      </c>
      <c r="H91" s="33"/>
      <c r="J91" s="31" t="s">
        <v>107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107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107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108</v>
      </c>
      <c r="B92" s="84" t="n">
        <f aca="false">B71+B72+B73</f>
        <v>0.115</v>
      </c>
      <c r="C92" s="32"/>
      <c r="D92" s="32"/>
      <c r="E92" s="23"/>
      <c r="F92" s="31" t="s">
        <v>108</v>
      </c>
      <c r="G92" s="91" t="n">
        <f aca="false">B72</f>
        <v>0.065</v>
      </c>
      <c r="H92" s="33"/>
      <c r="J92" s="31" t="s">
        <v>108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108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108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109</v>
      </c>
      <c r="B93" s="84" t="n">
        <f aca="false">B92/12</f>
        <v>0.00958333333333333</v>
      </c>
      <c r="C93" s="32"/>
      <c r="D93" s="32"/>
      <c r="E93" s="23"/>
      <c r="F93" s="31" t="s">
        <v>109</v>
      </c>
      <c r="G93" s="92" t="n">
        <f aca="false">G92/12</f>
        <v>0.00541666666666667</v>
      </c>
      <c r="H93" s="33"/>
      <c r="J93" s="31" t="s">
        <v>109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109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109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110</v>
      </c>
      <c r="B94" s="33" t="n">
        <f aca="false">IF(B91=0, (B68+B67), (B68))</f>
        <v>32</v>
      </c>
      <c r="C94" s="32"/>
      <c r="D94" s="32"/>
      <c r="E94" s="23"/>
      <c r="F94" s="31" t="s">
        <v>110</v>
      </c>
      <c r="G94" s="33" t="n">
        <f aca="false">IF(G91=0, (B68+B67), (B68))</f>
        <v>32</v>
      </c>
      <c r="H94" s="33"/>
      <c r="J94" s="31" t="s">
        <v>110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110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110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111</v>
      </c>
      <c r="B95" s="33" t="n">
        <f aca="false">(B91/((1+B93)^(B94+1)))</f>
        <v>4379.8532592462</v>
      </c>
      <c r="C95" s="32"/>
      <c r="D95" s="32"/>
      <c r="E95" s="23"/>
      <c r="F95" s="31" t="s">
        <v>111</v>
      </c>
      <c r="G95" s="33" t="n">
        <f aca="false">(G91/((1+G93)^(G94+1)))</f>
        <v>5020.31079273804</v>
      </c>
      <c r="H95" s="33"/>
      <c r="J95" s="31" t="s">
        <v>111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111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111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112</v>
      </c>
      <c r="B96" s="33" t="n">
        <f aca="false">((1-(1/((1+B93)^B94)))/B93)</f>
        <v>27.4464895133802</v>
      </c>
      <c r="C96" s="32"/>
      <c r="D96" s="32"/>
      <c r="E96" s="23"/>
      <c r="F96" s="31" t="s">
        <v>112</v>
      </c>
      <c r="G96" s="33" t="n">
        <f aca="false">((1-(1/((1+G93)^G94)))/G93)</f>
        <v>29.3075648349115</v>
      </c>
      <c r="H96" s="33"/>
      <c r="J96" s="31" t="s">
        <v>112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112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112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113</v>
      </c>
      <c r="B97" s="33" t="n">
        <f aca="false">B90-B95</f>
        <v>53155.1467407538</v>
      </c>
      <c r="C97" s="32"/>
      <c r="D97" s="32"/>
      <c r="E97" s="23"/>
      <c r="F97" s="31" t="s">
        <v>113</v>
      </c>
      <c r="G97" s="33" t="n">
        <f aca="false">G90-G95</f>
        <v>52514.689207262</v>
      </c>
      <c r="H97" s="33"/>
      <c r="J97" s="31" t="s">
        <v>113</v>
      </c>
      <c r="K97" s="33" t="n">
        <f aca="false">K90-K95</f>
        <v>37655</v>
      </c>
      <c r="L97" s="32"/>
      <c r="M97" s="32"/>
      <c r="N97" s="23"/>
      <c r="O97" s="23"/>
      <c r="P97" s="23"/>
      <c r="Q97" s="33"/>
      <c r="S97" s="31" t="s">
        <v>113</v>
      </c>
      <c r="T97" s="33" t="n">
        <f aca="false">T90-T95</f>
        <v>45460.1897086168</v>
      </c>
      <c r="U97" s="32"/>
      <c r="V97" s="32"/>
      <c r="W97" s="23"/>
      <c r="X97" s="23"/>
      <c r="Y97" s="23"/>
      <c r="Z97" s="33"/>
      <c r="AB97" s="31" t="s">
        <v>113</v>
      </c>
      <c r="AC97" s="33" t="n">
        <f aca="false">AC90-AC95</f>
        <v>45460.1897086168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114</v>
      </c>
      <c r="B98" s="33" t="n">
        <f aca="false">(B97/B96)</f>
        <v>1936.68289399417</v>
      </c>
      <c r="C98" s="32"/>
      <c r="D98" s="32"/>
      <c r="E98" s="23"/>
      <c r="F98" s="31" t="s">
        <v>114</v>
      </c>
      <c r="G98" s="33" t="n">
        <f aca="false">(G97/G96)</f>
        <v>1791.84758280244</v>
      </c>
      <c r="H98" s="33"/>
      <c r="J98" s="31" t="s">
        <v>114</v>
      </c>
      <c r="K98" s="33" t="n">
        <f aca="false">(K97/K96)</f>
        <v>1569.706327631</v>
      </c>
      <c r="L98" s="32"/>
      <c r="M98" s="32"/>
      <c r="N98" s="23"/>
      <c r="O98" s="23"/>
      <c r="P98" s="23"/>
      <c r="Q98" s="33"/>
      <c r="S98" s="31" t="s">
        <v>114</v>
      </c>
      <c r="T98" s="33" t="n">
        <f aca="false">(T97/T96)</f>
        <v>1674.61110912406</v>
      </c>
      <c r="U98" s="32"/>
      <c r="V98" s="32"/>
      <c r="W98" s="23"/>
      <c r="X98" s="23"/>
      <c r="Y98" s="23"/>
      <c r="Z98" s="33"/>
      <c r="AB98" s="31" t="s">
        <v>114</v>
      </c>
      <c r="AC98" s="33" t="n">
        <f aca="false">(AC97/AC96)</f>
        <v>1674.61110912406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115</v>
      </c>
      <c r="B99" s="33" t="n">
        <f aca="false">((B98*(B94))+B86)</f>
        <v>61973.8526078134</v>
      </c>
      <c r="C99" s="32"/>
      <c r="D99" s="32"/>
      <c r="E99" s="23"/>
      <c r="F99" s="31" t="s">
        <v>115</v>
      </c>
      <c r="G99" s="33" t="n">
        <f aca="false">((G98*(G94))+G86)</f>
        <v>57339.122649678</v>
      </c>
      <c r="H99" s="33"/>
      <c r="J99" s="31" t="s">
        <v>115</v>
      </c>
      <c r="K99" s="33" t="n">
        <f aca="false">((K98*(K94))+K86)</f>
        <v>51800.308811823</v>
      </c>
      <c r="L99" s="32"/>
      <c r="M99" s="32"/>
      <c r="N99" s="23"/>
      <c r="O99" s="23"/>
      <c r="P99" s="23"/>
      <c r="Q99" s="33"/>
      <c r="S99" s="31" t="s">
        <v>115</v>
      </c>
      <c r="T99" s="33" t="n">
        <f aca="false">(T98*(T94))+T86</f>
        <v>53587.5554919699</v>
      </c>
      <c r="U99" s="32"/>
      <c r="V99" s="32"/>
      <c r="W99" s="23"/>
      <c r="X99" s="23"/>
      <c r="Y99" s="23"/>
      <c r="Z99" s="33"/>
      <c r="AB99" s="31" t="s">
        <v>115</v>
      </c>
      <c r="AC99" s="33" t="n">
        <f aca="false">(AC98*(AC68))+AC86</f>
        <v>53587.5554919699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116</v>
      </c>
      <c r="B100" s="33" t="n">
        <f aca="false">(((B98*(B94))+B86)/(1-B80))*B80</f>
        <v>0</v>
      </c>
      <c r="C100" s="32"/>
      <c r="D100" s="32"/>
      <c r="E100" s="23"/>
      <c r="F100" s="31" t="s">
        <v>116</v>
      </c>
      <c r="G100" s="33" t="n">
        <f aca="false">(((G98*(G94))+G86)/(1-G80))*G80</f>
        <v>0</v>
      </c>
      <c r="H100" s="33"/>
      <c r="J100" s="31" t="s">
        <v>116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116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116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117</v>
      </c>
      <c r="B101" s="65" t="n">
        <f aca="false">(B99+B100)</f>
        <v>61973.8526078134</v>
      </c>
      <c r="C101" s="32"/>
      <c r="D101" s="32"/>
      <c r="E101" s="23"/>
      <c r="F101" s="56" t="s">
        <v>117</v>
      </c>
      <c r="G101" s="65" t="n">
        <f aca="false">(G99+G100)</f>
        <v>57339.122649678</v>
      </c>
      <c r="H101" s="33"/>
      <c r="J101" s="56" t="s">
        <v>117</v>
      </c>
      <c r="K101" s="65" t="n">
        <f aca="false">(K99+K100)</f>
        <v>51800.308811823</v>
      </c>
      <c r="L101" s="32"/>
      <c r="M101" s="32"/>
      <c r="N101" s="23"/>
      <c r="O101" s="23"/>
      <c r="P101" s="23"/>
      <c r="Q101" s="33"/>
      <c r="S101" s="56" t="s">
        <v>117</v>
      </c>
      <c r="T101" s="65" t="n">
        <f aca="false">(T99+T100)</f>
        <v>53587.5554919699</v>
      </c>
      <c r="U101" s="32"/>
      <c r="V101" s="32"/>
      <c r="W101" s="23"/>
      <c r="X101" s="23"/>
      <c r="Y101" s="23"/>
      <c r="Z101" s="33"/>
      <c r="AB101" s="56" t="s">
        <v>117</v>
      </c>
      <c r="AC101" s="65" t="n">
        <f aca="false">(AC99+AC100)</f>
        <v>53587.5554919699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118</v>
      </c>
      <c r="B103" s="89" t="n">
        <f aca="false">((A46 * A34) + ((A46 * A34)*A117))/(B68)</f>
        <v>67.03125</v>
      </c>
      <c r="C103" s="32"/>
      <c r="D103" s="32"/>
      <c r="E103" s="23"/>
      <c r="F103" s="88" t="s">
        <v>118</v>
      </c>
      <c r="G103" s="94" t="str">
        <f aca="false">IF(B35="YES",((E49/B94)*(1+A117)*(C54/100)),"0")</f>
        <v>0</v>
      </c>
      <c r="H103" s="33"/>
      <c r="J103" s="88" t="s">
        <v>118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118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118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119</v>
      </c>
      <c r="B104" s="96" t="n">
        <f aca="false">B101/(B94)</f>
        <v>1936.68289399417</v>
      </c>
      <c r="C104" s="32"/>
      <c r="D104" s="32"/>
      <c r="E104" s="23"/>
      <c r="F104" s="95" t="s">
        <v>119</v>
      </c>
      <c r="G104" s="96" t="n">
        <f aca="false">G101/(G94)</f>
        <v>1791.84758280244</v>
      </c>
      <c r="H104" s="33"/>
      <c r="J104" s="95" t="s">
        <v>119</v>
      </c>
      <c r="K104" s="96" t="n">
        <f aca="false">K101/(K94)</f>
        <v>1569.706327631</v>
      </c>
      <c r="L104" s="32"/>
      <c r="M104" s="32"/>
      <c r="N104" s="23"/>
      <c r="O104" s="23"/>
      <c r="P104" s="23"/>
      <c r="Q104" s="33"/>
      <c r="S104" s="95" t="s">
        <v>119</v>
      </c>
      <c r="T104" s="96" t="n">
        <f aca="false">T101/(T94)</f>
        <v>1674.61110912406</v>
      </c>
      <c r="U104" s="32"/>
      <c r="V104" s="32"/>
      <c r="W104" s="23"/>
      <c r="X104" s="23"/>
      <c r="Y104" s="23"/>
      <c r="Z104" s="33"/>
      <c r="AB104" s="95" t="s">
        <v>119</v>
      </c>
      <c r="AC104" s="96" t="n">
        <f aca="false">AC101/(AC68)</f>
        <v>1674.61110912406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120</v>
      </c>
      <c r="B105" s="98" t="n">
        <f aca="false">B103+B104</f>
        <v>2003.71414399417</v>
      </c>
      <c r="C105" s="32"/>
      <c r="D105" s="32"/>
      <c r="E105" s="23" t="s">
        <v>18</v>
      </c>
      <c r="F105" s="97" t="s">
        <v>120</v>
      </c>
      <c r="G105" s="98" t="n">
        <f aca="false">G103+G104</f>
        <v>1791.84758280244</v>
      </c>
      <c r="H105" s="33"/>
      <c r="J105" s="97" t="s">
        <v>120</v>
      </c>
      <c r="K105" s="98" t="n">
        <f aca="false">(K103+K104)</f>
        <v>1569.706327631</v>
      </c>
      <c r="L105" s="32"/>
      <c r="M105" s="32"/>
      <c r="N105" s="23"/>
      <c r="O105" s="23"/>
      <c r="P105" s="23"/>
      <c r="Q105" s="33"/>
      <c r="S105" s="97" t="s">
        <v>120</v>
      </c>
      <c r="T105" s="98" t="n">
        <f aca="false">T103+T104</f>
        <v>1674.61110912406</v>
      </c>
      <c r="U105" s="32"/>
      <c r="V105" s="32"/>
      <c r="W105" s="23"/>
      <c r="X105" s="23"/>
      <c r="Y105" s="23"/>
      <c r="Z105" s="33"/>
      <c r="AB105" s="97" t="s">
        <v>120</v>
      </c>
      <c r="AC105" s="98" t="n">
        <f aca="false">AC103+AC104</f>
        <v>1674.61110912406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121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122</v>
      </c>
      <c r="B109" s="100"/>
      <c r="C109" s="100"/>
      <c r="D109" s="100"/>
      <c r="E109" s="100"/>
      <c r="F109" s="100"/>
      <c r="G109" s="100"/>
      <c r="H109" s="100"/>
      <c r="J109" s="24" t="s">
        <v>123</v>
      </c>
      <c r="K109" s="24"/>
      <c r="L109" s="24"/>
      <c r="M109" s="24"/>
      <c r="N109" s="24"/>
      <c r="O109" s="24"/>
      <c r="P109" s="24"/>
      <c r="Q109" s="24"/>
      <c r="S109" s="100" t="s">
        <v>124</v>
      </c>
      <c r="T109" s="100"/>
      <c r="U109" s="100"/>
      <c r="V109" s="100"/>
      <c r="W109" s="100"/>
      <c r="X109" s="100"/>
      <c r="Y109" s="100"/>
      <c r="Z109" s="100"/>
      <c r="AB109" s="100" t="s">
        <v>125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126</v>
      </c>
      <c r="K111" s="28"/>
      <c r="L111" s="28"/>
      <c r="M111" s="28"/>
      <c r="N111" s="28"/>
      <c r="O111" s="28"/>
      <c r="P111" s="28"/>
      <c r="Q111" s="28"/>
      <c r="S111" s="28" t="s">
        <v>126</v>
      </c>
      <c r="T111" s="28"/>
      <c r="U111" s="28"/>
      <c r="V111" s="28"/>
      <c r="W111" s="28"/>
      <c r="X111" s="28"/>
      <c r="Y111" s="28"/>
      <c r="Z111" s="28"/>
      <c r="AB111" s="28" t="s">
        <v>126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127</v>
      </c>
      <c r="B113" s="32" t="s">
        <v>23</v>
      </c>
      <c r="C113" s="32"/>
      <c r="D113" s="32"/>
      <c r="E113" s="32" t="s">
        <v>128</v>
      </c>
      <c r="F113" s="32"/>
      <c r="G113" s="32"/>
      <c r="H113" s="33"/>
      <c r="J113" s="31" t="s">
        <v>127</v>
      </c>
      <c r="K113" s="32" t="s">
        <v>23</v>
      </c>
      <c r="L113" s="32"/>
      <c r="M113" s="32"/>
      <c r="N113" s="32" t="s">
        <v>128</v>
      </c>
      <c r="O113" s="32"/>
      <c r="P113" s="32"/>
      <c r="Q113" s="33"/>
      <c r="S113" s="31" t="s">
        <v>127</v>
      </c>
      <c r="T113" s="32" t="s">
        <v>23</v>
      </c>
      <c r="U113" s="32"/>
      <c r="V113" s="32"/>
      <c r="W113" s="32" t="s">
        <v>128</v>
      </c>
      <c r="X113" s="32"/>
      <c r="Y113" s="32"/>
      <c r="Z113" s="33"/>
      <c r="AB113" s="31" t="s">
        <v>127</v>
      </c>
      <c r="AC113" s="32" t="s">
        <v>23</v>
      </c>
      <c r="AD113" s="32"/>
      <c r="AE113" s="32"/>
      <c r="AF113" s="32" t="s">
        <v>128</v>
      </c>
      <c r="AG113" s="32"/>
      <c r="AH113" s="32"/>
      <c r="AI113" s="33"/>
    </row>
    <row r="114" customFormat="false" ht="17.35" hidden="false" customHeight="false" outlineLevel="0" collapsed="false">
      <c r="A114" s="36" t="s">
        <v>129</v>
      </c>
      <c r="B114" s="103"/>
      <c r="C114" s="103"/>
      <c r="D114" s="103"/>
      <c r="E114" s="104" t="s">
        <v>388</v>
      </c>
      <c r="F114" s="104"/>
      <c r="G114" s="104"/>
      <c r="H114" s="102"/>
      <c r="J114" s="36" t="s">
        <v>129</v>
      </c>
      <c r="K114" s="105" t="s">
        <v>130</v>
      </c>
      <c r="L114" s="105"/>
      <c r="M114" s="105"/>
      <c r="N114" s="104" t="s">
        <v>18</v>
      </c>
      <c r="O114" s="104"/>
      <c r="P114" s="104"/>
      <c r="Q114" s="102"/>
      <c r="S114" s="36" t="s">
        <v>129</v>
      </c>
      <c r="T114" s="103" t="s">
        <v>130</v>
      </c>
      <c r="U114" s="103"/>
      <c r="V114" s="103"/>
      <c r="W114" s="104" t="s">
        <v>18</v>
      </c>
      <c r="X114" s="104"/>
      <c r="Y114" s="104"/>
      <c r="Z114" s="102"/>
      <c r="AB114" s="36" t="s">
        <v>129</v>
      </c>
      <c r="AC114" s="103" t="s">
        <v>130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131</v>
      </c>
      <c r="B116" s="32" t="s">
        <v>132</v>
      </c>
      <c r="C116" s="32"/>
      <c r="D116" s="23"/>
      <c r="E116" s="32" t="s">
        <v>133</v>
      </c>
      <c r="F116" s="32"/>
      <c r="G116" s="23"/>
      <c r="H116" s="102"/>
      <c r="J116" s="31" t="s">
        <v>131</v>
      </c>
      <c r="K116" s="32" t="s">
        <v>132</v>
      </c>
      <c r="L116" s="32"/>
      <c r="M116" s="23"/>
      <c r="N116" s="32" t="s">
        <v>133</v>
      </c>
      <c r="O116" s="32"/>
      <c r="P116" s="23"/>
      <c r="Q116" s="102"/>
      <c r="S116" s="31" t="s">
        <v>131</v>
      </c>
      <c r="T116" s="32" t="s">
        <v>132</v>
      </c>
      <c r="U116" s="32"/>
      <c r="V116" s="23"/>
      <c r="W116" s="32" t="s">
        <v>133</v>
      </c>
      <c r="X116" s="32"/>
      <c r="Y116" s="23"/>
      <c r="Z116" s="102"/>
      <c r="AB116" s="31" t="s">
        <v>131</v>
      </c>
      <c r="AC116" s="32" t="s">
        <v>132</v>
      </c>
      <c r="AD116" s="32"/>
      <c r="AE116" s="23"/>
      <c r="AF116" s="32" t="s">
        <v>133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134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134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135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135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136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134</v>
      </c>
    </row>
    <row r="119" customFormat="false" ht="17.35" hidden="false" customHeight="false" outlineLevel="0" collapsed="false">
      <c r="A119" s="31" t="s">
        <v>137</v>
      </c>
      <c r="B119" s="32" t="s">
        <v>138</v>
      </c>
      <c r="C119" s="32"/>
      <c r="D119" s="32"/>
      <c r="E119" s="32" t="s">
        <v>139</v>
      </c>
      <c r="F119" s="32"/>
      <c r="G119" s="32"/>
      <c r="H119" s="33"/>
      <c r="J119" s="31" t="s">
        <v>137</v>
      </c>
      <c r="K119" s="32" t="s">
        <v>138</v>
      </c>
      <c r="L119" s="32"/>
      <c r="M119" s="32"/>
      <c r="N119" s="32" t="s">
        <v>139</v>
      </c>
      <c r="O119" s="32"/>
      <c r="P119" s="32"/>
      <c r="Q119" s="33"/>
      <c r="S119" s="31" t="s">
        <v>137</v>
      </c>
      <c r="T119" s="32" t="s">
        <v>138</v>
      </c>
      <c r="U119" s="32"/>
      <c r="V119" s="32"/>
      <c r="W119" s="32" t="s">
        <v>139</v>
      </c>
      <c r="X119" s="32"/>
      <c r="Y119" s="32"/>
      <c r="Z119" s="33"/>
      <c r="AB119" s="31" t="s">
        <v>137</v>
      </c>
      <c r="AC119" s="32" t="s">
        <v>138</v>
      </c>
      <c r="AD119" s="32"/>
      <c r="AE119" s="32"/>
      <c r="AF119" s="32" t="s">
        <v>139</v>
      </c>
      <c r="AG119" s="32"/>
      <c r="AH119" s="32"/>
      <c r="AI119" s="33"/>
    </row>
    <row r="120" customFormat="false" ht="17.35" hidden="false" customHeight="false" outlineLevel="0" collapsed="false">
      <c r="A120" s="40" t="s">
        <v>390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140</v>
      </c>
      <c r="B122" s="32" t="s">
        <v>141</v>
      </c>
      <c r="C122" s="32"/>
      <c r="D122" s="32"/>
      <c r="E122" s="32" t="s">
        <v>142</v>
      </c>
      <c r="F122" s="32"/>
      <c r="G122" s="23"/>
      <c r="H122" s="102"/>
      <c r="J122" s="110" t="s">
        <v>140</v>
      </c>
      <c r="K122" s="32" t="s">
        <v>141</v>
      </c>
      <c r="L122" s="32"/>
      <c r="M122" s="32"/>
      <c r="N122" s="32" t="s">
        <v>142</v>
      </c>
      <c r="O122" s="32"/>
      <c r="P122" s="23"/>
      <c r="Q122" s="102"/>
      <c r="S122" s="110" t="s">
        <v>140</v>
      </c>
      <c r="T122" s="32" t="s">
        <v>141</v>
      </c>
      <c r="U122" s="32"/>
      <c r="V122" s="32"/>
      <c r="W122" s="32" t="s">
        <v>142</v>
      </c>
      <c r="X122" s="32"/>
      <c r="Y122" s="23"/>
      <c r="Z122" s="102"/>
      <c r="AB122" s="110" t="s">
        <v>140</v>
      </c>
      <c r="AC122" s="32" t="s">
        <v>141</v>
      </c>
      <c r="AD122" s="32"/>
      <c r="AE122" s="32"/>
      <c r="AF122" s="32" t="s">
        <v>142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397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144</v>
      </c>
      <c r="B126" s="28"/>
      <c r="C126" s="28"/>
      <c r="D126" s="28"/>
      <c r="E126" s="28"/>
      <c r="F126" s="28"/>
      <c r="G126" s="28"/>
      <c r="H126" s="28"/>
      <c r="J126" s="28" t="s">
        <v>144</v>
      </c>
      <c r="K126" s="28"/>
      <c r="L126" s="28"/>
      <c r="M126" s="28"/>
      <c r="N126" s="28"/>
      <c r="O126" s="28"/>
      <c r="P126" s="28"/>
      <c r="Q126" s="28"/>
      <c r="S126" s="28" t="s">
        <v>144</v>
      </c>
      <c r="T126" s="28"/>
      <c r="U126" s="28"/>
      <c r="V126" s="28"/>
      <c r="W126" s="28"/>
      <c r="X126" s="28"/>
      <c r="Y126" s="28"/>
      <c r="Z126" s="28"/>
      <c r="AB126" s="28" t="s">
        <v>144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145</v>
      </c>
      <c r="C128" s="114"/>
      <c r="D128" s="114" t="s">
        <v>146</v>
      </c>
      <c r="E128" s="114"/>
      <c r="F128" s="114" t="s">
        <v>147</v>
      </c>
      <c r="G128" s="114"/>
      <c r="H128" s="115" t="s">
        <v>148</v>
      </c>
      <c r="J128" s="78"/>
      <c r="K128" s="114" t="s">
        <v>145</v>
      </c>
      <c r="L128" s="114"/>
      <c r="M128" s="114" t="s">
        <v>146</v>
      </c>
      <c r="N128" s="114"/>
      <c r="O128" s="114" t="s">
        <v>147</v>
      </c>
      <c r="P128" s="114"/>
      <c r="Q128" s="115" t="s">
        <v>148</v>
      </c>
      <c r="S128" s="78"/>
      <c r="T128" s="114" t="s">
        <v>145</v>
      </c>
      <c r="U128" s="114"/>
      <c r="V128" s="114" t="s">
        <v>146</v>
      </c>
      <c r="W128" s="114"/>
      <c r="X128" s="114" t="s">
        <v>147</v>
      </c>
      <c r="Y128" s="114"/>
      <c r="Z128" s="115" t="s">
        <v>148</v>
      </c>
      <c r="AB128" s="78"/>
      <c r="AC128" s="114" t="s">
        <v>145</v>
      </c>
      <c r="AD128" s="114"/>
      <c r="AE128" s="114" t="s">
        <v>146</v>
      </c>
      <c r="AF128" s="114"/>
      <c r="AG128" s="114" t="s">
        <v>147</v>
      </c>
      <c r="AH128" s="114"/>
      <c r="AI128" s="115" t="s">
        <v>148</v>
      </c>
    </row>
    <row r="129" customFormat="false" ht="19.7" hidden="false" customHeight="false" outlineLevel="0" collapsed="false">
      <c r="A129" s="80"/>
      <c r="B129" s="116" t="s">
        <v>149</v>
      </c>
      <c r="C129" s="117" t="s">
        <v>150</v>
      </c>
      <c r="D129" s="116" t="s">
        <v>149</v>
      </c>
      <c r="E129" s="118" t="s">
        <v>150</v>
      </c>
      <c r="F129" s="116" t="s">
        <v>149</v>
      </c>
      <c r="G129" s="118" t="s">
        <v>150</v>
      </c>
      <c r="H129" s="119"/>
      <c r="J129" s="80"/>
      <c r="K129" s="116" t="s">
        <v>149</v>
      </c>
      <c r="L129" s="117" t="s">
        <v>150</v>
      </c>
      <c r="M129" s="116" t="s">
        <v>149</v>
      </c>
      <c r="N129" s="118" t="s">
        <v>150</v>
      </c>
      <c r="O129" s="116" t="s">
        <v>149</v>
      </c>
      <c r="P129" s="118" t="s">
        <v>150</v>
      </c>
      <c r="Q129" s="119"/>
      <c r="S129" s="80"/>
      <c r="T129" s="116" t="s">
        <v>149</v>
      </c>
      <c r="U129" s="117" t="s">
        <v>150</v>
      </c>
      <c r="V129" s="116" t="s">
        <v>149</v>
      </c>
      <c r="W129" s="118" t="s">
        <v>150</v>
      </c>
      <c r="X129" s="116" t="s">
        <v>149</v>
      </c>
      <c r="Y129" s="118" t="s">
        <v>150</v>
      </c>
      <c r="Z129" s="119"/>
      <c r="AB129" s="80"/>
      <c r="AC129" s="116" t="s">
        <v>149</v>
      </c>
      <c r="AD129" s="117" t="s">
        <v>150</v>
      </c>
      <c r="AE129" s="116" t="s">
        <v>149</v>
      </c>
      <c r="AF129" s="118" t="s">
        <v>150</v>
      </c>
      <c r="AG129" s="116" t="s">
        <v>149</v>
      </c>
      <c r="AH129" s="118" t="s">
        <v>150</v>
      </c>
      <c r="AI129" s="119"/>
    </row>
    <row r="130" customFormat="false" ht="17.35" hidden="false" customHeight="false" outlineLevel="0" collapsed="false">
      <c r="A130" s="25" t="s">
        <v>151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22" t="n">
        <f aca="false">H3</f>
        <v>0</v>
      </c>
      <c r="J130" s="25" t="s">
        <v>151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22" t="n">
        <f aca="false">H3</f>
        <v>0</v>
      </c>
      <c r="S130" s="25" t="s">
        <v>151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22" t="n">
        <f aca="false">H3</f>
        <v>0</v>
      </c>
      <c r="AB130" s="25" t="s">
        <v>151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152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152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152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152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153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153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153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153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154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154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154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154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155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155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155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155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149</v>
      </c>
      <c r="H136" s="137" t="s">
        <v>150</v>
      </c>
      <c r="J136" s="134"/>
      <c r="K136" s="138"/>
      <c r="L136" s="138"/>
      <c r="M136" s="138"/>
      <c r="N136" s="138"/>
      <c r="O136" s="138"/>
      <c r="P136" s="139" t="s">
        <v>149</v>
      </c>
      <c r="Q136" s="137" t="s">
        <v>150</v>
      </c>
      <c r="S136" s="134"/>
      <c r="T136" s="138"/>
      <c r="U136" s="138"/>
      <c r="V136" s="138"/>
      <c r="W136" s="138"/>
      <c r="X136" s="138"/>
      <c r="Y136" s="139" t="s">
        <v>149</v>
      </c>
      <c r="Z136" s="137" t="s">
        <v>150</v>
      </c>
      <c r="AB136" s="134"/>
      <c r="AC136" s="138"/>
      <c r="AD136" s="138"/>
      <c r="AE136" s="138"/>
      <c r="AF136" s="138"/>
      <c r="AG136" s="138"/>
      <c r="AH136" s="139" t="s">
        <v>149</v>
      </c>
      <c r="AI136" s="137" t="s">
        <v>150</v>
      </c>
    </row>
    <row r="137" customFormat="false" ht="17.35" hidden="false" customHeight="false" outlineLevel="0" collapsed="false">
      <c r="A137" s="140" t="s">
        <v>156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156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156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156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157</v>
      </c>
      <c r="B139" s="144" t="s">
        <v>158</v>
      </c>
      <c r="C139" s="144"/>
      <c r="D139" s="144" t="s">
        <v>159</v>
      </c>
      <c r="E139" s="144"/>
      <c r="F139" s="144" t="s">
        <v>153</v>
      </c>
      <c r="G139" s="144"/>
      <c r="H139" s="145" t="s">
        <v>150</v>
      </c>
      <c r="J139" s="147" t="s">
        <v>157</v>
      </c>
      <c r="K139" s="148" t="s">
        <v>158</v>
      </c>
      <c r="L139" s="148"/>
      <c r="M139" s="144" t="s">
        <v>159</v>
      </c>
      <c r="N139" s="144"/>
      <c r="O139" s="144" t="s">
        <v>153</v>
      </c>
      <c r="P139" s="144"/>
      <c r="Q139" s="145" t="s">
        <v>150</v>
      </c>
      <c r="S139" s="147" t="s">
        <v>157</v>
      </c>
      <c r="T139" s="144" t="s">
        <v>158</v>
      </c>
      <c r="U139" s="144"/>
      <c r="V139" s="144" t="s">
        <v>159</v>
      </c>
      <c r="W139" s="144"/>
      <c r="X139" s="144" t="s">
        <v>153</v>
      </c>
      <c r="Y139" s="144"/>
      <c r="Z139" s="145" t="s">
        <v>150</v>
      </c>
      <c r="AB139" s="147" t="s">
        <v>157</v>
      </c>
      <c r="AC139" s="144" t="s">
        <v>158</v>
      </c>
      <c r="AD139" s="144"/>
      <c r="AE139" s="144" t="s">
        <v>159</v>
      </c>
      <c r="AF139" s="144"/>
      <c r="AG139" s="144" t="s">
        <v>153</v>
      </c>
      <c r="AH139" s="144"/>
      <c r="AI139" s="145" t="s">
        <v>150</v>
      </c>
    </row>
    <row r="140" customFormat="false" ht="17.35" hidden="false" customHeight="false" outlineLevel="0" collapsed="false">
      <c r="A140" s="31" t="s">
        <v>160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160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160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160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161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161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161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161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162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162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162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162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163</v>
      </c>
      <c r="B144" s="152"/>
      <c r="C144" s="152"/>
      <c r="D144" s="152"/>
      <c r="E144" s="152"/>
      <c r="F144" s="152"/>
      <c r="G144" s="139" t="n">
        <f aca="false">H9</f>
        <v>47687.5</v>
      </c>
      <c r="H144" s="153" t="n">
        <f aca="false">C134+E134+G134+H137</f>
        <v>47687.5</v>
      </c>
      <c r="J144" s="152" t="s">
        <v>163</v>
      </c>
      <c r="K144" s="152"/>
      <c r="L144" s="152"/>
      <c r="M144" s="152"/>
      <c r="N144" s="152"/>
      <c r="O144" s="152"/>
      <c r="P144" s="139" t="n">
        <f aca="false">H9</f>
        <v>47687.5</v>
      </c>
      <c r="Q144" s="153" t="n">
        <f aca="false">L134+N134+P134+Q137</f>
        <v>29462.5</v>
      </c>
      <c r="S144" s="152" t="s">
        <v>163</v>
      </c>
      <c r="T144" s="152"/>
      <c r="U144" s="152"/>
      <c r="V144" s="152"/>
      <c r="W144" s="152"/>
      <c r="X144" s="152"/>
      <c r="Y144" s="139" t="n">
        <f aca="false">H9</f>
        <v>47687.5</v>
      </c>
      <c r="Z144" s="153" t="n">
        <f aca="false">U134+W134+Y134+Z137</f>
        <v>35973.9575</v>
      </c>
      <c r="AB144" s="152" t="s">
        <v>163</v>
      </c>
      <c r="AC144" s="152"/>
      <c r="AD144" s="152"/>
      <c r="AE144" s="152"/>
      <c r="AF144" s="152"/>
      <c r="AG144" s="152"/>
      <c r="AH144" s="139" t="n">
        <f aca="false">H9</f>
        <v>47687.5</v>
      </c>
      <c r="AI144" s="153" t="n">
        <f aca="false">AD134+AF134+AH134+AI137</f>
        <v>35973.9575</v>
      </c>
    </row>
    <row r="145" customFormat="false" ht="17.35" hidden="false" customHeight="false" outlineLevel="0" collapsed="false">
      <c r="A145" s="154" t="s">
        <v>164</v>
      </c>
      <c r="B145" s="154"/>
      <c r="C145" s="154"/>
      <c r="D145" s="154"/>
      <c r="E145" s="154"/>
      <c r="F145" s="154"/>
      <c r="G145" s="156" t="n">
        <f aca="false">H10</f>
        <v>550</v>
      </c>
      <c r="H145" s="33" t="n">
        <f aca="false">G145</f>
        <v>550</v>
      </c>
      <c r="J145" s="154" t="s">
        <v>164</v>
      </c>
      <c r="K145" s="154"/>
      <c r="L145" s="154"/>
      <c r="M145" s="154"/>
      <c r="N145" s="154"/>
      <c r="O145" s="154"/>
      <c r="P145" s="156" t="n">
        <f aca="false">H10</f>
        <v>550</v>
      </c>
      <c r="Q145" s="33" t="n">
        <f aca="false">P145</f>
        <v>550</v>
      </c>
      <c r="S145" s="154" t="s">
        <v>164</v>
      </c>
      <c r="T145" s="154"/>
      <c r="U145" s="154"/>
      <c r="V145" s="154"/>
      <c r="W145" s="154"/>
      <c r="X145" s="154"/>
      <c r="Y145" s="156" t="n">
        <f aca="false">H10</f>
        <v>550</v>
      </c>
      <c r="Z145" s="33" t="n">
        <f aca="false">Y145</f>
        <v>550</v>
      </c>
      <c r="AB145" s="154" t="s">
        <v>164</v>
      </c>
      <c r="AC145" s="154"/>
      <c r="AD145" s="154"/>
      <c r="AE145" s="154"/>
      <c r="AF145" s="154"/>
      <c r="AG145" s="154"/>
      <c r="AH145" s="156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4" t="s">
        <v>165</v>
      </c>
      <c r="B146" s="154"/>
      <c r="C146" s="154"/>
      <c r="D146" s="154"/>
      <c r="E146" s="154"/>
      <c r="F146" s="154"/>
      <c r="G146" s="156" t="n">
        <f aca="false">H11</f>
        <v>9647.5</v>
      </c>
      <c r="H146" s="33" t="n">
        <f aca="false">(H144+H145)*20%</f>
        <v>9647.5</v>
      </c>
      <c r="J146" s="154" t="s">
        <v>165</v>
      </c>
      <c r="K146" s="154"/>
      <c r="L146" s="154"/>
      <c r="M146" s="154"/>
      <c r="N146" s="154"/>
      <c r="O146" s="154"/>
      <c r="P146" s="156" t="n">
        <f aca="false">H11</f>
        <v>9647.5</v>
      </c>
      <c r="Q146" s="33" t="n">
        <f aca="false">(Q144+Q145)*20%</f>
        <v>6002.5</v>
      </c>
      <c r="S146" s="154" t="s">
        <v>165</v>
      </c>
      <c r="T146" s="154"/>
      <c r="U146" s="154"/>
      <c r="V146" s="154"/>
      <c r="W146" s="154"/>
      <c r="X146" s="154"/>
      <c r="Y146" s="156" t="n">
        <f aca="false">H11</f>
        <v>9647.5</v>
      </c>
      <c r="Z146" s="33" t="n">
        <f aca="false">(Z144+Z145)*20%</f>
        <v>7304.7915</v>
      </c>
      <c r="AB146" s="154" t="s">
        <v>165</v>
      </c>
      <c r="AC146" s="154"/>
      <c r="AD146" s="154"/>
      <c r="AE146" s="154"/>
      <c r="AF146" s="154"/>
      <c r="AG146" s="154"/>
      <c r="AH146" s="156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4" t="s">
        <v>166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166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166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166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167</v>
      </c>
      <c r="B148" s="154"/>
      <c r="C148" s="154"/>
      <c r="D148" s="154"/>
      <c r="E148" s="154"/>
      <c r="F148" s="154"/>
      <c r="G148" s="156" t="n">
        <f aca="false">H13</f>
        <v>585</v>
      </c>
      <c r="H148" s="33" t="n">
        <f aca="false">G148</f>
        <v>585</v>
      </c>
      <c r="J148" s="154" t="s">
        <v>167</v>
      </c>
      <c r="K148" s="154"/>
      <c r="L148" s="154"/>
      <c r="M148" s="154"/>
      <c r="N148" s="154"/>
      <c r="O148" s="154"/>
      <c r="P148" s="156" t="n">
        <f aca="false">H13</f>
        <v>585</v>
      </c>
      <c r="Q148" s="33" t="n">
        <f aca="false">P148</f>
        <v>585</v>
      </c>
      <c r="S148" s="154" t="s">
        <v>167</v>
      </c>
      <c r="T148" s="154"/>
      <c r="U148" s="154"/>
      <c r="V148" s="154"/>
      <c r="W148" s="154"/>
      <c r="X148" s="154"/>
      <c r="Y148" s="156" t="n">
        <f aca="false">H13</f>
        <v>585</v>
      </c>
      <c r="Z148" s="33" t="n">
        <f aca="false">Y148</f>
        <v>585</v>
      </c>
      <c r="AB148" s="154" t="s">
        <v>167</v>
      </c>
      <c r="AC148" s="154"/>
      <c r="AD148" s="154"/>
      <c r="AE148" s="154"/>
      <c r="AF148" s="154"/>
      <c r="AG148" s="154"/>
      <c r="AH148" s="156" t="n">
        <f aca="false">H13</f>
        <v>585</v>
      </c>
      <c r="AI148" s="33" t="n">
        <f aca="false">AH148</f>
        <v>585</v>
      </c>
    </row>
    <row r="149" customFormat="false" ht="17.35" hidden="false" customHeight="false" outlineLevel="0" collapsed="false">
      <c r="A149" s="154" t="s">
        <v>168</v>
      </c>
      <c r="B149" s="154"/>
      <c r="C149" s="154"/>
      <c r="D149" s="154"/>
      <c r="E149" s="154"/>
      <c r="F149" s="154"/>
      <c r="G149" s="156" t="n">
        <f aca="false">H14</f>
        <v>65</v>
      </c>
      <c r="H149" s="33" t="n">
        <f aca="false">G149</f>
        <v>65</v>
      </c>
      <c r="J149" s="154" t="s">
        <v>168</v>
      </c>
      <c r="K149" s="154"/>
      <c r="L149" s="154"/>
      <c r="M149" s="154"/>
      <c r="N149" s="154"/>
      <c r="O149" s="154"/>
      <c r="P149" s="156" t="n">
        <f aca="false">H14</f>
        <v>65</v>
      </c>
      <c r="Q149" s="33" t="n">
        <v>55</v>
      </c>
      <c r="S149" s="154" t="s">
        <v>168</v>
      </c>
      <c r="T149" s="154"/>
      <c r="U149" s="154"/>
      <c r="V149" s="154"/>
      <c r="W149" s="154"/>
      <c r="X149" s="154"/>
      <c r="Y149" s="156" t="n">
        <f aca="false">H14</f>
        <v>65</v>
      </c>
      <c r="Z149" s="33" t="n">
        <v>55</v>
      </c>
      <c r="AB149" s="154" t="s">
        <v>168</v>
      </c>
      <c r="AC149" s="154"/>
      <c r="AD149" s="154"/>
      <c r="AE149" s="154"/>
      <c r="AF149" s="154"/>
      <c r="AG149" s="154"/>
      <c r="AH149" s="156" t="n">
        <f aca="false">H14</f>
        <v>65</v>
      </c>
      <c r="AI149" s="33" t="n">
        <v>55</v>
      </c>
    </row>
    <row r="150" customFormat="false" ht="19.7" hidden="false" customHeight="false" outlineLevel="0" collapsed="false">
      <c r="A150" s="154" t="s">
        <v>169</v>
      </c>
      <c r="B150" s="154"/>
      <c r="C150" s="154"/>
      <c r="D150" s="154"/>
      <c r="E150" s="154"/>
      <c r="F150" s="154"/>
      <c r="G150" s="158" t="n">
        <f aca="false">H15</f>
        <v>58535</v>
      </c>
      <c r="H150" s="157" t="n">
        <f aca="false">(H144+H145+H148+H149+H146)-H147</f>
        <v>58535</v>
      </c>
      <c r="J150" s="154" t="s">
        <v>169</v>
      </c>
      <c r="K150" s="154"/>
      <c r="L150" s="154"/>
      <c r="M150" s="154"/>
      <c r="N150" s="154"/>
      <c r="O150" s="154"/>
      <c r="P150" s="158" t="n">
        <f aca="false">H15</f>
        <v>58535</v>
      </c>
      <c r="Q150" s="157" t="n">
        <f aca="false">(Q144+Q145+Q148+Q149+Q146)-Q147</f>
        <v>36655</v>
      </c>
      <c r="S150" s="154" t="s">
        <v>169</v>
      </c>
      <c r="T150" s="154"/>
      <c r="U150" s="154"/>
      <c r="V150" s="154"/>
      <c r="W150" s="154"/>
      <c r="X150" s="154"/>
      <c r="Y150" s="158" t="n">
        <f aca="false">H15</f>
        <v>58535</v>
      </c>
      <c r="Z150" s="157" t="n">
        <f aca="false">(Z144+Z145+Z148+Z149+Z146)-Z147</f>
        <v>44468.749</v>
      </c>
      <c r="AB150" s="154" t="s">
        <v>169</v>
      </c>
      <c r="AC150" s="154"/>
      <c r="AD150" s="154"/>
      <c r="AE150" s="154"/>
      <c r="AF150" s="154"/>
      <c r="AG150" s="154"/>
      <c r="AH150" s="158" t="n">
        <f aca="false">H15</f>
        <v>58535</v>
      </c>
      <c r="AI150" s="157" t="n">
        <f aca="false">(AI144+AI145+AI148+AI149+AI146)-AI147</f>
        <v>44468.749</v>
      </c>
    </row>
    <row r="151" customFormat="false" ht="17.35" hidden="false" customHeight="false" outlineLevel="0" collapsed="false">
      <c r="A151" s="154" t="s">
        <v>170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170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170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170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171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171</v>
      </c>
      <c r="K152" s="159"/>
      <c r="L152" s="159"/>
      <c r="M152" s="159"/>
      <c r="N152" s="159"/>
      <c r="O152" s="159"/>
      <c r="P152" s="38"/>
      <c r="Q152" s="33"/>
      <c r="S152" s="111" t="s">
        <v>171</v>
      </c>
      <c r="T152" s="111"/>
      <c r="U152" s="111"/>
      <c r="V152" s="111"/>
      <c r="W152" s="111"/>
      <c r="X152" s="111"/>
      <c r="Y152" s="38"/>
      <c r="Z152" s="33"/>
      <c r="AB152" s="111" t="s">
        <v>171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172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172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172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172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172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172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172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172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172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172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172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172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173</v>
      </c>
      <c r="B156" s="154"/>
      <c r="C156" s="154"/>
      <c r="D156" s="154"/>
      <c r="E156" s="154"/>
      <c r="F156" s="154"/>
      <c r="G156" s="158" t="n">
        <f aca="false">G150-((G153*1.2)+(G154*1.2)+(G155*1.2)+(G151*1.2))</f>
        <v>58535</v>
      </c>
      <c r="H156" s="164" t="n">
        <f aca="false">H150-((H153*1.2)+(H154*1.2)+(H155*1.2)+(H151*1.2))</f>
        <v>58535</v>
      </c>
      <c r="J156" s="165" t="s">
        <v>173</v>
      </c>
      <c r="K156" s="165"/>
      <c r="L156" s="165"/>
      <c r="M156" s="165"/>
      <c r="N156" s="165"/>
      <c r="O156" s="165"/>
      <c r="P156" s="158" t="n">
        <f aca="false">P150-((P153*1.2)+(P154*1.2)+(P155*1.2)+(P151*1.2))</f>
        <v>58535</v>
      </c>
      <c r="Q156" s="164" t="n">
        <f aca="false">Q150-((Q153*1.2)+(Q154*1.2)+(Q155*1.2)+(Q151*1.2))</f>
        <v>36655</v>
      </c>
      <c r="S156" s="154" t="s">
        <v>173</v>
      </c>
      <c r="T156" s="154"/>
      <c r="U156" s="154"/>
      <c r="V156" s="154"/>
      <c r="W156" s="154"/>
      <c r="X156" s="154"/>
      <c r="Y156" s="158" t="n">
        <f aca="false">Y150-((Y153*1.2)+(Y154*1.2)+(Y155*1.2)+(Y151*1.2))</f>
        <v>58535</v>
      </c>
      <c r="Z156" s="164" t="n">
        <f aca="false">Z150-((Z153*1.2)+(Z154*1.2)+(Z155*1.2)+(Z151*1.2))</f>
        <v>44468.749</v>
      </c>
      <c r="AB156" s="154" t="s">
        <v>173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58535</v>
      </c>
      <c r="AI156" s="164" t="n">
        <f aca="false">AI150-((AI153*1.2)+(AI154*1.2)+(AI155*1.2)+(AI151*1.2))</f>
        <v>44468.749</v>
      </c>
    </row>
    <row r="157" customFormat="false" ht="17.35" hidden="false" customHeight="false" outlineLevel="0" collapsed="false">
      <c r="A157" s="154" t="s">
        <v>174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-47945.8333333333</v>
      </c>
      <c r="J157" s="154" t="s">
        <v>174</v>
      </c>
      <c r="K157" s="154"/>
      <c r="L157" s="154"/>
      <c r="M157" s="154"/>
      <c r="N157" s="154"/>
      <c r="O157" s="154"/>
      <c r="P157" s="156"/>
      <c r="Q157" s="40" t="n">
        <f aca="false">Q156-P156</f>
        <v>-21880</v>
      </c>
      <c r="S157" s="154" t="s">
        <v>174</v>
      </c>
      <c r="T157" s="154"/>
      <c r="U157" s="154"/>
      <c r="V157" s="154"/>
      <c r="W157" s="154"/>
      <c r="X157" s="154"/>
      <c r="Y157" s="156"/>
      <c r="Z157" s="40" t="n">
        <f aca="false">Z156-Y156</f>
        <v>-14066.251</v>
      </c>
      <c r="AB157" s="154" t="s">
        <v>174</v>
      </c>
      <c r="AC157" s="154"/>
      <c r="AD157" s="154"/>
      <c r="AE157" s="154"/>
      <c r="AF157" s="154"/>
      <c r="AG157" s="154"/>
      <c r="AH157" s="156"/>
      <c r="AI157" s="40" t="n">
        <f aca="false">AI156-AH156</f>
        <v>-14066.251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175</v>
      </c>
      <c r="B159" s="28"/>
      <c r="C159" s="28"/>
      <c r="D159" s="28"/>
      <c r="E159" s="28"/>
      <c r="F159" s="28"/>
      <c r="G159" s="28"/>
      <c r="H159" s="28"/>
      <c r="J159" s="28" t="s">
        <v>175</v>
      </c>
      <c r="K159" s="28"/>
      <c r="L159" s="28"/>
      <c r="M159" s="28"/>
      <c r="N159" s="28"/>
      <c r="O159" s="28"/>
      <c r="P159" s="28"/>
      <c r="Q159" s="28"/>
      <c r="S159" s="28" t="s">
        <v>175</v>
      </c>
      <c r="T159" s="28"/>
      <c r="U159" s="28"/>
      <c r="V159" s="28"/>
      <c r="W159" s="28"/>
      <c r="X159" s="28"/>
      <c r="Y159" s="28"/>
      <c r="Z159" s="28"/>
      <c r="AB159" s="28" t="s">
        <v>175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176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176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176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176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177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177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177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177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178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178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178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178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179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179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179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179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180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180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180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180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181</v>
      </c>
      <c r="B167" s="32"/>
      <c r="C167" s="32"/>
      <c r="D167" s="23"/>
      <c r="E167" s="32"/>
      <c r="F167" s="23"/>
      <c r="G167" s="170" t="n">
        <f aca="false">H156-G163-G166</f>
        <v>58535</v>
      </c>
      <c r="H167" s="170"/>
      <c r="J167" s="169" t="s">
        <v>181</v>
      </c>
      <c r="K167" s="32"/>
      <c r="L167" s="32"/>
      <c r="M167" s="23"/>
      <c r="N167" s="32"/>
      <c r="O167" s="23"/>
      <c r="P167" s="170" t="n">
        <f aca="false">Q156-P163-P166</f>
        <v>37655</v>
      </c>
      <c r="Q167" s="170"/>
      <c r="S167" s="169" t="s">
        <v>181</v>
      </c>
      <c r="T167" s="32"/>
      <c r="U167" s="32"/>
      <c r="V167" s="23"/>
      <c r="W167" s="32"/>
      <c r="X167" s="23"/>
      <c r="Y167" s="170" t="n">
        <f aca="false">Z156-Y163-Y166</f>
        <v>45468.749</v>
      </c>
      <c r="Z167" s="170"/>
      <c r="AB167" s="169" t="s">
        <v>181</v>
      </c>
      <c r="AC167" s="32"/>
      <c r="AD167" s="32"/>
      <c r="AE167" s="23"/>
      <c r="AF167" s="32"/>
      <c r="AG167" s="23"/>
      <c r="AH167" s="170" t="n">
        <f aca="false">AI156-AH163-AH166</f>
        <v>45468.749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182</v>
      </c>
      <c r="B171" s="28"/>
      <c r="C171" s="28"/>
      <c r="D171" s="28"/>
      <c r="E171" s="28"/>
      <c r="F171" s="28"/>
      <c r="G171" s="28"/>
      <c r="H171" s="28"/>
      <c r="J171" s="28" t="s">
        <v>182</v>
      </c>
      <c r="K171" s="28"/>
      <c r="L171" s="28"/>
      <c r="M171" s="28"/>
      <c r="N171" s="28"/>
      <c r="O171" s="28"/>
      <c r="P171" s="28"/>
      <c r="Q171" s="28"/>
      <c r="S171" s="28" t="s">
        <v>182</v>
      </c>
      <c r="T171" s="28"/>
      <c r="U171" s="28"/>
      <c r="V171" s="28"/>
      <c r="W171" s="28"/>
      <c r="X171" s="28"/>
      <c r="Y171" s="28"/>
      <c r="Z171" s="28"/>
      <c r="AB171" s="28" t="s">
        <v>182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183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183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183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183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184</v>
      </c>
      <c r="B175" s="174" t="s">
        <v>185</v>
      </c>
      <c r="C175" s="174"/>
      <c r="D175" s="174"/>
      <c r="E175" s="174" t="s">
        <v>186</v>
      </c>
      <c r="F175" s="23"/>
      <c r="G175" s="23" t="s">
        <v>187</v>
      </c>
      <c r="H175" s="33"/>
      <c r="J175" s="173" t="s">
        <v>184</v>
      </c>
      <c r="K175" s="175" t="s">
        <v>185</v>
      </c>
      <c r="L175" s="175"/>
      <c r="M175" s="175"/>
      <c r="N175" s="175" t="s">
        <v>186</v>
      </c>
      <c r="O175" s="23"/>
      <c r="P175" s="23"/>
      <c r="Q175" s="33"/>
      <c r="S175" s="173" t="s">
        <v>184</v>
      </c>
      <c r="T175" s="175" t="s">
        <v>185</v>
      </c>
      <c r="U175" s="175"/>
      <c r="V175" s="175"/>
      <c r="W175" s="175" t="s">
        <v>186</v>
      </c>
      <c r="X175" s="23"/>
      <c r="Y175" s="23"/>
      <c r="Z175" s="33"/>
      <c r="AB175" s="173" t="s">
        <v>184</v>
      </c>
      <c r="AC175" s="175" t="s">
        <v>185</v>
      </c>
      <c r="AD175" s="175"/>
      <c r="AE175" s="175"/>
      <c r="AF175" s="175" t="s">
        <v>186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1936.68289399417</v>
      </c>
      <c r="B176" s="177" t="n">
        <f aca="false">B103</f>
        <v>67.03125</v>
      </c>
      <c r="C176" s="174"/>
      <c r="D176" s="174"/>
      <c r="E176" s="177" t="n">
        <f aca="false">B105</f>
        <v>2003.71414399417</v>
      </c>
      <c r="F176" s="23"/>
      <c r="G176" s="23" t="n">
        <f aca="false">ROUND(G104, 2)</f>
        <v>1791.85</v>
      </c>
      <c r="H176" s="33"/>
      <c r="J176" s="176" t="n">
        <f aca="false">K104</f>
        <v>1569.706327631</v>
      </c>
      <c r="K176" s="178" t="n">
        <f aca="false">K103</f>
        <v>0</v>
      </c>
      <c r="L176" s="175"/>
      <c r="M176" s="175"/>
      <c r="N176" s="178" t="n">
        <f aca="false">K105</f>
        <v>1569.706327631</v>
      </c>
      <c r="O176" s="23"/>
      <c r="P176" s="23"/>
      <c r="Q176" s="33"/>
      <c r="S176" s="176" t="n">
        <f aca="false">T104</f>
        <v>1674.61110912406</v>
      </c>
      <c r="T176" s="178" t="n">
        <f aca="false">T103</f>
        <v>0</v>
      </c>
      <c r="U176" s="175"/>
      <c r="V176" s="175"/>
      <c r="W176" s="178" t="n">
        <f aca="false">T105</f>
        <v>1674.61110912406</v>
      </c>
      <c r="X176" s="23"/>
      <c r="Y176" s="23"/>
      <c r="Z176" s="33"/>
      <c r="AB176" s="176" t="n">
        <f aca="false">AC104</f>
        <v>1674.61110912406</v>
      </c>
      <c r="AC176" s="178" t="n">
        <f aca="false">AC103</f>
        <v>0</v>
      </c>
      <c r="AD176" s="175"/>
      <c r="AE176" s="175"/>
      <c r="AF176" s="178" t="n">
        <f aca="false">AC105</f>
        <v>1674.61110912406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83</v>
      </c>
      <c r="B178" s="93" t="s">
        <v>84</v>
      </c>
      <c r="C178" s="93"/>
      <c r="D178" s="23"/>
      <c r="E178" s="93" t="s">
        <v>188</v>
      </c>
      <c r="F178" s="23"/>
      <c r="G178" s="23"/>
      <c r="H178" s="33"/>
      <c r="J178" s="31" t="s">
        <v>83</v>
      </c>
      <c r="K178" s="32" t="s">
        <v>84</v>
      </c>
      <c r="L178" s="32"/>
      <c r="M178" s="23"/>
      <c r="N178" s="32" t="s">
        <v>188</v>
      </c>
      <c r="O178" s="23"/>
      <c r="P178" s="23"/>
      <c r="Q178" s="33"/>
      <c r="S178" s="31" t="s">
        <v>83</v>
      </c>
      <c r="T178" s="32" t="s">
        <v>84</v>
      </c>
      <c r="U178" s="32"/>
      <c r="V178" s="23"/>
      <c r="W178" s="32" t="s">
        <v>188</v>
      </c>
      <c r="X178" s="23"/>
      <c r="Y178" s="23"/>
      <c r="Z178" s="33"/>
      <c r="AB178" s="31" t="s">
        <v>83</v>
      </c>
      <c r="AC178" s="32" t="s">
        <v>84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33</v>
      </c>
      <c r="B179" s="180" t="str">
        <f aca="false">K30</f>
        <v>5000</v>
      </c>
      <c r="C179" s="181"/>
      <c r="D179" s="23"/>
      <c r="E179" s="182" t="n">
        <f aca="false">B91</f>
        <v>6000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93" t="s">
        <v>190</v>
      </c>
      <c r="C181" s="93"/>
      <c r="D181" s="23"/>
      <c r="E181" s="93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48237.5</v>
      </c>
      <c r="B182" s="103" t="n">
        <f aca="false">H146</f>
        <v>9647.5</v>
      </c>
      <c r="C182" s="186"/>
      <c r="D182" s="23"/>
      <c r="E182" s="182" t="n">
        <f aca="false">H148+H149</f>
        <v>650</v>
      </c>
      <c r="F182" s="23"/>
      <c r="G182" s="23"/>
      <c r="H182" s="33"/>
      <c r="J182" s="185" t="n">
        <f aca="false">Q150-Q146-Q148-Q149</f>
        <v>30012.5</v>
      </c>
      <c r="K182" s="38" t="n">
        <f aca="false">Q146</f>
        <v>6002.5</v>
      </c>
      <c r="L182" s="43"/>
      <c r="M182" s="23"/>
      <c r="N182" s="184" t="n">
        <f aca="false">Q148+Q149</f>
        <v>640</v>
      </c>
      <c r="O182" s="23"/>
      <c r="P182" s="23"/>
      <c r="Q182" s="33"/>
      <c r="S182" s="185" t="n">
        <f aca="false">Z150-Z146-Z148-Z149</f>
        <v>36523.9575</v>
      </c>
      <c r="T182" s="38" t="n">
        <f aca="false">Z146</f>
        <v>7304.7915</v>
      </c>
      <c r="U182" s="43"/>
      <c r="V182" s="23"/>
      <c r="W182" s="184" t="n">
        <f aca="false">Z148+Z149</f>
        <v>640</v>
      </c>
      <c r="X182" s="23"/>
      <c r="Y182" s="23"/>
      <c r="Z182" s="33"/>
      <c r="AB182" s="185" t="n">
        <f aca="false">AI150-AI146-AI148-AI149</f>
        <v>36523.9575</v>
      </c>
      <c r="AC182" s="38" t="n">
        <f aca="false">AI146</f>
        <v>7304.7915</v>
      </c>
      <c r="AD182" s="43"/>
      <c r="AE182" s="23"/>
      <c r="AF182" s="184" t="n">
        <f aca="false">AI148+AI149</f>
        <v>640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93" t="s">
        <v>138</v>
      </c>
      <c r="C184" s="93"/>
      <c r="D184" s="23"/>
      <c r="E184" s="93" t="s">
        <v>139</v>
      </c>
      <c r="F184" s="23"/>
      <c r="G184" s="23"/>
      <c r="H184" s="33"/>
      <c r="J184" s="31" t="s">
        <v>192</v>
      </c>
      <c r="K184" s="32" t="s">
        <v>138</v>
      </c>
      <c r="L184" s="32"/>
      <c r="M184" s="23"/>
      <c r="N184" s="32" t="s">
        <v>139</v>
      </c>
      <c r="O184" s="23"/>
      <c r="P184" s="23"/>
      <c r="Q184" s="33"/>
      <c r="S184" s="31" t="s">
        <v>192</v>
      </c>
      <c r="T184" s="32" t="s">
        <v>138</v>
      </c>
      <c r="U184" s="32"/>
      <c r="V184" s="23"/>
      <c r="W184" s="32" t="s">
        <v>139</v>
      </c>
      <c r="X184" s="23"/>
      <c r="Y184" s="23"/>
      <c r="Z184" s="33"/>
      <c r="AB184" s="31" t="s">
        <v>192</v>
      </c>
      <c r="AC184" s="32" t="s">
        <v>138</v>
      </c>
      <c r="AD184" s="32"/>
      <c r="AE184" s="23"/>
      <c r="AF184" s="32" t="s">
        <v>139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58535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36655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44468.749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44468.749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140</v>
      </c>
      <c r="B187" s="93" t="s">
        <v>176</v>
      </c>
      <c r="C187" s="93"/>
      <c r="D187" s="23"/>
      <c r="E187" s="93" t="s">
        <v>181</v>
      </c>
      <c r="F187" s="23"/>
      <c r="G187" s="23"/>
      <c r="H187" s="33"/>
      <c r="J187" s="31" t="s">
        <v>140</v>
      </c>
      <c r="K187" s="32" t="s">
        <v>176</v>
      </c>
      <c r="L187" s="32"/>
      <c r="M187" s="23"/>
      <c r="N187" s="32" t="s">
        <v>181</v>
      </c>
      <c r="O187" s="23"/>
      <c r="P187" s="23"/>
      <c r="Q187" s="33"/>
      <c r="S187" s="31" t="s">
        <v>140</v>
      </c>
      <c r="T187" s="32" t="s">
        <v>176</v>
      </c>
      <c r="U187" s="32"/>
      <c r="V187" s="23"/>
      <c r="W187" s="32" t="s">
        <v>181</v>
      </c>
      <c r="X187" s="23"/>
      <c r="Y187" s="23"/>
      <c r="Z187" s="33"/>
      <c r="AB187" s="31" t="s">
        <v>140</v>
      </c>
      <c r="AC187" s="32" t="s">
        <v>176</v>
      </c>
      <c r="AD187" s="32"/>
      <c r="AE187" s="23"/>
      <c r="AF187" s="32" t="s">
        <v>181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58535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37655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45468.749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45468.749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93" t="s">
        <v>53</v>
      </c>
      <c r="C190" s="93"/>
      <c r="D190" s="23"/>
      <c r="E190" s="93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9438.8526078134</v>
      </c>
      <c r="B191" s="103" t="str">
        <f aca="false">B123</f>
        <v>199.99</v>
      </c>
      <c r="C191" s="103"/>
      <c r="D191" s="23"/>
      <c r="E191" s="103" t="n">
        <f aca="false">E188+A191+(B191*1.2)+A194</f>
        <v>68223.8406078134</v>
      </c>
      <c r="F191" s="23"/>
      <c r="G191" s="23"/>
      <c r="H191" s="105"/>
      <c r="J191" s="111" t="n">
        <f aca="false">(J176*K68)+N194-N188-J194</f>
        <v>12587.602484192</v>
      </c>
      <c r="K191" s="38" t="n">
        <f aca="false">K123</f>
        <v>239.99</v>
      </c>
      <c r="L191" s="38"/>
      <c r="M191" s="23"/>
      <c r="N191" s="38" t="n">
        <f aca="false">N188+J191+K191+J194</f>
        <v>50502.592484192</v>
      </c>
      <c r="O191" s="23"/>
      <c r="P191" s="23"/>
      <c r="Q191" s="105"/>
      <c r="S191" s="111" t="n">
        <f aca="false">(S176*T68)+W194-W188-S194</f>
        <v>8130.80649196992</v>
      </c>
      <c r="T191" s="38" t="n">
        <f aca="false">T123</f>
        <v>199.99</v>
      </c>
      <c r="U191" s="38"/>
      <c r="V191" s="23"/>
      <c r="W191" s="38" t="n">
        <f aca="false">W188+S191+T191+S194</f>
        <v>53809.5454919699</v>
      </c>
      <c r="X191" s="23"/>
      <c r="Y191" s="23"/>
      <c r="Z191" s="105"/>
      <c r="AB191" s="111" t="n">
        <f aca="false">(AB176*AC68)+AF194-AF188-AB194</f>
        <v>8130.80649196992</v>
      </c>
      <c r="AC191" s="38" t="n">
        <f aca="false">AC123</f>
        <v>239.99</v>
      </c>
      <c r="AD191" s="38"/>
      <c r="AE191" s="23"/>
      <c r="AF191" s="38" t="n">
        <f aca="false">AF188+AB191+AC191+AB194</f>
        <v>53849.5454919699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93" t="s">
        <v>196</v>
      </c>
      <c r="C193" s="93"/>
      <c r="D193" s="23"/>
      <c r="E193" s="93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93" t="s">
        <v>199</v>
      </c>
      <c r="C196" s="93"/>
      <c r="D196" s="93"/>
      <c r="E196" s="166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11.577</v>
      </c>
      <c r="B197" s="103" t="n">
        <f aca="false">(G167*B76)/1.2</f>
        <v>457.3046875</v>
      </c>
      <c r="C197" s="93"/>
      <c r="D197" s="93"/>
      <c r="E197" s="103" t="n">
        <f aca="false">IF(E114="YES",(K55*A117*0.1), 0)</f>
        <v>49.5</v>
      </c>
      <c r="F197" s="23"/>
      <c r="G197" s="23"/>
      <c r="H197" s="33"/>
      <c r="J197" s="111" t="n">
        <f aca="false">IF(N114="YES", H15*0.000002, 0)</f>
        <v>0.11707</v>
      </c>
      <c r="K197" s="38" t="n">
        <f aca="false">(P167*K76)/1.2</f>
        <v>2255.37760416667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355.2246015625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355.2246015625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6" t="s">
        <v>202</v>
      </c>
      <c r="C199" s="93"/>
      <c r="D199" s="93"/>
      <c r="E199" s="166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606.7946875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3395.36760416667</v>
      </c>
      <c r="L200" s="32"/>
      <c r="M200" s="32"/>
      <c r="N200" s="38" t="n">
        <f aca="false">Q157</f>
        <v>-21880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1455.2146015625</v>
      </c>
      <c r="U200" s="32"/>
      <c r="V200" s="32"/>
      <c r="W200" s="38" t="n">
        <f aca="false">Z157</f>
        <v>-14066.251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1495.2146015625</v>
      </c>
      <c r="AD200" s="32"/>
      <c r="AE200" s="32"/>
      <c r="AF200" s="38" t="n">
        <f aca="false">AI157</f>
        <v>-14066.251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93"/>
      <c r="C202" s="93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83</v>
      </c>
      <c r="B204" s="71" t="s">
        <v>84</v>
      </c>
      <c r="C204" s="71"/>
      <c r="D204" s="71"/>
      <c r="E204" s="23"/>
      <c r="F204" s="23"/>
      <c r="G204" s="23"/>
      <c r="H204" s="33"/>
      <c r="J204" s="187" t="s">
        <v>83</v>
      </c>
      <c r="K204" s="188" t="s">
        <v>84</v>
      </c>
      <c r="L204" s="188"/>
      <c r="M204" s="188"/>
      <c r="N204" s="23"/>
      <c r="O204" s="23"/>
      <c r="P204" s="23"/>
      <c r="Q204" s="33"/>
      <c r="S204" s="187" t="s">
        <v>83</v>
      </c>
      <c r="T204" s="71" t="s">
        <v>84</v>
      </c>
      <c r="U204" s="71"/>
      <c r="V204" s="71"/>
      <c r="W204" s="23"/>
      <c r="X204" s="23"/>
      <c r="Y204" s="23"/>
      <c r="Z204" s="33"/>
      <c r="AB204" s="187" t="s">
        <v>83</v>
      </c>
      <c r="AC204" s="71" t="s">
        <v>84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2003.71414399417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1569.706327631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1674.61110912406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1674.61110912406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205</v>
      </c>
      <c r="B209" s="93" t="s">
        <v>206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ROUND(((G176*B68)+E194-E188-A194),2)</f>
        <v>4804.2</v>
      </c>
      <c r="B210" s="186" t="n">
        <f aca="false">ROUND((E188+A210+(B191*1.2)+A194),2)</f>
        <v>63589.19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182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127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207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184</v>
      </c>
      <c r="B220" s="192" t="s">
        <v>185</v>
      </c>
      <c r="C220" s="192"/>
      <c r="D220" s="192"/>
      <c r="E220" s="192" t="s">
        <v>186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1936.68289399417</v>
      </c>
      <c r="B221" s="177" t="n">
        <f aca="false">B176</f>
        <v>67.03125</v>
      </c>
      <c r="C221" s="174"/>
      <c r="D221" s="174"/>
      <c r="E221" s="177" t="n">
        <f aca="false">E176</f>
        <v>2003.71414399417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189</v>
      </c>
      <c r="B223" s="93" t="s">
        <v>190</v>
      </c>
      <c r="C223" s="93"/>
      <c r="D223" s="113"/>
      <c r="E223" s="93" t="s">
        <v>191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48237.5</v>
      </c>
      <c r="B224" s="103" t="n">
        <f aca="false">B182</f>
        <v>9647.5</v>
      </c>
      <c r="C224" s="186"/>
      <c r="D224" s="113"/>
      <c r="E224" s="182" t="n">
        <f aca="false">E182</f>
        <v>650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192</v>
      </c>
      <c r="B226" s="93" t="s">
        <v>138</v>
      </c>
      <c r="C226" s="93"/>
      <c r="D226" s="113"/>
      <c r="E226" s="93" t="s">
        <v>139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58535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140</v>
      </c>
      <c r="B229" s="93" t="s">
        <v>176</v>
      </c>
      <c r="C229" s="93"/>
      <c r="D229" s="113"/>
      <c r="E229" s="93" t="s">
        <v>181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58535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193</v>
      </c>
      <c r="B232" s="93" t="s">
        <v>53</v>
      </c>
      <c r="C232" s="93"/>
      <c r="D232" s="113"/>
      <c r="E232" s="93" t="s">
        <v>194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9438.8526078134</v>
      </c>
      <c r="B233" s="103" t="str">
        <f aca="false">B191</f>
        <v>199.99</v>
      </c>
      <c r="C233" s="103"/>
      <c r="D233" s="113"/>
      <c r="E233" s="103" t="n">
        <f aca="false">E191</f>
        <v>68223.8406078134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195</v>
      </c>
      <c r="B235" s="93" t="s">
        <v>196</v>
      </c>
      <c r="C235" s="93"/>
      <c r="D235" s="113"/>
      <c r="E235" s="93" t="s">
        <v>208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184</v>
      </c>
      <c r="B238" s="93" t="s">
        <v>185</v>
      </c>
      <c r="C238" s="93"/>
      <c r="D238" s="93"/>
      <c r="E238" s="93" t="s">
        <v>186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1936.68289399417</v>
      </c>
      <c r="B239" s="103" t="n">
        <f aca="false">B176</f>
        <v>67.03125</v>
      </c>
      <c r="C239" s="186"/>
      <c r="D239" s="186"/>
      <c r="E239" s="103" t="n">
        <f aca="false">E176</f>
        <v>2003.71414399417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209</v>
      </c>
      <c r="B241" s="93" t="s">
        <v>210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34.731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211</v>
      </c>
      <c r="B244" s="166" t="s">
        <v>73</v>
      </c>
      <c r="C244" s="93"/>
      <c r="D244" s="93"/>
      <c r="E244" s="166" t="s">
        <v>132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11.577</v>
      </c>
      <c r="B245" s="103" t="n">
        <f aca="false">E242+A245</f>
        <v>46.308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212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213</v>
      </c>
      <c r="B248" s="93" t="s">
        <v>199</v>
      </c>
      <c r="C248" s="93"/>
      <c r="D248" s="93"/>
      <c r="E248" s="166" t="s">
        <v>200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457.3046875</v>
      </c>
      <c r="C249" s="93"/>
      <c r="D249" s="93"/>
      <c r="E249" s="103" t="n">
        <f aca="false">E197</f>
        <v>49.5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201</v>
      </c>
      <c r="B251" s="166" t="s">
        <v>202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606.7946875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214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215</v>
      </c>
      <c r="B262" s="196" t="n">
        <f aca="false">B72</f>
        <v>0.065</v>
      </c>
      <c r="C262" s="197"/>
      <c r="D262" s="198" t="s">
        <v>216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217</v>
      </c>
      <c r="B263" s="200" t="n">
        <f aca="false">(E191-B191)-(B210-B191-A194)</f>
        <v>4644.65060781339</v>
      </c>
      <c r="C263" s="197"/>
      <c r="D263" s="198" t="s">
        <v>218</v>
      </c>
      <c r="E263" s="198"/>
      <c r="F263" s="200" t="n">
        <f aca="false">F270+F276+F278+B279+B280</f>
        <v>548.765625</v>
      </c>
      <c r="G263" s="23"/>
      <c r="H263" s="33"/>
    </row>
    <row r="264" customFormat="false" ht="17.35" hidden="false" customHeight="false" outlineLevel="0" collapsed="false">
      <c r="A264" s="191" t="s">
        <v>219</v>
      </c>
      <c r="B264" s="200" t="n">
        <f aca="false">F271+B272</f>
        <v>594.99</v>
      </c>
      <c r="C264" s="197"/>
      <c r="D264" s="198" t="s">
        <v>220</v>
      </c>
      <c r="E264" s="198"/>
      <c r="F264" s="200" t="n">
        <f aca="false">(B263-F263)+B264</f>
        <v>4690.87498281339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215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221</v>
      </c>
      <c r="B268" s="205" t="n">
        <f aca="false">B73</f>
        <v>0.05</v>
      </c>
      <c r="C268" s="32"/>
      <c r="D268" s="166" t="s">
        <v>222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216</v>
      </c>
      <c r="B269" s="209" t="n">
        <f aca="false">B92</f>
        <v>0.115</v>
      </c>
      <c r="C269" s="43"/>
      <c r="D269" s="166" t="s">
        <v>217</v>
      </c>
      <c r="E269" s="166"/>
      <c r="F269" s="146" t="n">
        <f aca="false">B263</f>
        <v>4644.65060781339</v>
      </c>
      <c r="G269" s="23"/>
      <c r="H269" s="33"/>
    </row>
    <row r="270" customFormat="false" ht="17.35" hidden="false" customHeight="false" outlineLevel="0" collapsed="false">
      <c r="A270" s="31" t="s">
        <v>223</v>
      </c>
      <c r="B270" s="209" t="n">
        <f aca="false">B76</f>
        <v>0.009375</v>
      </c>
      <c r="C270" s="32"/>
      <c r="D270" s="166" t="s">
        <v>223</v>
      </c>
      <c r="E270" s="166"/>
      <c r="F270" s="151" t="n">
        <f aca="false">B77</f>
        <v>548.765625</v>
      </c>
      <c r="G270" s="23"/>
      <c r="H270" s="33"/>
    </row>
    <row r="271" customFormat="false" ht="17.35" hidden="false" customHeight="false" outlineLevel="0" collapsed="false">
      <c r="A271" s="31" t="s">
        <v>224</v>
      </c>
      <c r="B271" s="205" t="n">
        <f aca="false">A117</f>
        <v>0.3</v>
      </c>
      <c r="C271" s="32"/>
      <c r="D271" s="166" t="s">
        <v>224</v>
      </c>
      <c r="E271" s="166"/>
      <c r="F271" s="146" t="n">
        <f aca="false">E249*10</f>
        <v>495</v>
      </c>
      <c r="G271" s="23"/>
      <c r="H271" s="33"/>
    </row>
    <row r="272" customFormat="false" ht="17.35" hidden="false" customHeight="false" outlineLevel="0" collapsed="false">
      <c r="A272" s="31" t="s">
        <v>225</v>
      </c>
      <c r="B272" s="146" t="n">
        <f aca="false">A252</f>
        <v>99.99</v>
      </c>
      <c r="C272" s="32"/>
      <c r="D272" s="39" t="s">
        <v>220</v>
      </c>
      <c r="E272" s="39"/>
      <c r="F272" s="146" t="n">
        <f aca="false">(B263-F263)+B264</f>
        <v>4690.87498281339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226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227</v>
      </c>
      <c r="B275" s="151" t="n">
        <v>0</v>
      </c>
      <c r="C275" s="32"/>
      <c r="D275" s="210" t="s">
        <v>228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229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230</v>
      </c>
      <c r="B277" s="211" t="s">
        <v>4</v>
      </c>
      <c r="C277" s="32"/>
      <c r="D277" s="166" t="s">
        <v>231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232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233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234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7" colorId="64" zoomScale="85" zoomScaleNormal="85" zoomScalePageLayoutView="100" workbookViewId="0">
      <selection pane="topLeft" activeCell="A38" activeCellId="0" sqref="A3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145</v>
      </c>
      <c r="C2" s="439"/>
      <c r="D2" s="439" t="s">
        <v>146</v>
      </c>
      <c r="E2" s="439"/>
      <c r="F2" s="439" t="s">
        <v>147</v>
      </c>
      <c r="G2" s="439"/>
      <c r="H2" s="440" t="s">
        <v>148</v>
      </c>
      <c r="I2" s="2"/>
      <c r="J2" s="2"/>
    </row>
    <row r="3" customFormat="false" ht="17.35" hidden="false" customHeight="false" outlineLevel="0" collapsed="false">
      <c r="A3" s="31" t="s">
        <v>151</v>
      </c>
      <c r="B3" s="441" t="n">
        <v>17895.0</v>
      </c>
      <c r="C3" s="441"/>
      <c r="D3" s="441" t="n">
        <v>0.0</v>
      </c>
      <c r="E3" s="441"/>
      <c r="F3" s="441" t="n">
        <v>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152</v>
      </c>
      <c r="B4" s="492" t="n">
        <v>0.0</v>
      </c>
      <c r="C4" s="492"/>
      <c r="D4" s="493" t="n">
        <v>0.0</v>
      </c>
      <c r="E4" s="493"/>
      <c r="F4" s="493" t="n">
        <v>0.0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153</v>
      </c>
      <c r="B5" s="441" t="n">
        <v>0.0</v>
      </c>
      <c r="C5" s="441"/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154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155</v>
      </c>
      <c r="B7" s="155" t="n">
        <f aca="false">B3-B6</f>
        <v>46854.17</v>
      </c>
      <c r="C7" s="155"/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163</v>
      </c>
      <c r="B9" s="152" t="n">
        <v>23125</v>
      </c>
      <c r="C9" s="152"/>
      <c r="D9" s="152"/>
      <c r="E9" s="152"/>
      <c r="F9" s="152"/>
      <c r="G9" s="139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164</v>
      </c>
      <c r="B10" s="154"/>
      <c r="C10" s="154"/>
      <c r="D10" s="154"/>
      <c r="E10" s="154"/>
      <c r="F10" s="154"/>
      <c r="G10" s="156"/>
      <c r="H10" s="442" t="n">
        <v>695.0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165</v>
      </c>
      <c r="B11" s="154" t="n">
        <v>0</v>
      </c>
      <c r="C11" s="154"/>
      <c r="D11" s="154"/>
      <c r="E11" s="154"/>
      <c r="F11" s="154"/>
      <c r="G11" s="156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166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167</v>
      </c>
      <c r="B13" s="154" t="n">
        <v>0</v>
      </c>
      <c r="C13" s="154"/>
      <c r="D13" s="154"/>
      <c r="E13" s="154"/>
      <c r="F13" s="154"/>
      <c r="G13" s="156"/>
      <c r="H13" s="442" t="n">
        <v>290.0</v>
      </c>
      <c r="I13" s="2"/>
      <c r="J13" s="2"/>
    </row>
    <row r="14" customFormat="false" ht="17.35" hidden="false" customHeight="false" outlineLevel="0" collapsed="false">
      <c r="A14" s="154" t="s">
        <v>168</v>
      </c>
      <c r="B14" s="154"/>
      <c r="C14" s="154"/>
      <c r="D14" s="154"/>
      <c r="E14" s="154"/>
      <c r="F14" s="154"/>
      <c r="G14" s="156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169</v>
      </c>
      <c r="B15" s="154"/>
      <c r="C15" s="154"/>
      <c r="D15" s="154"/>
      <c r="E15" s="154"/>
      <c r="F15" s="154"/>
      <c r="G15" s="156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170</v>
      </c>
      <c r="B16" s="154"/>
      <c r="C16" s="154"/>
      <c r="D16" s="154"/>
      <c r="E16" s="154"/>
      <c r="F16" s="154"/>
      <c r="G16" s="156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171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172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172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172</v>
      </c>
      <c r="C20" s="161"/>
      <c r="D20" s="161"/>
      <c r="E20" s="161"/>
      <c r="F20" s="161"/>
      <c r="G20" s="39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173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400</v>
      </c>
      <c r="B34" s="32"/>
      <c r="C34" s="41" t="s">
        <v>401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H15</f>
        <v>58535</v>
      </c>
      <c r="B37" s="32"/>
      <c r="C37" s="41" t="s">
        <v>399</v>
      </c>
      <c r="D37" s="41"/>
      <c r="E37" s="32"/>
      <c r="F37" s="43" t="n">
        <f aca="false">A37-C37</f>
        <v>57535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394</v>
      </c>
      <c r="B40" s="32"/>
      <c r="C40" s="54" t="n">
        <f aca="false">A34-1</f>
        <v>32</v>
      </c>
      <c r="D40" s="54"/>
      <c r="E40" s="32"/>
      <c r="F40" s="41" t="s">
        <v>393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237.954545454545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71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72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73</v>
      </c>
      <c r="B48" s="43"/>
      <c r="C48" s="43"/>
      <c r="D48" s="43"/>
      <c r="E48" s="43"/>
      <c r="F48" s="43"/>
      <c r="G48" s="43"/>
      <c r="H48" s="47"/>
      <c r="J48" s="55" t="s">
        <v>74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75</v>
      </c>
      <c r="K49" s="2" t="n">
        <f aca="false">K45+K48+K47</f>
        <v>238.924242424242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76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77</v>
      </c>
      <c r="B52" s="32"/>
      <c r="C52" s="32" t="s">
        <v>78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79</v>
      </c>
      <c r="K53" s="64" t="s">
        <v>421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81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82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83</v>
      </c>
      <c r="B58" s="71" t="s">
        <v>84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238.924242424242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85</v>
      </c>
      <c r="B67" s="32" t="n">
        <v>1</v>
      </c>
      <c r="C67" s="32"/>
      <c r="D67" s="32"/>
      <c r="E67" s="23"/>
      <c r="F67" s="23"/>
      <c r="G67" s="23"/>
      <c r="H67" s="33"/>
      <c r="J67" s="31" t="s">
        <v>85</v>
      </c>
      <c r="K67" s="32" t="n">
        <v>1</v>
      </c>
      <c r="L67" s="32"/>
      <c r="M67" s="32"/>
      <c r="N67" s="23"/>
      <c r="O67" s="23"/>
      <c r="P67" s="23"/>
      <c r="Q67" s="33"/>
      <c r="S67" s="31" t="s">
        <v>85</v>
      </c>
      <c r="T67" s="32" t="n">
        <v>1</v>
      </c>
      <c r="U67" s="32"/>
      <c r="V67" s="32"/>
      <c r="W67" s="23"/>
      <c r="X67" s="23"/>
      <c r="Y67" s="23"/>
      <c r="Z67" s="33"/>
      <c r="AB67" s="31" t="s">
        <v>85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86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86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86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86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87</v>
      </c>
      <c r="B69" s="77" t="n">
        <v>10.0</v>
      </c>
      <c r="C69" s="32"/>
      <c r="D69" s="32"/>
      <c r="E69" s="23"/>
      <c r="F69" s="23"/>
      <c r="G69" s="23"/>
      <c r="H69" s="33"/>
      <c r="J69" s="76" t="s">
        <v>87</v>
      </c>
      <c r="K69" s="77" t="n">
        <v>20</v>
      </c>
      <c r="L69" s="32"/>
      <c r="M69" s="32"/>
      <c r="N69" s="23"/>
      <c r="O69" s="23"/>
      <c r="P69" s="23"/>
      <c r="Q69" s="33"/>
      <c r="S69" s="76" t="s">
        <v>87</v>
      </c>
      <c r="T69" s="77" t="n">
        <v>10</v>
      </c>
      <c r="U69" s="32"/>
      <c r="V69" s="32"/>
      <c r="W69" s="23"/>
      <c r="X69" s="23"/>
      <c r="Y69" s="23"/>
      <c r="Z69" s="33"/>
      <c r="AB69" s="76" t="s">
        <v>87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88</v>
      </c>
      <c r="B71" s="79" t="n">
        <v>0.0</v>
      </c>
      <c r="C71" s="32"/>
      <c r="D71" s="32"/>
      <c r="E71" s="23"/>
      <c r="F71" s="23"/>
      <c r="G71" s="23"/>
      <c r="H71" s="33"/>
      <c r="J71" s="78" t="s">
        <v>88</v>
      </c>
      <c r="K71" s="79" t="n">
        <v>0.06</v>
      </c>
      <c r="L71" s="32"/>
      <c r="M71" s="32"/>
      <c r="N71" s="23"/>
      <c r="O71" s="23"/>
      <c r="P71" s="23"/>
      <c r="Q71" s="33"/>
      <c r="S71" s="78" t="s">
        <v>88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88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89</v>
      </c>
      <c r="B72" s="81" t="n">
        <v>0.065</v>
      </c>
      <c r="C72" s="32"/>
      <c r="D72" s="32"/>
      <c r="E72" s="23"/>
      <c r="F72" s="23"/>
      <c r="G72" s="23"/>
      <c r="H72" s="33"/>
      <c r="J72" s="80" t="s">
        <v>89</v>
      </c>
      <c r="K72" s="81" t="n">
        <v>0.08</v>
      </c>
      <c r="L72" s="32"/>
      <c r="M72" s="32"/>
      <c r="N72" s="23"/>
      <c r="O72" s="23"/>
      <c r="P72" s="23"/>
      <c r="Q72" s="33"/>
      <c r="S72" s="80" t="s">
        <v>89</v>
      </c>
      <c r="T72" s="81" t="n">
        <v>0.059</v>
      </c>
      <c r="U72" s="32"/>
      <c r="V72" s="32"/>
      <c r="W72" s="23"/>
      <c r="X72" s="23"/>
      <c r="Y72" s="23"/>
      <c r="Z72" s="33"/>
      <c r="AB72" s="80" t="s">
        <v>89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90</v>
      </c>
      <c r="B73" s="83" t="n">
        <v>0.05</v>
      </c>
      <c r="C73" s="32"/>
      <c r="D73" s="32"/>
      <c r="E73" s="23"/>
      <c r="F73" s="23"/>
      <c r="G73" s="23"/>
      <c r="H73" s="33"/>
      <c r="J73" s="82" t="s">
        <v>90</v>
      </c>
      <c r="K73" s="83" t="n">
        <v>0.1</v>
      </c>
      <c r="L73" s="32"/>
      <c r="M73" s="32"/>
      <c r="N73" s="23"/>
      <c r="O73" s="23"/>
      <c r="P73" s="23"/>
      <c r="Q73" s="33"/>
      <c r="S73" s="82" t="s">
        <v>90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90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91</v>
      </c>
      <c r="B74" s="65" t="n">
        <f aca="false">(B98*B68)-(K47*K29)</f>
        <v>61961.8526078134</v>
      </c>
      <c r="C74" s="32"/>
      <c r="D74" s="32"/>
      <c r="E74" s="23"/>
      <c r="F74" s="23"/>
      <c r="G74" s="23"/>
      <c r="H74" s="33"/>
      <c r="J74" s="56" t="s">
        <v>91</v>
      </c>
      <c r="K74" s="65" t="n">
        <f aca="false">(K98*K68)-(K47*K29)</f>
        <v>50218.602484192</v>
      </c>
      <c r="L74" s="32"/>
      <c r="M74" s="32"/>
      <c r="N74" s="23"/>
      <c r="O74" s="23"/>
      <c r="P74" s="23"/>
      <c r="Q74" s="33"/>
      <c r="S74" s="56" t="s">
        <v>91</v>
      </c>
      <c r="T74" s="65" t="n">
        <f aca="false">(T98*T68)-(K47*K29)</f>
        <v>53575.5554919699</v>
      </c>
      <c r="U74" s="32"/>
      <c r="V74" s="32"/>
      <c r="W74" s="23"/>
      <c r="X74" s="23"/>
      <c r="Y74" s="23"/>
      <c r="Z74" s="33"/>
      <c r="AB74" s="56" t="s">
        <v>91</v>
      </c>
      <c r="AC74" s="65" t="n">
        <f aca="false">(AC98*AC68)-(K47*K29)</f>
        <v>53575.5554919699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92</v>
      </c>
      <c r="B75" s="79" t="n">
        <v>0.005</v>
      </c>
      <c r="C75" s="32"/>
      <c r="D75" s="32"/>
      <c r="E75" s="23"/>
      <c r="F75" s="23"/>
      <c r="G75" s="23"/>
      <c r="H75" s="33"/>
      <c r="J75" s="78" t="s">
        <v>92</v>
      </c>
      <c r="K75" s="79" t="n">
        <v>0.05</v>
      </c>
      <c r="L75" s="32"/>
      <c r="M75" s="32"/>
      <c r="N75" s="23"/>
      <c r="O75" s="23"/>
      <c r="P75" s="23"/>
      <c r="Q75" s="33"/>
      <c r="S75" s="78" t="s">
        <v>92</v>
      </c>
      <c r="T75" s="79" t="n">
        <v>0.005</v>
      </c>
      <c r="U75" s="32"/>
      <c r="V75" s="32"/>
      <c r="W75" s="23"/>
      <c r="X75" s="23"/>
      <c r="Y75" s="23"/>
      <c r="Z75" s="33"/>
      <c r="AB75" s="78" t="s">
        <v>92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93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93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93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93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94</v>
      </c>
      <c r="B77" s="65" t="n">
        <f aca="false">(G167*B76)</f>
        <v>548.765625</v>
      </c>
      <c r="C77" s="32"/>
      <c r="D77" s="32"/>
      <c r="E77" s="23"/>
      <c r="F77" s="23"/>
      <c r="G77" s="23"/>
      <c r="H77" s="33"/>
      <c r="J77" s="56" t="s">
        <v>94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94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94</v>
      </c>
      <c r="AC77" s="65" t="n">
        <f aca="false">AH167*AC76</f>
        <v>426.269521875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95</v>
      </c>
      <c r="B78" s="79" t="n">
        <v>0.0</v>
      </c>
      <c r="C78" s="32"/>
      <c r="D78" s="32"/>
      <c r="E78" s="23"/>
      <c r="F78" s="23"/>
      <c r="G78" s="23"/>
      <c r="H78" s="33"/>
      <c r="J78" s="78" t="s">
        <v>95</v>
      </c>
      <c r="K78" s="79" t="n">
        <v>0</v>
      </c>
      <c r="L78" s="32"/>
      <c r="M78" s="32"/>
      <c r="N78" s="23"/>
      <c r="O78" s="23"/>
      <c r="P78" s="23"/>
      <c r="Q78" s="33"/>
      <c r="S78" s="78" t="s">
        <v>95</v>
      </c>
      <c r="T78" s="79" t="n">
        <v>0</v>
      </c>
      <c r="U78" s="32"/>
      <c r="V78" s="32"/>
      <c r="W78" s="23"/>
      <c r="X78" s="23"/>
      <c r="Y78" s="23"/>
      <c r="Z78" s="33"/>
      <c r="AB78" s="78" t="s">
        <v>95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96</v>
      </c>
      <c r="B79" s="81" t="n">
        <v>0.0</v>
      </c>
      <c r="C79" s="32"/>
      <c r="D79" s="32"/>
      <c r="E79" s="23"/>
      <c r="F79" s="23"/>
      <c r="G79" s="23"/>
      <c r="H79" s="33"/>
      <c r="J79" s="80" t="s">
        <v>96</v>
      </c>
      <c r="K79" s="81" t="n">
        <v>0</v>
      </c>
      <c r="L79" s="32"/>
      <c r="M79" s="32"/>
      <c r="N79" s="23"/>
      <c r="O79" s="23"/>
      <c r="P79" s="23"/>
      <c r="Q79" s="33"/>
      <c r="S79" s="80" t="s">
        <v>96</v>
      </c>
      <c r="T79" s="81" t="n">
        <v>0</v>
      </c>
      <c r="U79" s="32"/>
      <c r="V79" s="32"/>
      <c r="W79" s="23"/>
      <c r="X79" s="23"/>
      <c r="Y79" s="23"/>
      <c r="Z79" s="33"/>
      <c r="AB79" s="80" t="s">
        <v>96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97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97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97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97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98</v>
      </c>
      <c r="B81" s="86" t="n">
        <v>0.0</v>
      </c>
      <c r="C81" s="32"/>
      <c r="D81" s="32"/>
      <c r="E81" s="23"/>
      <c r="F81" s="23"/>
      <c r="G81" s="23"/>
      <c r="H81" s="33"/>
      <c r="J81" s="78" t="s">
        <v>98</v>
      </c>
      <c r="K81" s="86" t="n">
        <v>0</v>
      </c>
      <c r="L81" s="32"/>
      <c r="M81" s="32"/>
      <c r="N81" s="23"/>
      <c r="O81" s="23"/>
      <c r="P81" s="23"/>
      <c r="Q81" s="33"/>
      <c r="S81" s="78" t="s">
        <v>98</v>
      </c>
      <c r="T81" s="86" t="n">
        <v>0</v>
      </c>
      <c r="U81" s="32"/>
      <c r="V81" s="32"/>
      <c r="W81" s="23"/>
      <c r="X81" s="23"/>
      <c r="Y81" s="23"/>
      <c r="Z81" s="33"/>
      <c r="AB81" s="78" t="s">
        <v>98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99</v>
      </c>
      <c r="B82" s="77" t="n">
        <v>0.0</v>
      </c>
      <c r="C82" s="32"/>
      <c r="D82" s="32"/>
      <c r="E82" s="23"/>
      <c r="F82" s="23"/>
      <c r="G82" s="23"/>
      <c r="H82" s="33"/>
      <c r="J82" s="80" t="s">
        <v>99</v>
      </c>
      <c r="K82" s="77" t="n">
        <v>0</v>
      </c>
      <c r="L82" s="32"/>
      <c r="M82" s="32"/>
      <c r="N82" s="23"/>
      <c r="O82" s="23"/>
      <c r="P82" s="23"/>
      <c r="Q82" s="33"/>
      <c r="S82" s="80" t="s">
        <v>99</v>
      </c>
      <c r="T82" s="77" t="n">
        <v>0</v>
      </c>
      <c r="U82" s="32"/>
      <c r="V82" s="32"/>
      <c r="W82" s="23"/>
      <c r="X82" s="23"/>
      <c r="Y82" s="23"/>
      <c r="Z82" s="33"/>
      <c r="AB82" s="80" t="s">
        <v>99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100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100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100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100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101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101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101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101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102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102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102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102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103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103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103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103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104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104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104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104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105</v>
      </c>
      <c r="B88" s="59" t="n">
        <f aca="false">K49</f>
        <v>238.924242424242</v>
      </c>
      <c r="C88" s="32"/>
      <c r="D88" s="32"/>
      <c r="E88" s="23"/>
      <c r="F88" s="23"/>
      <c r="G88" s="23"/>
      <c r="H88" s="33"/>
      <c r="J88" s="90" t="s">
        <v>105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105</v>
      </c>
      <c r="T88" s="59" t="n">
        <f aca="false">B60</f>
        <v>238.924242424242</v>
      </c>
      <c r="U88" s="32"/>
      <c r="V88" s="32"/>
      <c r="W88" s="23"/>
      <c r="X88" s="23"/>
      <c r="Y88" s="23"/>
      <c r="Z88" s="33"/>
      <c r="AB88" s="90" t="s">
        <v>105</v>
      </c>
      <c r="AC88" s="59" t="n">
        <f aca="false">B60</f>
        <v>238.924242424242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106</v>
      </c>
      <c r="B90" s="27" t="n">
        <f aca="false">F37</f>
        <v>57535</v>
      </c>
      <c r="C90" s="32"/>
      <c r="D90" s="32"/>
      <c r="E90" s="23"/>
      <c r="F90" s="25" t="s">
        <v>106</v>
      </c>
      <c r="G90" s="27" t="n">
        <f aca="false">F37</f>
        <v>57535</v>
      </c>
      <c r="H90" s="33"/>
      <c r="J90" s="25" t="s">
        <v>106</v>
      </c>
      <c r="K90" s="27" t="n">
        <f aca="false">P167</f>
        <v>37655</v>
      </c>
      <c r="L90" s="32"/>
      <c r="M90" s="32"/>
      <c r="N90" s="23"/>
      <c r="O90" s="23"/>
      <c r="P90" s="23"/>
      <c r="Q90" s="33"/>
      <c r="S90" s="25" t="s">
        <v>106</v>
      </c>
      <c r="T90" s="27" t="n">
        <f aca="false">Y167</f>
        <v>45468.749</v>
      </c>
      <c r="U90" s="32"/>
      <c r="V90" s="32"/>
      <c r="W90" s="23"/>
      <c r="X90" s="23"/>
      <c r="Y90" s="23"/>
      <c r="Z90" s="33"/>
      <c r="AB90" s="25" t="s">
        <v>106</v>
      </c>
      <c r="AC90" s="27" t="n">
        <f aca="false">AH167</f>
        <v>45468.749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107</v>
      </c>
      <c r="B91" s="33" t="n">
        <f aca="false">IF(A111="YES",A43,0)*1.2</f>
        <v>6000</v>
      </c>
      <c r="C91" s="32"/>
      <c r="D91" s="32"/>
      <c r="E91" s="23"/>
      <c r="F91" s="31" t="s">
        <v>107</v>
      </c>
      <c r="G91" s="33" t="n">
        <f aca="false">IF(A111="YES",A43,0)*1.2</f>
        <v>6000</v>
      </c>
      <c r="H91" s="33"/>
      <c r="J91" s="31" t="s">
        <v>107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107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107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108</v>
      </c>
      <c r="B92" s="84" t="n">
        <f aca="false">B71+B72+B73</f>
        <v>0.115</v>
      </c>
      <c r="C92" s="32"/>
      <c r="D92" s="32"/>
      <c r="E92" s="23"/>
      <c r="F92" s="31" t="s">
        <v>108</v>
      </c>
      <c r="G92" s="91" t="n">
        <f aca="false">B72</f>
        <v>0.065</v>
      </c>
      <c r="H92" s="33"/>
      <c r="J92" s="31" t="s">
        <v>108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108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108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109</v>
      </c>
      <c r="B93" s="84" t="n">
        <f aca="false">B92/12</f>
        <v>0.00958333333333333</v>
      </c>
      <c r="C93" s="32"/>
      <c r="D93" s="32"/>
      <c r="E93" s="23"/>
      <c r="F93" s="31" t="s">
        <v>109</v>
      </c>
      <c r="G93" s="92" t="n">
        <f aca="false">G92/12</f>
        <v>0.00541666666666667</v>
      </c>
      <c r="H93" s="33"/>
      <c r="J93" s="31" t="s">
        <v>109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109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109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110</v>
      </c>
      <c r="B94" s="33" t="n">
        <f aca="false">IF(B91=0, (B68+B67), (B68))</f>
        <v>32</v>
      </c>
      <c r="C94" s="32"/>
      <c r="D94" s="32"/>
      <c r="E94" s="23"/>
      <c r="F94" s="31" t="s">
        <v>110</v>
      </c>
      <c r="G94" s="33" t="n">
        <f aca="false">IF(G91=0, (B68+B67), (B68))</f>
        <v>32</v>
      </c>
      <c r="H94" s="33"/>
      <c r="J94" s="31" t="s">
        <v>110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110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110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111</v>
      </c>
      <c r="B95" s="33" t="n">
        <f aca="false">(B91/((1+B93)^(B94+1)))</f>
        <v>4379.8532592462</v>
      </c>
      <c r="C95" s="32"/>
      <c r="D95" s="32"/>
      <c r="E95" s="23"/>
      <c r="F95" s="31" t="s">
        <v>111</v>
      </c>
      <c r="G95" s="33" t="n">
        <f aca="false">(G91/((1+G93)^(G94+1)))</f>
        <v>5020.31079273804</v>
      </c>
      <c r="H95" s="33"/>
      <c r="J95" s="31" t="s">
        <v>111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111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111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112</v>
      </c>
      <c r="B96" s="33" t="n">
        <f aca="false">((1-(1/((1+B93)^B94)))/B93)</f>
        <v>27.4464895133802</v>
      </c>
      <c r="C96" s="32"/>
      <c r="D96" s="32"/>
      <c r="E96" s="23"/>
      <c r="F96" s="31" t="s">
        <v>112</v>
      </c>
      <c r="G96" s="33" t="n">
        <f aca="false">((1-(1/((1+G93)^G94)))/G93)</f>
        <v>29.3075648349115</v>
      </c>
      <c r="H96" s="33"/>
      <c r="J96" s="31" t="s">
        <v>112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112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112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113</v>
      </c>
      <c r="B97" s="33" t="n">
        <f aca="false">B90-B95</f>
        <v>53155.1467407538</v>
      </c>
      <c r="C97" s="32"/>
      <c r="D97" s="32"/>
      <c r="E97" s="23"/>
      <c r="F97" s="31" t="s">
        <v>113</v>
      </c>
      <c r="G97" s="33" t="n">
        <f aca="false">G90-G95</f>
        <v>52514.689207262</v>
      </c>
      <c r="H97" s="33"/>
      <c r="J97" s="31" t="s">
        <v>113</v>
      </c>
      <c r="K97" s="33" t="n">
        <f aca="false">K90-K95</f>
        <v>37655</v>
      </c>
      <c r="L97" s="32"/>
      <c r="M97" s="32"/>
      <c r="N97" s="23"/>
      <c r="O97" s="23"/>
      <c r="P97" s="23"/>
      <c r="Q97" s="33"/>
      <c r="S97" s="31" t="s">
        <v>113</v>
      </c>
      <c r="T97" s="33" t="n">
        <f aca="false">T90-T95</f>
        <v>45460.1897086168</v>
      </c>
      <c r="U97" s="32"/>
      <c r="V97" s="32"/>
      <c r="W97" s="23"/>
      <c r="X97" s="23"/>
      <c r="Y97" s="23"/>
      <c r="Z97" s="33"/>
      <c r="AB97" s="31" t="s">
        <v>113</v>
      </c>
      <c r="AC97" s="33" t="n">
        <f aca="false">AC90-AC95</f>
        <v>45460.1897086168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114</v>
      </c>
      <c r="B98" s="33" t="n">
        <f aca="false">(B97/B96)</f>
        <v>1936.68289399417</v>
      </c>
      <c r="C98" s="32"/>
      <c r="D98" s="32"/>
      <c r="E98" s="23"/>
      <c r="F98" s="31" t="s">
        <v>114</v>
      </c>
      <c r="G98" s="33" t="n">
        <f aca="false">(G97/G96)</f>
        <v>1791.84758280244</v>
      </c>
      <c r="H98" s="33"/>
      <c r="J98" s="31" t="s">
        <v>114</v>
      </c>
      <c r="K98" s="33" t="n">
        <f aca="false">(K97/K96)</f>
        <v>1569.706327631</v>
      </c>
      <c r="L98" s="32"/>
      <c r="M98" s="32"/>
      <c r="N98" s="23"/>
      <c r="O98" s="23"/>
      <c r="P98" s="23"/>
      <c r="Q98" s="33"/>
      <c r="S98" s="31" t="s">
        <v>114</v>
      </c>
      <c r="T98" s="33" t="n">
        <f aca="false">(T97/T96)</f>
        <v>1674.61110912406</v>
      </c>
      <c r="U98" s="32"/>
      <c r="V98" s="32"/>
      <c r="W98" s="23"/>
      <c r="X98" s="23"/>
      <c r="Y98" s="23"/>
      <c r="Z98" s="33"/>
      <c r="AB98" s="31" t="s">
        <v>114</v>
      </c>
      <c r="AC98" s="33" t="n">
        <f aca="false">(AC97/AC96)</f>
        <v>1674.61110912406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115</v>
      </c>
      <c r="B99" s="33" t="n">
        <f aca="false">((B98*(B94))+B86)</f>
        <v>61973.8526078134</v>
      </c>
      <c r="C99" s="32"/>
      <c r="D99" s="32"/>
      <c r="E99" s="23"/>
      <c r="F99" s="31" t="s">
        <v>115</v>
      </c>
      <c r="G99" s="33" t="n">
        <f aca="false">((G98*(G94))+G86)</f>
        <v>57339.122649678</v>
      </c>
      <c r="H99" s="33"/>
      <c r="J99" s="31" t="s">
        <v>115</v>
      </c>
      <c r="K99" s="33" t="n">
        <f aca="false">((K98*(K94))+K86)</f>
        <v>51800.308811823</v>
      </c>
      <c r="L99" s="32"/>
      <c r="M99" s="32"/>
      <c r="N99" s="23"/>
      <c r="O99" s="23"/>
      <c r="P99" s="23"/>
      <c r="Q99" s="33"/>
      <c r="S99" s="31" t="s">
        <v>115</v>
      </c>
      <c r="T99" s="33" t="n">
        <f aca="false">(T98*(T94))+T86</f>
        <v>53587.5554919699</v>
      </c>
      <c r="U99" s="32"/>
      <c r="V99" s="32"/>
      <c r="W99" s="23"/>
      <c r="X99" s="23"/>
      <c r="Y99" s="23"/>
      <c r="Z99" s="33"/>
      <c r="AB99" s="31" t="s">
        <v>115</v>
      </c>
      <c r="AC99" s="33" t="n">
        <f aca="false">(AC98*(AC68))+AC86</f>
        <v>53587.5554919699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116</v>
      </c>
      <c r="B100" s="33" t="n">
        <f aca="false">(((B98*(B94))+B86)/(1-B80))*B80</f>
        <v>0</v>
      </c>
      <c r="C100" s="32"/>
      <c r="D100" s="32"/>
      <c r="E100" s="23"/>
      <c r="F100" s="31" t="s">
        <v>116</v>
      </c>
      <c r="G100" s="33" t="n">
        <f aca="false">(((G98*(G94))+G86)/(1-G80))*G80</f>
        <v>0</v>
      </c>
      <c r="H100" s="33"/>
      <c r="J100" s="31" t="s">
        <v>116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116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116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117</v>
      </c>
      <c r="B101" s="65" t="n">
        <f aca="false">(B99+B100)</f>
        <v>61973.8526078134</v>
      </c>
      <c r="C101" s="32"/>
      <c r="D101" s="32"/>
      <c r="E101" s="23"/>
      <c r="F101" s="56" t="s">
        <v>117</v>
      </c>
      <c r="G101" s="65" t="n">
        <f aca="false">(G99+G100)</f>
        <v>57339.122649678</v>
      </c>
      <c r="H101" s="33"/>
      <c r="J101" s="56" t="s">
        <v>117</v>
      </c>
      <c r="K101" s="65" t="n">
        <f aca="false">(K99+K100)</f>
        <v>51800.308811823</v>
      </c>
      <c r="L101" s="32"/>
      <c r="M101" s="32"/>
      <c r="N101" s="23"/>
      <c r="O101" s="23"/>
      <c r="P101" s="23"/>
      <c r="Q101" s="33"/>
      <c r="S101" s="56" t="s">
        <v>117</v>
      </c>
      <c r="T101" s="65" t="n">
        <f aca="false">(T99+T100)</f>
        <v>53587.5554919699</v>
      </c>
      <c r="U101" s="32"/>
      <c r="V101" s="32"/>
      <c r="W101" s="23"/>
      <c r="X101" s="23"/>
      <c r="Y101" s="23"/>
      <c r="Z101" s="33"/>
      <c r="AB101" s="56" t="s">
        <v>117</v>
      </c>
      <c r="AC101" s="65" t="n">
        <f aca="false">(AC99+AC100)</f>
        <v>53587.5554919699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118</v>
      </c>
      <c r="B103" s="89" t="n">
        <f aca="false">((A46 * A34) + ((A46 * A34)*A117))/(B68)*1.2</f>
        <v>0</v>
      </c>
      <c r="C103" s="32"/>
      <c r="D103" s="32"/>
      <c r="E103" s="23"/>
      <c r="F103" s="88" t="s">
        <v>118</v>
      </c>
      <c r="G103" s="94" t="str">
        <f aca="false">IF(B35="YES",((E49/B94)*(1+A117)*(C54/100)),"0")</f>
        <v>0</v>
      </c>
      <c r="H103" s="33"/>
      <c r="J103" s="88" t="s">
        <v>118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118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118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119</v>
      </c>
      <c r="B104" s="96" t="n">
        <f aca="false">B101/(B94)</f>
        <v>1936.68289399417</v>
      </c>
      <c r="C104" s="32"/>
      <c r="D104" s="32"/>
      <c r="E104" s="23"/>
      <c r="F104" s="95" t="s">
        <v>119</v>
      </c>
      <c r="G104" s="96" t="n">
        <f aca="false">G101/(G94)</f>
        <v>1791.84758280244</v>
      </c>
      <c r="H104" s="33"/>
      <c r="J104" s="95" t="s">
        <v>119</v>
      </c>
      <c r="K104" s="96" t="n">
        <f aca="false">K101/(K94)</f>
        <v>1569.706327631</v>
      </c>
      <c r="L104" s="32"/>
      <c r="M104" s="32"/>
      <c r="N104" s="23"/>
      <c r="O104" s="23"/>
      <c r="P104" s="23"/>
      <c r="Q104" s="33"/>
      <c r="S104" s="95" t="s">
        <v>119</v>
      </c>
      <c r="T104" s="96" t="n">
        <f aca="false">T101/(T94)</f>
        <v>1674.61110912406</v>
      </c>
      <c r="U104" s="32"/>
      <c r="V104" s="32"/>
      <c r="W104" s="23"/>
      <c r="X104" s="23"/>
      <c r="Y104" s="23"/>
      <c r="Z104" s="33"/>
      <c r="AB104" s="95" t="s">
        <v>119</v>
      </c>
      <c r="AC104" s="96" t="n">
        <f aca="false">AC101/(AC68)</f>
        <v>1674.61110912406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120</v>
      </c>
      <c r="B105" s="98" t="n">
        <f aca="false">B103+B104</f>
        <v>1936.68289399417</v>
      </c>
      <c r="C105" s="32"/>
      <c r="D105" s="32"/>
      <c r="E105" s="23" t="s">
        <v>19</v>
      </c>
      <c r="F105" s="97" t="s">
        <v>120</v>
      </c>
      <c r="G105" s="98" t="n">
        <f aca="false">G103+G104</f>
        <v>1791.84758280244</v>
      </c>
      <c r="H105" s="33"/>
      <c r="J105" s="97" t="s">
        <v>120</v>
      </c>
      <c r="K105" s="98" t="n">
        <f aca="false">(K103+K104)</f>
        <v>1569.706327631</v>
      </c>
      <c r="L105" s="32"/>
      <c r="M105" s="32"/>
      <c r="N105" s="23"/>
      <c r="O105" s="23"/>
      <c r="P105" s="23"/>
      <c r="Q105" s="33"/>
      <c r="S105" s="97" t="s">
        <v>120</v>
      </c>
      <c r="T105" s="98" t="n">
        <f aca="false">T103+T104</f>
        <v>1674.61110912406</v>
      </c>
      <c r="U105" s="32"/>
      <c r="V105" s="32"/>
      <c r="W105" s="23"/>
      <c r="X105" s="23"/>
      <c r="Y105" s="23"/>
      <c r="Z105" s="33"/>
      <c r="AB105" s="97" t="s">
        <v>120</v>
      </c>
      <c r="AC105" s="98" t="n">
        <f aca="false">AC103+AC104</f>
        <v>1674.61110912406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122</v>
      </c>
      <c r="B109" s="100"/>
      <c r="C109" s="100"/>
      <c r="D109" s="100"/>
      <c r="E109" s="100"/>
      <c r="F109" s="100"/>
      <c r="G109" s="100"/>
      <c r="H109" s="100"/>
      <c r="J109" s="24" t="s">
        <v>123</v>
      </c>
      <c r="K109" s="24"/>
      <c r="L109" s="24"/>
      <c r="M109" s="24"/>
      <c r="N109" s="24"/>
      <c r="O109" s="24"/>
      <c r="P109" s="24"/>
      <c r="Q109" s="24"/>
      <c r="S109" s="100" t="s">
        <v>124</v>
      </c>
      <c r="T109" s="100"/>
      <c r="U109" s="100"/>
      <c r="V109" s="100"/>
      <c r="W109" s="100"/>
      <c r="X109" s="100"/>
      <c r="Y109" s="100"/>
      <c r="Z109" s="100"/>
      <c r="AB109" s="100" t="s">
        <v>125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126</v>
      </c>
      <c r="K111" s="28"/>
      <c r="L111" s="28"/>
      <c r="M111" s="28"/>
      <c r="N111" s="28"/>
      <c r="O111" s="28"/>
      <c r="P111" s="28"/>
      <c r="Q111" s="28"/>
      <c r="S111" s="28" t="s">
        <v>126</v>
      </c>
      <c r="T111" s="28"/>
      <c r="U111" s="28"/>
      <c r="V111" s="28"/>
      <c r="W111" s="28"/>
      <c r="X111" s="28"/>
      <c r="Y111" s="28"/>
      <c r="Z111" s="28"/>
      <c r="AB111" s="28" t="s">
        <v>126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127</v>
      </c>
      <c r="B113" s="32" t="s">
        <v>23</v>
      </c>
      <c r="C113" s="32"/>
      <c r="D113" s="32"/>
      <c r="E113" s="32" t="s">
        <v>128</v>
      </c>
      <c r="F113" s="32"/>
      <c r="G113" s="32"/>
      <c r="H113" s="33"/>
      <c r="J113" s="31" t="s">
        <v>127</v>
      </c>
      <c r="K113" s="32" t="s">
        <v>23</v>
      </c>
      <c r="L113" s="32"/>
      <c r="M113" s="32"/>
      <c r="N113" s="32" t="s">
        <v>128</v>
      </c>
      <c r="O113" s="32"/>
      <c r="P113" s="32"/>
      <c r="Q113" s="33"/>
      <c r="S113" s="31" t="s">
        <v>127</v>
      </c>
      <c r="T113" s="32" t="s">
        <v>23</v>
      </c>
      <c r="U113" s="32"/>
      <c r="V113" s="32"/>
      <c r="W113" s="32" t="s">
        <v>128</v>
      </c>
      <c r="X113" s="32"/>
      <c r="Y113" s="32"/>
      <c r="Z113" s="33"/>
      <c r="AB113" s="31" t="s">
        <v>127</v>
      </c>
      <c r="AC113" s="32" t="s">
        <v>23</v>
      </c>
      <c r="AD113" s="32"/>
      <c r="AE113" s="32"/>
      <c r="AF113" s="32" t="s">
        <v>128</v>
      </c>
      <c r="AG113" s="32"/>
      <c r="AH113" s="32"/>
      <c r="AI113" s="33"/>
    </row>
    <row r="114" customFormat="false" ht="17.35" hidden="false" customHeight="false" outlineLevel="0" collapsed="false">
      <c r="A114" s="36" t="s">
        <v>129</v>
      </c>
      <c r="B114" s="103" t="s">
        <v>130</v>
      </c>
      <c r="C114" s="103"/>
      <c r="D114" s="103"/>
      <c r="E114" s="104" t="s">
        <v>388</v>
      </c>
      <c r="F114" s="104"/>
      <c r="G114" s="104"/>
      <c r="H114" s="102"/>
      <c r="J114" s="36" t="s">
        <v>129</v>
      </c>
      <c r="K114" s="105" t="s">
        <v>130</v>
      </c>
      <c r="L114" s="105"/>
      <c r="M114" s="105"/>
      <c r="N114" s="104" t="s">
        <v>18</v>
      </c>
      <c r="O114" s="104"/>
      <c r="P114" s="104"/>
      <c r="Q114" s="102"/>
      <c r="S114" s="36" t="s">
        <v>129</v>
      </c>
      <c r="T114" s="103" t="s">
        <v>130</v>
      </c>
      <c r="U114" s="103"/>
      <c r="V114" s="103"/>
      <c r="W114" s="104" t="s">
        <v>18</v>
      </c>
      <c r="X114" s="104"/>
      <c r="Y114" s="104"/>
      <c r="Z114" s="102"/>
      <c r="AB114" s="36" t="s">
        <v>129</v>
      </c>
      <c r="AC114" s="103" t="s">
        <v>130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131</v>
      </c>
      <c r="B116" s="32" t="s">
        <v>132</v>
      </c>
      <c r="C116" s="32"/>
      <c r="D116" s="23"/>
      <c r="E116" s="32" t="s">
        <v>133</v>
      </c>
      <c r="F116" s="32"/>
      <c r="G116" s="23"/>
      <c r="H116" s="102"/>
      <c r="J116" s="31" t="s">
        <v>131</v>
      </c>
      <c r="K116" s="32" t="s">
        <v>132</v>
      </c>
      <c r="L116" s="32"/>
      <c r="M116" s="23"/>
      <c r="N116" s="32" t="s">
        <v>133</v>
      </c>
      <c r="O116" s="32"/>
      <c r="P116" s="23"/>
      <c r="Q116" s="102"/>
      <c r="S116" s="31" t="s">
        <v>131</v>
      </c>
      <c r="T116" s="32" t="s">
        <v>132</v>
      </c>
      <c r="U116" s="32"/>
      <c r="V116" s="23"/>
      <c r="W116" s="32" t="s">
        <v>133</v>
      </c>
      <c r="X116" s="32"/>
      <c r="Y116" s="23"/>
      <c r="Z116" s="102"/>
      <c r="AB116" s="31" t="s">
        <v>131</v>
      </c>
      <c r="AC116" s="32" t="s">
        <v>132</v>
      </c>
      <c r="AD116" s="32"/>
      <c r="AE116" s="23"/>
      <c r="AF116" s="32" t="s">
        <v>133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134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134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135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135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136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134</v>
      </c>
    </row>
    <row r="119" customFormat="false" ht="17.35" hidden="false" customHeight="false" outlineLevel="0" collapsed="false">
      <c r="A119" s="31" t="s">
        <v>137</v>
      </c>
      <c r="B119" s="32" t="s">
        <v>138</v>
      </c>
      <c r="C119" s="32"/>
      <c r="D119" s="32"/>
      <c r="E119" s="32" t="s">
        <v>139</v>
      </c>
      <c r="F119" s="32"/>
      <c r="G119" s="32"/>
      <c r="H119" s="33"/>
      <c r="J119" s="31" t="s">
        <v>137</v>
      </c>
      <c r="K119" s="32" t="s">
        <v>138</v>
      </c>
      <c r="L119" s="32"/>
      <c r="M119" s="32"/>
      <c r="N119" s="32" t="s">
        <v>139</v>
      </c>
      <c r="O119" s="32"/>
      <c r="P119" s="32"/>
      <c r="Q119" s="33"/>
      <c r="S119" s="31" t="s">
        <v>137</v>
      </c>
      <c r="T119" s="32" t="s">
        <v>138</v>
      </c>
      <c r="U119" s="32"/>
      <c r="V119" s="32"/>
      <c r="W119" s="32" t="s">
        <v>139</v>
      </c>
      <c r="X119" s="32"/>
      <c r="Y119" s="32"/>
      <c r="Z119" s="33"/>
      <c r="AB119" s="31" t="s">
        <v>137</v>
      </c>
      <c r="AC119" s="32" t="s">
        <v>138</v>
      </c>
      <c r="AD119" s="32"/>
      <c r="AE119" s="32"/>
      <c r="AF119" s="32" t="s">
        <v>139</v>
      </c>
      <c r="AG119" s="32"/>
      <c r="AH119" s="32"/>
      <c r="AI119" s="33"/>
    </row>
    <row r="120" customFormat="false" ht="17.35" hidden="false" customHeight="false" outlineLevel="0" collapsed="false">
      <c r="A120" s="40" t="s">
        <v>390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140</v>
      </c>
      <c r="B122" s="32" t="s">
        <v>141</v>
      </c>
      <c r="C122" s="32"/>
      <c r="D122" s="32"/>
      <c r="E122" s="32" t="s">
        <v>142</v>
      </c>
      <c r="F122" s="32"/>
      <c r="G122" s="23"/>
      <c r="H122" s="102"/>
      <c r="J122" s="110" t="s">
        <v>140</v>
      </c>
      <c r="K122" s="32" t="s">
        <v>141</v>
      </c>
      <c r="L122" s="32"/>
      <c r="M122" s="32"/>
      <c r="N122" s="32" t="s">
        <v>142</v>
      </c>
      <c r="O122" s="32"/>
      <c r="P122" s="23"/>
      <c r="Q122" s="102"/>
      <c r="S122" s="110" t="s">
        <v>140</v>
      </c>
      <c r="T122" s="32" t="s">
        <v>141</v>
      </c>
      <c r="U122" s="32"/>
      <c r="V122" s="32"/>
      <c r="W122" s="32" t="s">
        <v>142</v>
      </c>
      <c r="X122" s="32"/>
      <c r="Y122" s="23"/>
      <c r="Z122" s="102"/>
      <c r="AB122" s="110" t="s">
        <v>140</v>
      </c>
      <c r="AC122" s="32" t="s">
        <v>141</v>
      </c>
      <c r="AD122" s="32"/>
      <c r="AE122" s="32"/>
      <c r="AF122" s="32" t="s">
        <v>142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389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144</v>
      </c>
      <c r="B126" s="28"/>
      <c r="C126" s="28"/>
      <c r="D126" s="28"/>
      <c r="E126" s="28"/>
      <c r="F126" s="28"/>
      <c r="G126" s="28"/>
      <c r="H126" s="28"/>
      <c r="J126" s="28" t="s">
        <v>144</v>
      </c>
      <c r="K126" s="28"/>
      <c r="L126" s="28"/>
      <c r="M126" s="28"/>
      <c r="N126" s="28"/>
      <c r="O126" s="28"/>
      <c r="P126" s="28"/>
      <c r="Q126" s="28"/>
      <c r="S126" s="28" t="s">
        <v>144</v>
      </c>
      <c r="T126" s="28"/>
      <c r="U126" s="28"/>
      <c r="V126" s="28"/>
      <c r="W126" s="28"/>
      <c r="X126" s="28"/>
      <c r="Y126" s="28"/>
      <c r="Z126" s="28"/>
      <c r="AB126" s="28" t="s">
        <v>144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145</v>
      </c>
      <c r="C128" s="114"/>
      <c r="D128" s="114" t="s">
        <v>146</v>
      </c>
      <c r="E128" s="114"/>
      <c r="F128" s="114" t="s">
        <v>147</v>
      </c>
      <c r="G128" s="114"/>
      <c r="H128" s="115" t="s">
        <v>148</v>
      </c>
      <c r="J128" s="78"/>
      <c r="K128" s="114" t="s">
        <v>145</v>
      </c>
      <c r="L128" s="114"/>
      <c r="M128" s="114" t="s">
        <v>146</v>
      </c>
      <c r="N128" s="114"/>
      <c r="O128" s="114" t="s">
        <v>147</v>
      </c>
      <c r="P128" s="114"/>
      <c r="Q128" s="115" t="s">
        <v>148</v>
      </c>
      <c r="S128" s="78"/>
      <c r="T128" s="114" t="s">
        <v>145</v>
      </c>
      <c r="U128" s="114"/>
      <c r="V128" s="114" t="s">
        <v>146</v>
      </c>
      <c r="W128" s="114"/>
      <c r="X128" s="114" t="s">
        <v>147</v>
      </c>
      <c r="Y128" s="114"/>
      <c r="Z128" s="115" t="s">
        <v>148</v>
      </c>
      <c r="AB128" s="78"/>
      <c r="AC128" s="114" t="s">
        <v>145</v>
      </c>
      <c r="AD128" s="114"/>
      <c r="AE128" s="114" t="s">
        <v>146</v>
      </c>
      <c r="AF128" s="114"/>
      <c r="AG128" s="114" t="s">
        <v>147</v>
      </c>
      <c r="AH128" s="114"/>
      <c r="AI128" s="115" t="s">
        <v>148</v>
      </c>
    </row>
    <row r="129" customFormat="false" ht="19.7" hidden="false" customHeight="false" outlineLevel="0" collapsed="false">
      <c r="A129" s="80"/>
      <c r="B129" s="116" t="s">
        <v>149</v>
      </c>
      <c r="C129" s="117" t="s">
        <v>150</v>
      </c>
      <c r="D129" s="116" t="s">
        <v>149</v>
      </c>
      <c r="E129" s="118" t="s">
        <v>150</v>
      </c>
      <c r="F129" s="116" t="s">
        <v>149</v>
      </c>
      <c r="G129" s="118" t="s">
        <v>150</v>
      </c>
      <c r="H129" s="119"/>
      <c r="J129" s="80"/>
      <c r="K129" s="116" t="s">
        <v>149</v>
      </c>
      <c r="L129" s="117" t="s">
        <v>150</v>
      </c>
      <c r="M129" s="116" t="s">
        <v>149</v>
      </c>
      <c r="N129" s="118" t="s">
        <v>150</v>
      </c>
      <c r="O129" s="116" t="s">
        <v>149</v>
      </c>
      <c r="P129" s="118" t="s">
        <v>150</v>
      </c>
      <c r="Q129" s="119"/>
      <c r="S129" s="80"/>
      <c r="T129" s="116" t="s">
        <v>149</v>
      </c>
      <c r="U129" s="117" t="s">
        <v>150</v>
      </c>
      <c r="V129" s="116" t="s">
        <v>149</v>
      </c>
      <c r="W129" s="118" t="s">
        <v>150</v>
      </c>
      <c r="X129" s="116" t="s">
        <v>149</v>
      </c>
      <c r="Y129" s="118" t="s">
        <v>150</v>
      </c>
      <c r="Z129" s="119"/>
      <c r="AB129" s="80"/>
      <c r="AC129" s="116" t="s">
        <v>149</v>
      </c>
      <c r="AD129" s="117" t="s">
        <v>150</v>
      </c>
      <c r="AE129" s="116" t="s">
        <v>149</v>
      </c>
      <c r="AF129" s="118" t="s">
        <v>150</v>
      </c>
      <c r="AG129" s="116" t="s">
        <v>149</v>
      </c>
      <c r="AH129" s="118" t="s">
        <v>150</v>
      </c>
      <c r="AI129" s="119"/>
    </row>
    <row r="130" customFormat="false" ht="17.35" hidden="false" customHeight="false" outlineLevel="0" collapsed="false">
      <c r="A130" s="25" t="s">
        <v>151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22" t="n">
        <f aca="false">H3</f>
        <v>0</v>
      </c>
      <c r="J130" s="25" t="s">
        <v>151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22" t="n">
        <f aca="false">H3</f>
        <v>0</v>
      </c>
      <c r="S130" s="25" t="s">
        <v>151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22" t="n">
        <f aca="false">H3</f>
        <v>0</v>
      </c>
      <c r="AB130" s="25" t="s">
        <v>151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152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152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152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152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153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153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153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153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154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154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154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154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155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155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155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155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149</v>
      </c>
      <c r="H136" s="137" t="s">
        <v>150</v>
      </c>
      <c r="J136" s="134"/>
      <c r="K136" s="138"/>
      <c r="L136" s="138"/>
      <c r="M136" s="138"/>
      <c r="N136" s="138"/>
      <c r="O136" s="138"/>
      <c r="P136" s="139" t="s">
        <v>149</v>
      </c>
      <c r="Q136" s="137" t="s">
        <v>150</v>
      </c>
      <c r="S136" s="134"/>
      <c r="T136" s="138"/>
      <c r="U136" s="138"/>
      <c r="V136" s="138"/>
      <c r="W136" s="138"/>
      <c r="X136" s="138"/>
      <c r="Y136" s="139" t="s">
        <v>149</v>
      </c>
      <c r="Z136" s="137" t="s">
        <v>150</v>
      </c>
      <c r="AB136" s="134"/>
      <c r="AC136" s="138"/>
      <c r="AD136" s="138"/>
      <c r="AE136" s="138"/>
      <c r="AF136" s="138"/>
      <c r="AG136" s="138"/>
      <c r="AH136" s="139" t="s">
        <v>149</v>
      </c>
      <c r="AI136" s="137" t="s">
        <v>150</v>
      </c>
    </row>
    <row r="137" customFormat="false" ht="17.35" hidden="false" customHeight="false" outlineLevel="0" collapsed="false">
      <c r="A137" s="140" t="s">
        <v>156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156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156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156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157</v>
      </c>
      <c r="B139" s="144" t="s">
        <v>158</v>
      </c>
      <c r="C139" s="144"/>
      <c r="D139" s="144" t="s">
        <v>159</v>
      </c>
      <c r="E139" s="144"/>
      <c r="F139" s="144" t="s">
        <v>153</v>
      </c>
      <c r="G139" s="144"/>
      <c r="H139" s="145" t="s">
        <v>150</v>
      </c>
      <c r="J139" s="147" t="s">
        <v>157</v>
      </c>
      <c r="K139" s="148" t="s">
        <v>158</v>
      </c>
      <c r="L139" s="148"/>
      <c r="M139" s="144" t="s">
        <v>159</v>
      </c>
      <c r="N139" s="144"/>
      <c r="O139" s="144" t="s">
        <v>153</v>
      </c>
      <c r="P139" s="144"/>
      <c r="Q139" s="145" t="s">
        <v>150</v>
      </c>
      <c r="S139" s="147" t="s">
        <v>157</v>
      </c>
      <c r="T139" s="144" t="s">
        <v>158</v>
      </c>
      <c r="U139" s="144"/>
      <c r="V139" s="144" t="s">
        <v>159</v>
      </c>
      <c r="W139" s="144"/>
      <c r="X139" s="144" t="s">
        <v>153</v>
      </c>
      <c r="Y139" s="144"/>
      <c r="Z139" s="145" t="s">
        <v>150</v>
      </c>
      <c r="AB139" s="147" t="s">
        <v>157</v>
      </c>
      <c r="AC139" s="144" t="s">
        <v>158</v>
      </c>
      <c r="AD139" s="144"/>
      <c r="AE139" s="144" t="s">
        <v>159</v>
      </c>
      <c r="AF139" s="144"/>
      <c r="AG139" s="144" t="s">
        <v>153</v>
      </c>
      <c r="AH139" s="144"/>
      <c r="AI139" s="145" t="s">
        <v>150</v>
      </c>
    </row>
    <row r="140" customFormat="false" ht="17.35" hidden="false" customHeight="false" outlineLevel="0" collapsed="false">
      <c r="A140" s="31" t="s">
        <v>160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160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160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160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161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161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161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161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162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162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162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162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163</v>
      </c>
      <c r="B144" s="152"/>
      <c r="C144" s="152"/>
      <c r="D144" s="152"/>
      <c r="E144" s="152"/>
      <c r="F144" s="152"/>
      <c r="G144" s="139" t="n">
        <f aca="false">H9</f>
        <v>47687.5</v>
      </c>
      <c r="H144" s="153" t="n">
        <f aca="false">C134+E134+G134+H137</f>
        <v>47687.5</v>
      </c>
      <c r="J144" s="152" t="s">
        <v>163</v>
      </c>
      <c r="K144" s="152"/>
      <c r="L144" s="152"/>
      <c r="M144" s="152"/>
      <c r="N144" s="152"/>
      <c r="O144" s="152"/>
      <c r="P144" s="139" t="n">
        <f aca="false">H9</f>
        <v>47687.5</v>
      </c>
      <c r="Q144" s="153" t="n">
        <f aca="false">L134+N134+P134+Q137</f>
        <v>29462.5</v>
      </c>
      <c r="S144" s="152" t="s">
        <v>163</v>
      </c>
      <c r="T144" s="152"/>
      <c r="U144" s="152"/>
      <c r="V144" s="152"/>
      <c r="W144" s="152"/>
      <c r="X144" s="152"/>
      <c r="Y144" s="139" t="n">
        <f aca="false">H9</f>
        <v>47687.5</v>
      </c>
      <c r="Z144" s="153" t="n">
        <f aca="false">U134+W134+Y134+Z137</f>
        <v>35973.9575</v>
      </c>
      <c r="AB144" s="152" t="s">
        <v>163</v>
      </c>
      <c r="AC144" s="152"/>
      <c r="AD144" s="152"/>
      <c r="AE144" s="152"/>
      <c r="AF144" s="152"/>
      <c r="AG144" s="152"/>
      <c r="AH144" s="139" t="n">
        <f aca="false">H9</f>
        <v>47687.5</v>
      </c>
      <c r="AI144" s="153" t="n">
        <f aca="false">AD134+AF134+AH134+AI137</f>
        <v>35973.9575</v>
      </c>
    </row>
    <row r="145" customFormat="false" ht="17.35" hidden="false" customHeight="false" outlineLevel="0" collapsed="false">
      <c r="A145" s="154" t="s">
        <v>164</v>
      </c>
      <c r="B145" s="154"/>
      <c r="C145" s="154"/>
      <c r="D145" s="154"/>
      <c r="E145" s="154"/>
      <c r="F145" s="154"/>
      <c r="G145" s="156" t="n">
        <f aca="false">H10</f>
        <v>550</v>
      </c>
      <c r="H145" s="33" t="n">
        <f aca="false">G145</f>
        <v>550</v>
      </c>
      <c r="J145" s="154" t="s">
        <v>164</v>
      </c>
      <c r="K145" s="154"/>
      <c r="L145" s="154"/>
      <c r="M145" s="154"/>
      <c r="N145" s="154"/>
      <c r="O145" s="154"/>
      <c r="P145" s="156" t="n">
        <f aca="false">H10</f>
        <v>550</v>
      </c>
      <c r="Q145" s="33" t="n">
        <f aca="false">P145</f>
        <v>550</v>
      </c>
      <c r="S145" s="154" t="s">
        <v>164</v>
      </c>
      <c r="T145" s="154"/>
      <c r="U145" s="154"/>
      <c r="V145" s="154"/>
      <c r="W145" s="154"/>
      <c r="X145" s="154"/>
      <c r="Y145" s="156" t="n">
        <f aca="false">H10</f>
        <v>550</v>
      </c>
      <c r="Z145" s="33" t="n">
        <f aca="false">Y145</f>
        <v>550</v>
      </c>
      <c r="AB145" s="154" t="s">
        <v>164</v>
      </c>
      <c r="AC145" s="154"/>
      <c r="AD145" s="154"/>
      <c r="AE145" s="154"/>
      <c r="AF145" s="154"/>
      <c r="AG145" s="154"/>
      <c r="AH145" s="156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4" t="s">
        <v>165</v>
      </c>
      <c r="B146" s="154"/>
      <c r="C146" s="154"/>
      <c r="D146" s="154"/>
      <c r="E146" s="154"/>
      <c r="F146" s="154"/>
      <c r="G146" s="156" t="n">
        <f aca="false">H11</f>
        <v>9647.5</v>
      </c>
      <c r="H146" s="33" t="n">
        <f aca="false">(H144+H145)*20%</f>
        <v>9647.5</v>
      </c>
      <c r="J146" s="154" t="s">
        <v>165</v>
      </c>
      <c r="K146" s="154"/>
      <c r="L146" s="154"/>
      <c r="M146" s="154"/>
      <c r="N146" s="154"/>
      <c r="O146" s="154"/>
      <c r="P146" s="156" t="n">
        <f aca="false">H11</f>
        <v>9647.5</v>
      </c>
      <c r="Q146" s="33" t="n">
        <f aca="false">(Q144+Q145)*20%</f>
        <v>6002.5</v>
      </c>
      <c r="S146" s="154" t="s">
        <v>165</v>
      </c>
      <c r="T146" s="154"/>
      <c r="U146" s="154"/>
      <c r="V146" s="154"/>
      <c r="W146" s="154"/>
      <c r="X146" s="154"/>
      <c r="Y146" s="156" t="n">
        <f aca="false">H11</f>
        <v>9647.5</v>
      </c>
      <c r="Z146" s="33" t="n">
        <f aca="false">(Z144+Z145)*20%</f>
        <v>7304.7915</v>
      </c>
      <c r="AB146" s="154" t="s">
        <v>165</v>
      </c>
      <c r="AC146" s="154"/>
      <c r="AD146" s="154"/>
      <c r="AE146" s="154"/>
      <c r="AF146" s="154"/>
      <c r="AG146" s="154"/>
      <c r="AH146" s="156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4" t="s">
        <v>166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166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166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166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167</v>
      </c>
      <c r="B148" s="154"/>
      <c r="C148" s="154"/>
      <c r="D148" s="154"/>
      <c r="E148" s="154"/>
      <c r="F148" s="154"/>
      <c r="G148" s="156" t="n">
        <f aca="false">H13</f>
        <v>585</v>
      </c>
      <c r="H148" s="33" t="n">
        <f aca="false">G148</f>
        <v>585</v>
      </c>
      <c r="J148" s="154" t="s">
        <v>167</v>
      </c>
      <c r="K148" s="154"/>
      <c r="L148" s="154"/>
      <c r="M148" s="154"/>
      <c r="N148" s="154"/>
      <c r="O148" s="154"/>
      <c r="P148" s="156" t="n">
        <f aca="false">H13</f>
        <v>585</v>
      </c>
      <c r="Q148" s="33" t="n">
        <f aca="false">P148</f>
        <v>585</v>
      </c>
      <c r="S148" s="154" t="s">
        <v>167</v>
      </c>
      <c r="T148" s="154"/>
      <c r="U148" s="154"/>
      <c r="V148" s="154"/>
      <c r="W148" s="154"/>
      <c r="X148" s="154"/>
      <c r="Y148" s="156" t="n">
        <f aca="false">H13</f>
        <v>585</v>
      </c>
      <c r="Z148" s="33" t="n">
        <f aca="false">Y148</f>
        <v>585</v>
      </c>
      <c r="AB148" s="154" t="s">
        <v>167</v>
      </c>
      <c r="AC148" s="154"/>
      <c r="AD148" s="154"/>
      <c r="AE148" s="154"/>
      <c r="AF148" s="154"/>
      <c r="AG148" s="154"/>
      <c r="AH148" s="156" t="n">
        <f aca="false">H13</f>
        <v>585</v>
      </c>
      <c r="AI148" s="33" t="n">
        <f aca="false">AH148</f>
        <v>585</v>
      </c>
    </row>
    <row r="149" customFormat="false" ht="17.35" hidden="false" customHeight="false" outlineLevel="0" collapsed="false">
      <c r="A149" s="154" t="s">
        <v>168</v>
      </c>
      <c r="B149" s="154"/>
      <c r="C149" s="154"/>
      <c r="D149" s="154"/>
      <c r="E149" s="154"/>
      <c r="F149" s="154"/>
      <c r="G149" s="156" t="n">
        <f aca="false">H14</f>
        <v>65</v>
      </c>
      <c r="H149" s="33" t="n">
        <f aca="false">G149</f>
        <v>65</v>
      </c>
      <c r="J149" s="154" t="s">
        <v>168</v>
      </c>
      <c r="K149" s="154"/>
      <c r="L149" s="154"/>
      <c r="M149" s="154"/>
      <c r="N149" s="154"/>
      <c r="O149" s="154"/>
      <c r="P149" s="156" t="n">
        <f aca="false">H14</f>
        <v>65</v>
      </c>
      <c r="Q149" s="33" t="n">
        <v>55</v>
      </c>
      <c r="S149" s="154" t="s">
        <v>168</v>
      </c>
      <c r="T149" s="154"/>
      <c r="U149" s="154"/>
      <c r="V149" s="154"/>
      <c r="W149" s="154"/>
      <c r="X149" s="154"/>
      <c r="Y149" s="156" t="n">
        <f aca="false">H14</f>
        <v>65</v>
      </c>
      <c r="Z149" s="33" t="n">
        <v>55</v>
      </c>
      <c r="AB149" s="154" t="s">
        <v>168</v>
      </c>
      <c r="AC149" s="154"/>
      <c r="AD149" s="154"/>
      <c r="AE149" s="154"/>
      <c r="AF149" s="154"/>
      <c r="AG149" s="154"/>
      <c r="AH149" s="156" t="n">
        <f aca="false">H14</f>
        <v>65</v>
      </c>
      <c r="AI149" s="33" t="n">
        <v>55</v>
      </c>
    </row>
    <row r="150" customFormat="false" ht="19.7" hidden="false" customHeight="false" outlineLevel="0" collapsed="false">
      <c r="A150" s="154" t="s">
        <v>169</v>
      </c>
      <c r="B150" s="154"/>
      <c r="C150" s="154"/>
      <c r="D150" s="154"/>
      <c r="E150" s="154"/>
      <c r="F150" s="154"/>
      <c r="G150" s="158" t="n">
        <f aca="false">H15</f>
        <v>58535</v>
      </c>
      <c r="H150" s="157" t="n">
        <f aca="false">(H144+H145+H148+H149+H146)-H147</f>
        <v>58535</v>
      </c>
      <c r="J150" s="154" t="s">
        <v>169</v>
      </c>
      <c r="K150" s="154"/>
      <c r="L150" s="154"/>
      <c r="M150" s="154"/>
      <c r="N150" s="154"/>
      <c r="O150" s="154"/>
      <c r="P150" s="158" t="n">
        <f aca="false">H15</f>
        <v>58535</v>
      </c>
      <c r="Q150" s="157" t="n">
        <f aca="false">(Q144+Q145+Q148+Q149+Q146)-Q147</f>
        <v>36655</v>
      </c>
      <c r="S150" s="154" t="s">
        <v>169</v>
      </c>
      <c r="T150" s="154"/>
      <c r="U150" s="154"/>
      <c r="V150" s="154"/>
      <c r="W150" s="154"/>
      <c r="X150" s="154"/>
      <c r="Y150" s="158" t="n">
        <f aca="false">H15</f>
        <v>58535</v>
      </c>
      <c r="Z150" s="157" t="n">
        <f aca="false">(Z144+Z145+Z148+Z149+Z146)-Z147</f>
        <v>44468.749</v>
      </c>
      <c r="AB150" s="154" t="s">
        <v>169</v>
      </c>
      <c r="AC150" s="154"/>
      <c r="AD150" s="154"/>
      <c r="AE150" s="154"/>
      <c r="AF150" s="154"/>
      <c r="AG150" s="154"/>
      <c r="AH150" s="158" t="n">
        <f aca="false">H15</f>
        <v>58535</v>
      </c>
      <c r="AI150" s="157" t="n">
        <f aca="false">(AI144+AI145+AI148+AI149+AI146)-AI147</f>
        <v>44468.749</v>
      </c>
    </row>
    <row r="151" customFormat="false" ht="17.35" hidden="false" customHeight="false" outlineLevel="0" collapsed="false">
      <c r="A151" s="154" t="s">
        <v>170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170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170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170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171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171</v>
      </c>
      <c r="K152" s="159"/>
      <c r="L152" s="159"/>
      <c r="M152" s="159"/>
      <c r="N152" s="159"/>
      <c r="O152" s="159"/>
      <c r="P152" s="38"/>
      <c r="Q152" s="33"/>
      <c r="S152" s="111" t="s">
        <v>171</v>
      </c>
      <c r="T152" s="111"/>
      <c r="U152" s="111"/>
      <c r="V152" s="111"/>
      <c r="W152" s="111"/>
      <c r="X152" s="111"/>
      <c r="Y152" s="38"/>
      <c r="Z152" s="33"/>
      <c r="AB152" s="111" t="s">
        <v>171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172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172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172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172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172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172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172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172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172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172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172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172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173</v>
      </c>
      <c r="B156" s="154"/>
      <c r="C156" s="154"/>
      <c r="D156" s="154"/>
      <c r="E156" s="154"/>
      <c r="F156" s="154"/>
      <c r="G156" s="158" t="n">
        <f aca="false">G150-((G153*1.2)+(G154*1.2)+(G155*1.2)+(G151*1.2))</f>
        <v>58535</v>
      </c>
      <c r="H156" s="164" t="n">
        <f aca="false">H150-((H153*1.2)+(H154*1.2)+(H155*1.2)+(H151*1.2))</f>
        <v>58535</v>
      </c>
      <c r="J156" s="165" t="s">
        <v>173</v>
      </c>
      <c r="K156" s="165"/>
      <c r="L156" s="165"/>
      <c r="M156" s="165"/>
      <c r="N156" s="165"/>
      <c r="O156" s="165"/>
      <c r="P156" s="158" t="n">
        <f aca="false">P150-((P153*1.2)+(P154*1.2)+(P155*1.2)+(P151*1.2))</f>
        <v>58535</v>
      </c>
      <c r="Q156" s="164" t="n">
        <f aca="false">Q150-((Q153*1.2)+(Q154*1.2)+(Q155*1.2)+(Q151*1.2))</f>
        <v>36655</v>
      </c>
      <c r="S156" s="154" t="s">
        <v>173</v>
      </c>
      <c r="T156" s="154"/>
      <c r="U156" s="154"/>
      <c r="V156" s="154"/>
      <c r="W156" s="154"/>
      <c r="X156" s="154"/>
      <c r="Y156" s="158" t="n">
        <f aca="false">Y150-((Y153*1.2)+(Y154*1.2)+(Y155*1.2)+(Y151*1.2))</f>
        <v>58535</v>
      </c>
      <c r="Z156" s="164" t="n">
        <f aca="false">Z150-((Z153*1.2)+(Z154*1.2)+(Z155*1.2)+(Z151*1.2))</f>
        <v>44468.749</v>
      </c>
      <c r="AB156" s="154" t="s">
        <v>173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58535</v>
      </c>
      <c r="AI156" s="164" t="n">
        <f aca="false">AI150-((AI153*1.2)+(AI154*1.2)+(AI155*1.2)+(AI151*1.2))</f>
        <v>44468.749</v>
      </c>
    </row>
    <row r="157" customFormat="false" ht="17.35" hidden="false" customHeight="false" outlineLevel="0" collapsed="false">
      <c r="A157" s="154" t="s">
        <v>174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-47945.8333333333</v>
      </c>
      <c r="J157" s="154" t="s">
        <v>174</v>
      </c>
      <c r="K157" s="154"/>
      <c r="L157" s="154"/>
      <c r="M157" s="154"/>
      <c r="N157" s="154"/>
      <c r="O157" s="154"/>
      <c r="P157" s="156"/>
      <c r="Q157" s="40" t="n">
        <f aca="false">Q156-P156</f>
        <v>-21880</v>
      </c>
      <c r="S157" s="154" t="s">
        <v>174</v>
      </c>
      <c r="T157" s="154"/>
      <c r="U157" s="154"/>
      <c r="V157" s="154"/>
      <c r="W157" s="154"/>
      <c r="X157" s="154"/>
      <c r="Y157" s="156"/>
      <c r="Z157" s="40" t="n">
        <f aca="false">Z156-Y156</f>
        <v>-14066.251</v>
      </c>
      <c r="AB157" s="154" t="s">
        <v>174</v>
      </c>
      <c r="AC157" s="154"/>
      <c r="AD157" s="154"/>
      <c r="AE157" s="154"/>
      <c r="AF157" s="154"/>
      <c r="AG157" s="154"/>
      <c r="AH157" s="156"/>
      <c r="AI157" s="40" t="n">
        <f aca="false">AI156-AH156</f>
        <v>-14066.251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175</v>
      </c>
      <c r="B159" s="28"/>
      <c r="C159" s="28"/>
      <c r="D159" s="28"/>
      <c r="E159" s="28"/>
      <c r="F159" s="28"/>
      <c r="G159" s="28"/>
      <c r="H159" s="28"/>
      <c r="J159" s="28" t="s">
        <v>175</v>
      </c>
      <c r="K159" s="28"/>
      <c r="L159" s="28"/>
      <c r="M159" s="28"/>
      <c r="N159" s="28"/>
      <c r="O159" s="28"/>
      <c r="P159" s="28"/>
      <c r="Q159" s="28"/>
      <c r="S159" s="28" t="s">
        <v>175</v>
      </c>
      <c r="T159" s="28"/>
      <c r="U159" s="28"/>
      <c r="V159" s="28"/>
      <c r="W159" s="28"/>
      <c r="X159" s="28"/>
      <c r="Y159" s="28"/>
      <c r="Z159" s="28"/>
      <c r="AB159" s="28" t="s">
        <v>175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176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176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176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176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177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177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177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177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178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178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178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178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179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179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179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179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180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180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180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180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181</v>
      </c>
      <c r="B167" s="32"/>
      <c r="C167" s="32"/>
      <c r="D167" s="23"/>
      <c r="E167" s="32"/>
      <c r="F167" s="23"/>
      <c r="G167" s="170" t="n">
        <f aca="false">H156-G163-G166</f>
        <v>58535</v>
      </c>
      <c r="H167" s="170"/>
      <c r="J167" s="169" t="s">
        <v>181</v>
      </c>
      <c r="K167" s="32"/>
      <c r="L167" s="32"/>
      <c r="M167" s="23"/>
      <c r="N167" s="32"/>
      <c r="O167" s="23"/>
      <c r="P167" s="170" t="n">
        <f aca="false">Q156-P163-P166</f>
        <v>37655</v>
      </c>
      <c r="Q167" s="170"/>
      <c r="S167" s="169" t="s">
        <v>181</v>
      </c>
      <c r="T167" s="32"/>
      <c r="U167" s="32"/>
      <c r="V167" s="23"/>
      <c r="W167" s="32"/>
      <c r="X167" s="23"/>
      <c r="Y167" s="170" t="n">
        <f aca="false">Z156-Y163-Y166</f>
        <v>45468.749</v>
      </c>
      <c r="Z167" s="170"/>
      <c r="AB167" s="169" t="s">
        <v>181</v>
      </c>
      <c r="AC167" s="32"/>
      <c r="AD167" s="32"/>
      <c r="AE167" s="23"/>
      <c r="AF167" s="32"/>
      <c r="AG167" s="23"/>
      <c r="AH167" s="170" t="n">
        <f aca="false">AI156-AH163-AH166</f>
        <v>45468.749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182</v>
      </c>
      <c r="B171" s="28"/>
      <c r="C171" s="28"/>
      <c r="D171" s="28"/>
      <c r="E171" s="28"/>
      <c r="F171" s="28"/>
      <c r="G171" s="28"/>
      <c r="H171" s="28"/>
      <c r="J171" s="28" t="s">
        <v>182</v>
      </c>
      <c r="K171" s="28"/>
      <c r="L171" s="28"/>
      <c r="M171" s="28"/>
      <c r="N171" s="28"/>
      <c r="O171" s="28"/>
      <c r="P171" s="28"/>
      <c r="Q171" s="28"/>
      <c r="S171" s="28" t="s">
        <v>182</v>
      </c>
      <c r="T171" s="28"/>
      <c r="U171" s="28"/>
      <c r="V171" s="28"/>
      <c r="W171" s="28"/>
      <c r="X171" s="28"/>
      <c r="Y171" s="28"/>
      <c r="Z171" s="28"/>
      <c r="AB171" s="28" t="s">
        <v>182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183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183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183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183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184</v>
      </c>
      <c r="B175" s="174" t="s">
        <v>185</v>
      </c>
      <c r="C175" s="174"/>
      <c r="D175" s="174"/>
      <c r="E175" s="174" t="s">
        <v>186</v>
      </c>
      <c r="F175" s="23"/>
      <c r="G175" s="23" t="s">
        <v>187</v>
      </c>
      <c r="H175" s="33"/>
      <c r="J175" s="173" t="s">
        <v>184</v>
      </c>
      <c r="K175" s="175" t="s">
        <v>185</v>
      </c>
      <c r="L175" s="175"/>
      <c r="M175" s="175"/>
      <c r="N175" s="175" t="s">
        <v>186</v>
      </c>
      <c r="O175" s="23"/>
      <c r="P175" s="23"/>
      <c r="Q175" s="33"/>
      <c r="S175" s="173" t="s">
        <v>184</v>
      </c>
      <c r="T175" s="175" t="s">
        <v>185</v>
      </c>
      <c r="U175" s="175"/>
      <c r="V175" s="175"/>
      <c r="W175" s="175" t="s">
        <v>186</v>
      </c>
      <c r="X175" s="23"/>
      <c r="Y175" s="23"/>
      <c r="Z175" s="33"/>
      <c r="AB175" s="173" t="s">
        <v>184</v>
      </c>
      <c r="AC175" s="175" t="s">
        <v>185</v>
      </c>
      <c r="AD175" s="175"/>
      <c r="AE175" s="175"/>
      <c r="AF175" s="175" t="s">
        <v>186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1936.68289399417</v>
      </c>
      <c r="B176" s="177" t="n">
        <f aca="false">B103</f>
        <v>0</v>
      </c>
      <c r="C176" s="174"/>
      <c r="D176" s="174"/>
      <c r="E176" s="177" t="n">
        <f aca="false">B105</f>
        <v>1936.68289399417</v>
      </c>
      <c r="F176" s="23"/>
      <c r="G176" s="23" t="n">
        <f aca="false">ROUND(G104, 2)</f>
        <v>1791.85</v>
      </c>
      <c r="H176" s="33"/>
      <c r="J176" s="176" t="n">
        <f aca="false">K104</f>
        <v>1569.706327631</v>
      </c>
      <c r="K176" s="178" t="n">
        <f aca="false">K103</f>
        <v>0</v>
      </c>
      <c r="L176" s="175"/>
      <c r="M176" s="175"/>
      <c r="N176" s="178" t="n">
        <f aca="false">K105</f>
        <v>1569.706327631</v>
      </c>
      <c r="O176" s="23"/>
      <c r="P176" s="23"/>
      <c r="Q176" s="33"/>
      <c r="S176" s="176" t="n">
        <f aca="false">T104</f>
        <v>1674.61110912406</v>
      </c>
      <c r="T176" s="178" t="n">
        <f aca="false">T103</f>
        <v>0</v>
      </c>
      <c r="U176" s="175"/>
      <c r="V176" s="175"/>
      <c r="W176" s="178" t="n">
        <f aca="false">T105</f>
        <v>1674.61110912406</v>
      </c>
      <c r="X176" s="23"/>
      <c r="Y176" s="23"/>
      <c r="Z176" s="33"/>
      <c r="AB176" s="176" t="n">
        <f aca="false">AC104</f>
        <v>1674.61110912406</v>
      </c>
      <c r="AC176" s="178" t="n">
        <f aca="false">AC103</f>
        <v>0</v>
      </c>
      <c r="AD176" s="175"/>
      <c r="AE176" s="175"/>
      <c r="AF176" s="178" t="n">
        <f aca="false">AC105</f>
        <v>1674.61110912406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83</v>
      </c>
      <c r="B178" s="93" t="s">
        <v>84</v>
      </c>
      <c r="C178" s="93"/>
      <c r="D178" s="23"/>
      <c r="E178" s="93" t="s">
        <v>188</v>
      </c>
      <c r="F178" s="23"/>
      <c r="G178" s="23"/>
      <c r="H178" s="33"/>
      <c r="J178" s="31" t="s">
        <v>83</v>
      </c>
      <c r="K178" s="32" t="s">
        <v>84</v>
      </c>
      <c r="L178" s="32"/>
      <c r="M178" s="23"/>
      <c r="N178" s="32" t="s">
        <v>188</v>
      </c>
      <c r="O178" s="23"/>
      <c r="P178" s="23"/>
      <c r="Q178" s="33"/>
      <c r="S178" s="31" t="s">
        <v>83</v>
      </c>
      <c r="T178" s="32" t="s">
        <v>84</v>
      </c>
      <c r="U178" s="32"/>
      <c r="V178" s="23"/>
      <c r="W178" s="32" t="s">
        <v>188</v>
      </c>
      <c r="X178" s="23"/>
      <c r="Y178" s="23"/>
      <c r="Z178" s="33"/>
      <c r="AB178" s="31" t="s">
        <v>83</v>
      </c>
      <c r="AC178" s="32" t="s">
        <v>84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f aca="false">B91</f>
        <v>6000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93" t="s">
        <v>190</v>
      </c>
      <c r="C181" s="93"/>
      <c r="D181" s="23"/>
      <c r="E181" s="93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48237.5</v>
      </c>
      <c r="B182" s="103" t="n">
        <f aca="false">H146</f>
        <v>9647.5</v>
      </c>
      <c r="C182" s="186"/>
      <c r="D182" s="23"/>
      <c r="E182" s="182" t="n">
        <f aca="false">H148+H149</f>
        <v>650</v>
      </c>
      <c r="F182" s="23"/>
      <c r="G182" s="23"/>
      <c r="H182" s="33"/>
      <c r="J182" s="185" t="n">
        <f aca="false">Q150-Q146-Q148-Q149</f>
        <v>30012.5</v>
      </c>
      <c r="K182" s="38" t="n">
        <f aca="false">Q146</f>
        <v>6002.5</v>
      </c>
      <c r="L182" s="43"/>
      <c r="M182" s="23"/>
      <c r="N182" s="184" t="n">
        <f aca="false">Q148+Q149</f>
        <v>640</v>
      </c>
      <c r="O182" s="23"/>
      <c r="P182" s="23"/>
      <c r="Q182" s="33"/>
      <c r="S182" s="185" t="n">
        <f aca="false">Z150-Z146-Z148-Z149</f>
        <v>36523.9575</v>
      </c>
      <c r="T182" s="38" t="n">
        <f aca="false">Z146</f>
        <v>7304.7915</v>
      </c>
      <c r="U182" s="43"/>
      <c r="V182" s="23"/>
      <c r="W182" s="184" t="n">
        <f aca="false">Z148+Z149</f>
        <v>640</v>
      </c>
      <c r="X182" s="23"/>
      <c r="Y182" s="23"/>
      <c r="Z182" s="33"/>
      <c r="AB182" s="185" t="n">
        <f aca="false">AI150-AI146-AI148-AI149</f>
        <v>36523.9575</v>
      </c>
      <c r="AC182" s="38" t="n">
        <f aca="false">AI146</f>
        <v>7304.7915</v>
      </c>
      <c r="AD182" s="43"/>
      <c r="AE182" s="23"/>
      <c r="AF182" s="184" t="n">
        <f aca="false">AI148+AI149</f>
        <v>640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93" t="s">
        <v>138</v>
      </c>
      <c r="C184" s="93"/>
      <c r="D184" s="23"/>
      <c r="E184" s="93" t="s">
        <v>139</v>
      </c>
      <c r="F184" s="23"/>
      <c r="G184" s="23"/>
      <c r="H184" s="33"/>
      <c r="J184" s="31" t="s">
        <v>192</v>
      </c>
      <c r="K184" s="32" t="s">
        <v>138</v>
      </c>
      <c r="L184" s="32"/>
      <c r="M184" s="23"/>
      <c r="N184" s="32" t="s">
        <v>139</v>
      </c>
      <c r="O184" s="23"/>
      <c r="P184" s="23"/>
      <c r="Q184" s="33"/>
      <c r="S184" s="31" t="s">
        <v>192</v>
      </c>
      <c r="T184" s="32" t="s">
        <v>138</v>
      </c>
      <c r="U184" s="32"/>
      <c r="V184" s="23"/>
      <c r="W184" s="32" t="s">
        <v>139</v>
      </c>
      <c r="X184" s="23"/>
      <c r="Y184" s="23"/>
      <c r="Z184" s="33"/>
      <c r="AB184" s="31" t="s">
        <v>192</v>
      </c>
      <c r="AC184" s="32" t="s">
        <v>138</v>
      </c>
      <c r="AD184" s="32"/>
      <c r="AE184" s="23"/>
      <c r="AF184" s="32" t="s">
        <v>139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58535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36655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44468.749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44468.749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140</v>
      </c>
      <c r="B187" s="93" t="s">
        <v>176</v>
      </c>
      <c r="C187" s="93"/>
      <c r="D187" s="23"/>
      <c r="E187" s="93" t="s">
        <v>181</v>
      </c>
      <c r="F187" s="23"/>
      <c r="G187" s="23"/>
      <c r="H187" s="33"/>
      <c r="J187" s="31" t="s">
        <v>140</v>
      </c>
      <c r="K187" s="32" t="s">
        <v>176</v>
      </c>
      <c r="L187" s="32"/>
      <c r="M187" s="23"/>
      <c r="N187" s="32" t="s">
        <v>181</v>
      </c>
      <c r="O187" s="23"/>
      <c r="P187" s="23"/>
      <c r="Q187" s="33"/>
      <c r="S187" s="31" t="s">
        <v>140</v>
      </c>
      <c r="T187" s="32" t="s">
        <v>176</v>
      </c>
      <c r="U187" s="32"/>
      <c r="V187" s="23"/>
      <c r="W187" s="32" t="s">
        <v>181</v>
      </c>
      <c r="X187" s="23"/>
      <c r="Y187" s="23"/>
      <c r="Z187" s="33"/>
      <c r="AB187" s="31" t="s">
        <v>140</v>
      </c>
      <c r="AC187" s="32" t="s">
        <v>176</v>
      </c>
      <c r="AD187" s="32"/>
      <c r="AE187" s="23"/>
      <c r="AF187" s="32" t="s">
        <v>181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58535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37655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45468.749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45468.749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93" t="s">
        <v>53</v>
      </c>
      <c r="C190" s="93"/>
      <c r="D190" s="23"/>
      <c r="E190" s="93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9438.8526078134</v>
      </c>
      <c r="B191" s="103" t="str">
        <f aca="false">B123</f>
        <v>239.99</v>
      </c>
      <c r="C191" s="103"/>
      <c r="D191" s="23"/>
      <c r="E191" s="103" t="n">
        <f aca="false">E188+A191+B191+A194</f>
        <v>68223.8426078134</v>
      </c>
      <c r="F191" s="23"/>
      <c r="G191" s="23"/>
      <c r="H191" s="105"/>
      <c r="J191" s="111" t="n">
        <f aca="false">(J176*K68)+N194-N188-J194</f>
        <v>12587.602484192</v>
      </c>
      <c r="K191" s="38" t="n">
        <f aca="false">K123</f>
        <v>239.99</v>
      </c>
      <c r="L191" s="38"/>
      <c r="M191" s="23"/>
      <c r="N191" s="38" t="n">
        <f aca="false">N188+J191+K191+J194</f>
        <v>50502.592484192</v>
      </c>
      <c r="O191" s="23"/>
      <c r="P191" s="23"/>
      <c r="Q191" s="105"/>
      <c r="S191" s="111" t="n">
        <f aca="false">(S176*T68)+W194-W188-S194</f>
        <v>8130.80649196992</v>
      </c>
      <c r="T191" s="38" t="n">
        <f aca="false">T123</f>
        <v>199.99</v>
      </c>
      <c r="U191" s="38"/>
      <c r="V191" s="23"/>
      <c r="W191" s="38" t="n">
        <f aca="false">W188+S191+T191+S194</f>
        <v>53809.5454919699</v>
      </c>
      <c r="X191" s="23"/>
      <c r="Y191" s="23"/>
      <c r="Z191" s="105"/>
      <c r="AB191" s="111" t="n">
        <f aca="false">(AB176*AC68)+AF194-AF188-AB194</f>
        <v>8130.80649196992</v>
      </c>
      <c r="AC191" s="38" t="n">
        <f aca="false">AC123</f>
        <v>239.99</v>
      </c>
      <c r="AD191" s="38"/>
      <c r="AE191" s="23"/>
      <c r="AF191" s="38" t="n">
        <f aca="false">AF188+AB191+AC191+AB194</f>
        <v>53849.5454919699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93" t="s">
        <v>196</v>
      </c>
      <c r="C193" s="93"/>
      <c r="D193" s="23"/>
      <c r="E193" s="93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93" t="s">
        <v>199</v>
      </c>
      <c r="C196" s="93"/>
      <c r="D196" s="93"/>
      <c r="E196" s="166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13.8924</v>
      </c>
      <c r="B197" s="103" t="n">
        <f aca="false">(G167*B76)/1.2</f>
        <v>457.3046875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0.11707</v>
      </c>
      <c r="K197" s="38" t="n">
        <f aca="false">(P167*K76)/1.2</f>
        <v>2255.37760416667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355.2246015625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355.2246015625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6" t="s">
        <v>202</v>
      </c>
      <c r="C199" s="93"/>
      <c r="D199" s="93"/>
      <c r="E199" s="166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557.296354166667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3395.36760416667</v>
      </c>
      <c r="L200" s="32"/>
      <c r="M200" s="32"/>
      <c r="N200" s="38" t="n">
        <f aca="false">Q157</f>
        <v>-21880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1455.2146015625</v>
      </c>
      <c r="U200" s="32"/>
      <c r="V200" s="32"/>
      <c r="W200" s="38" t="n">
        <f aca="false">Z157</f>
        <v>-14066.251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1495.2146015625</v>
      </c>
      <c r="AD200" s="32"/>
      <c r="AE200" s="32"/>
      <c r="AF200" s="38" t="n">
        <f aca="false">AI157</f>
        <v>-14066.251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93"/>
      <c r="C202" s="93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83</v>
      </c>
      <c r="B204" s="71" t="s">
        <v>84</v>
      </c>
      <c r="C204" s="71"/>
      <c r="D204" s="71"/>
      <c r="E204" s="23"/>
      <c r="F204" s="23"/>
      <c r="G204" s="23"/>
      <c r="H204" s="33"/>
      <c r="J204" s="187" t="s">
        <v>83</v>
      </c>
      <c r="K204" s="188" t="s">
        <v>84</v>
      </c>
      <c r="L204" s="188"/>
      <c r="M204" s="188"/>
      <c r="N204" s="23"/>
      <c r="O204" s="23"/>
      <c r="P204" s="23"/>
      <c r="Q204" s="33"/>
      <c r="S204" s="187" t="s">
        <v>83</v>
      </c>
      <c r="T204" s="71" t="s">
        <v>84</v>
      </c>
      <c r="U204" s="71"/>
      <c r="V204" s="71"/>
      <c r="W204" s="23"/>
      <c r="X204" s="23"/>
      <c r="Y204" s="23"/>
      <c r="Z204" s="33"/>
      <c r="AB204" s="187" t="s">
        <v>83</v>
      </c>
      <c r="AC204" s="71" t="s">
        <v>84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1936.68289399417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1569.706327631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1674.61110912406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1674.61110912406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205</v>
      </c>
      <c r="B209" s="93" t="s">
        <v>206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4804.2</v>
      </c>
      <c r="B210" s="186" t="n">
        <f aca="false">E188+A210+B191+A194</f>
        <v>63589.19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182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127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207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184</v>
      </c>
      <c r="B220" s="192" t="s">
        <v>185</v>
      </c>
      <c r="C220" s="192"/>
      <c r="D220" s="192"/>
      <c r="E220" s="192" t="s">
        <v>186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1936.68289399417</v>
      </c>
      <c r="B221" s="177" t="n">
        <f aca="false">B176</f>
        <v>0</v>
      </c>
      <c r="C221" s="174"/>
      <c r="D221" s="174"/>
      <c r="E221" s="177" t="n">
        <f aca="false">E176</f>
        <v>1936.68289399417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189</v>
      </c>
      <c r="B223" s="93" t="s">
        <v>190</v>
      </c>
      <c r="C223" s="93"/>
      <c r="D223" s="113"/>
      <c r="E223" s="93" t="s">
        <v>191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48237.5</v>
      </c>
      <c r="B224" s="103" t="n">
        <f aca="false">B182</f>
        <v>9647.5</v>
      </c>
      <c r="C224" s="186"/>
      <c r="D224" s="113"/>
      <c r="E224" s="182" t="n">
        <f aca="false">E182</f>
        <v>650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192</v>
      </c>
      <c r="B226" s="93" t="s">
        <v>138</v>
      </c>
      <c r="C226" s="93"/>
      <c r="D226" s="113"/>
      <c r="E226" s="93" t="s">
        <v>139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58535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140</v>
      </c>
      <c r="B229" s="93" t="s">
        <v>176</v>
      </c>
      <c r="C229" s="93"/>
      <c r="D229" s="113"/>
      <c r="E229" s="93" t="s">
        <v>181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58535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193</v>
      </c>
      <c r="B232" s="93" t="s">
        <v>53</v>
      </c>
      <c r="C232" s="93"/>
      <c r="D232" s="113"/>
      <c r="E232" s="93" t="s">
        <v>194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9438.8526078134</v>
      </c>
      <c r="B233" s="103" t="str">
        <f aca="false">B191</f>
        <v>239.99</v>
      </c>
      <c r="C233" s="103"/>
      <c r="D233" s="113"/>
      <c r="E233" s="103" t="n">
        <f aca="false">E191</f>
        <v>68223.8426078134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195</v>
      </c>
      <c r="B235" s="93" t="s">
        <v>196</v>
      </c>
      <c r="C235" s="93"/>
      <c r="D235" s="113"/>
      <c r="E235" s="93" t="s">
        <v>208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184</v>
      </c>
      <c r="B238" s="93" t="s">
        <v>185</v>
      </c>
      <c r="C238" s="93"/>
      <c r="D238" s="93"/>
      <c r="E238" s="93" t="s">
        <v>186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1936.68289399417</v>
      </c>
      <c r="B239" s="103" t="n">
        <f aca="false">B176</f>
        <v>0</v>
      </c>
      <c r="C239" s="186"/>
      <c r="D239" s="186"/>
      <c r="E239" s="103" t="n">
        <f aca="false">E176</f>
        <v>1936.68289399417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209</v>
      </c>
      <c r="B241" s="93" t="s">
        <v>210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41.6772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211</v>
      </c>
      <c r="B244" s="166" t="s">
        <v>73</v>
      </c>
      <c r="C244" s="93"/>
      <c r="D244" s="93"/>
      <c r="E244" s="166" t="s">
        <v>132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13.8924</v>
      </c>
      <c r="B245" s="103" t="n">
        <f aca="false">E242+A245</f>
        <v>55.5696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212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213</v>
      </c>
      <c r="B248" s="93" t="s">
        <v>199</v>
      </c>
      <c r="C248" s="93"/>
      <c r="D248" s="93"/>
      <c r="E248" s="166" t="s">
        <v>200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457.3046875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201</v>
      </c>
      <c r="B251" s="166" t="s">
        <v>202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557.296354166667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214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215</v>
      </c>
      <c r="B262" s="196" t="n">
        <f aca="false">B72</f>
        <v>0.065</v>
      </c>
      <c r="C262" s="197"/>
      <c r="D262" s="198" t="s">
        <v>216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217</v>
      </c>
      <c r="B263" s="199" t="n">
        <f aca="false">(E191-B191)-(B210-B191-A194)</f>
        <v>4644.65260781341</v>
      </c>
      <c r="C263" s="197"/>
      <c r="D263" s="198" t="s">
        <v>218</v>
      </c>
      <c r="E263" s="198"/>
      <c r="F263" s="200" t="n">
        <f aca="false">F270+F276+F278+B279+B280</f>
        <v>548.765625</v>
      </c>
      <c r="G263" s="23"/>
      <c r="H263" s="33"/>
    </row>
    <row r="264" customFormat="false" ht="17.35" hidden="false" customHeight="false" outlineLevel="0" collapsed="false">
      <c r="A264" s="191" t="s">
        <v>219</v>
      </c>
      <c r="B264" s="200" t="n">
        <f aca="false">F271+B272</f>
        <v>99.9916666666667</v>
      </c>
      <c r="C264" s="197"/>
      <c r="D264" s="198" t="s">
        <v>220</v>
      </c>
      <c r="E264" s="198"/>
      <c r="F264" s="200" t="n">
        <f aca="false">(B263-F263)+B264</f>
        <v>4195.87864948007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215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221</v>
      </c>
      <c r="B268" s="205" t="n">
        <f aca="false">B73</f>
        <v>0.05</v>
      </c>
      <c r="C268" s="32"/>
      <c r="D268" s="166" t="s">
        <v>222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216</v>
      </c>
      <c r="B269" s="209" t="n">
        <f aca="false">B92</f>
        <v>0.115</v>
      </c>
      <c r="C269" s="43"/>
      <c r="D269" s="166" t="s">
        <v>217</v>
      </c>
      <c r="E269" s="166"/>
      <c r="F269" s="146" t="n">
        <f aca="false">B263</f>
        <v>4644.65260781341</v>
      </c>
      <c r="G269" s="23"/>
      <c r="H269" s="33"/>
    </row>
    <row r="270" customFormat="false" ht="17.35" hidden="false" customHeight="false" outlineLevel="0" collapsed="false">
      <c r="A270" s="31" t="s">
        <v>223</v>
      </c>
      <c r="B270" s="209" t="n">
        <f aca="false">B76</f>
        <v>0.009375</v>
      </c>
      <c r="C270" s="32"/>
      <c r="D270" s="166" t="s">
        <v>223</v>
      </c>
      <c r="E270" s="166"/>
      <c r="F270" s="151" t="n">
        <f aca="false">B77</f>
        <v>548.765625</v>
      </c>
      <c r="G270" s="23"/>
      <c r="H270" s="33"/>
    </row>
    <row r="271" customFormat="false" ht="17.35" hidden="false" customHeight="false" outlineLevel="0" collapsed="false">
      <c r="A271" s="31" t="s">
        <v>224</v>
      </c>
      <c r="B271" s="205" t="n">
        <f aca="false">A117</f>
        <v>0.2</v>
      </c>
      <c r="C271" s="32"/>
      <c r="D271" s="166" t="s">
        <v>224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225</v>
      </c>
      <c r="B272" s="146" t="n">
        <f aca="false">A252</f>
        <v>99.9916666666667</v>
      </c>
      <c r="C272" s="32"/>
      <c r="D272" s="39" t="s">
        <v>220</v>
      </c>
      <c r="E272" s="39"/>
      <c r="F272" s="146" t="n">
        <f aca="false">(B263-F263)+B264</f>
        <v>4195.87864948007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226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227</v>
      </c>
      <c r="B275" s="151" t="n">
        <v>0</v>
      </c>
      <c r="C275" s="32"/>
      <c r="D275" s="210" t="s">
        <v>228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229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230</v>
      </c>
      <c r="B277" s="211" t="s">
        <v>4</v>
      </c>
      <c r="C277" s="32"/>
      <c r="D277" s="166" t="s">
        <v>231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232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233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234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353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128</v>
      </c>
      <c r="B26" s="222" t="s">
        <v>390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182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36.0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183</v>
      </c>
      <c r="B30" s="172" t="s">
        <v>391</v>
      </c>
      <c r="C30" s="172"/>
      <c r="D30" s="215"/>
      <c r="E30" s="216"/>
      <c r="F30" s="63"/>
      <c r="G30" s="218" t="s">
        <v>32</v>
      </c>
      <c r="H30" s="457" t="n">
        <v>10000.0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66666.66666666667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83</v>
      </c>
      <c r="B32" s="215" t="s">
        <v>84</v>
      </c>
      <c r="C32" s="215"/>
      <c r="D32" s="458" t="s">
        <v>354</v>
      </c>
      <c r="E32" s="216"/>
      <c r="F32" s="63"/>
      <c r="G32" s="218" t="s">
        <v>36</v>
      </c>
      <c r="I32" s="449" t="n">
        <v>6000.0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202.391285687645</v>
      </c>
      <c r="E33" s="216"/>
      <c r="F33" s="63"/>
      <c r="G33" s="219" t="s">
        <v>355</v>
      </c>
      <c r="H33" s="460" t="n">
        <f aca="false">E21-E11</f>
        <v>18375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371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356</v>
      </c>
      <c r="B35" s="215" t="s">
        <v>357</v>
      </c>
      <c r="C35" s="215"/>
      <c r="D35" s="215" t="s">
        <v>358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152.391285687645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359</v>
      </c>
      <c r="B39" s="215" t="s">
        <v>360</v>
      </c>
      <c r="C39" s="215"/>
      <c r="D39" s="215" t="s">
        <v>361</v>
      </c>
      <c r="E39" s="216"/>
      <c r="F39" s="63"/>
      <c r="G39" s="63" t="s">
        <v>85</v>
      </c>
      <c r="H39" s="238" t="n">
        <f aca="false">H33</f>
        <v>18375</v>
      </c>
      <c r="I39" s="238" t="n">
        <f aca="false">(I48*H46)+H44</f>
        <v>57161.3120530432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107</v>
      </c>
      <c r="H40" s="238" t="n">
        <f aca="false">A40/1.2</f>
        <v>16666.6666666667</v>
      </c>
      <c r="I40" s="238" t="n">
        <f aca="false">H39-I39</f>
        <v>-38786.3120530432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362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363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364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77</v>
      </c>
      <c r="B44" s="215"/>
      <c r="C44" s="363" t="s">
        <v>78</v>
      </c>
      <c r="D44" s="363"/>
      <c r="E44" s="216"/>
      <c r="F44" s="63"/>
      <c r="G44" s="63" t="s">
        <v>372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30.0</v>
      </c>
      <c r="B45" s="215"/>
      <c r="C45" s="463" t="n">
        <v>30.0</v>
      </c>
      <c r="D45" s="463"/>
      <c r="E45" s="216"/>
      <c r="F45" s="63"/>
      <c r="G45" s="63" t="s">
        <v>373</v>
      </c>
      <c r="H45" s="238" t="n">
        <f aca="false">(H39-H44)</f>
        <v>4935.41495666159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374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368</v>
      </c>
      <c r="H47" s="238" t="n">
        <f aca="false">H45/H46</f>
        <v>152.391285687645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464" t="s">
        <v>369</v>
      </c>
      <c r="H48" s="238" t="n">
        <f aca="false">IF(B26="YES", H47+H42, H47)</f>
        <v>202.391285687645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370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202.391285687645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85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85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86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86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375</v>
      </c>
      <c r="B60" s="215" t="n">
        <f aca="false">E19</f>
        <v>22050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37405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C64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91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91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0.01</v>
      </c>
      <c r="C65" s="215"/>
      <c r="D65" s="291"/>
      <c r="E65" s="216"/>
      <c r="F65" s="63"/>
      <c r="G65" s="292" t="s">
        <v>92</v>
      </c>
      <c r="H65" s="293" t="n">
        <v>0.01</v>
      </c>
      <c r="I65" s="215"/>
      <c r="J65" s="215"/>
      <c r="K65" s="216"/>
      <c r="L65" s="63"/>
      <c r="M65" s="292" t="s">
        <v>92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0.02</v>
      </c>
      <c r="C66" s="467" t="s">
        <v>223</v>
      </c>
      <c r="D66" s="215"/>
      <c r="E66" s="216"/>
      <c r="F66" s="63"/>
      <c r="G66" s="214" t="s">
        <v>93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93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B60*B66</f>
        <v>441</v>
      </c>
      <c r="C67" s="468" t="s">
        <v>223</v>
      </c>
      <c r="D67" s="469"/>
      <c r="E67" s="216"/>
      <c r="F67" s="63"/>
      <c r="G67" s="285" t="s">
        <v>94</v>
      </c>
      <c r="H67" s="133" t="n">
        <f aca="false">(H61*H66)/1.2</f>
        <v>0</v>
      </c>
      <c r="I67" s="215"/>
      <c r="J67" s="291"/>
      <c r="K67" s="216"/>
      <c r="L67" s="63"/>
      <c r="M67" s="285" t="s">
        <v>94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470"/>
      <c r="D68" s="291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292" t="s">
        <v>95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295" t="s">
        <v>96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297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285" t="s">
        <v>97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200.0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292" t="s">
        <v>98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5.0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295" t="s">
        <v>99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229</v>
      </c>
      <c r="F73" s="63"/>
      <c r="G73" s="285" t="s">
        <v>100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100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165.0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508.75</v>
      </c>
      <c r="C76" s="215"/>
      <c r="D76" s="291" t="n">
        <f aca="false">B76</f>
        <v>508.75</v>
      </c>
      <c r="E76" s="216"/>
      <c r="F76" s="63"/>
      <c r="G76" s="285" t="s">
        <v>281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12.3456790123457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200.0</v>
      </c>
      <c r="C79" s="473"/>
      <c r="D79" s="291" t="n">
        <f aca="false">B79</f>
        <v>200</v>
      </c>
      <c r="E79" s="466"/>
      <c r="F79" s="63"/>
      <c r="G79" s="295" t="s">
        <v>101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101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200.0</v>
      </c>
      <c r="C80" s="473"/>
      <c r="D80" s="291" t="n">
        <f aca="false">B80</f>
        <v>200</v>
      </c>
      <c r="E80" s="466" t="n">
        <f aca="false">(D73+D76+D79+D80)/(B58+B57)</f>
        <v>35.7986111111111</v>
      </c>
      <c r="F80" s="63"/>
      <c r="G80" s="301" t="s">
        <v>102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102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11955.4166666667</v>
      </c>
      <c r="C81" s="473"/>
      <c r="D81" s="474"/>
      <c r="E81" s="466"/>
      <c r="F81" s="63"/>
      <c r="G81" s="303" t="s">
        <v>103</v>
      </c>
      <c r="H81" s="304" t="n">
        <f aca="false">SUM(J64:J80)</f>
        <v>1065.75</v>
      </c>
      <c r="I81" s="215"/>
      <c r="J81" s="215"/>
      <c r="K81" s="216"/>
      <c r="L81" s="63"/>
      <c r="M81" s="303" t="s">
        <v>103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332.094907407407</v>
      </c>
      <c r="C82" s="473"/>
      <c r="D82" s="215"/>
      <c r="E82" s="466"/>
      <c r="F82" s="63"/>
      <c r="G82" s="214" t="s">
        <v>104</v>
      </c>
      <c r="H82" s="300" t="n">
        <f aca="false">H81/H29</f>
        <v>29.6041666666667</v>
      </c>
      <c r="I82" s="215"/>
      <c r="J82" s="215"/>
      <c r="K82" s="216"/>
      <c r="L82" s="63"/>
      <c r="M82" s="214" t="s">
        <v>104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H47</f>
        <v>152.391285687645</v>
      </c>
      <c r="C83" s="473"/>
      <c r="D83" s="215"/>
      <c r="E83" s="466" t="n">
        <f aca="false">B83+E80+E77+E64</f>
        <v>478.313353588879</v>
      </c>
      <c r="F83" s="63"/>
      <c r="G83" s="305" t="s">
        <v>105</v>
      </c>
      <c r="H83" s="306" t="n">
        <f aca="false">H47</f>
        <v>152.391285687645</v>
      </c>
      <c r="I83" s="215"/>
      <c r="J83" s="215"/>
      <c r="K83" s="216"/>
      <c r="L83" s="63"/>
      <c r="M83" s="305" t="s">
        <v>105</v>
      </c>
      <c r="N83" s="306" t="n">
        <f aca="false">H47</f>
        <v>152.391285687645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((B83*H29)+B81)</f>
        <v>17441.5029514219</v>
      </c>
      <c r="C85" s="473"/>
      <c r="D85" s="473"/>
      <c r="E85" s="466" t="n">
        <f aca="false">B85/(B58+B57)</f>
        <v>484.486193095052</v>
      </c>
      <c r="F85" s="63"/>
      <c r="G85" s="288" t="s">
        <v>115</v>
      </c>
      <c r="H85" s="131" t="n">
        <f aca="false">((H83*H29)+H81)*1.2</f>
        <v>7862.20354170625</v>
      </c>
      <c r="I85" s="215"/>
      <c r="J85" s="215"/>
      <c r="K85" s="216"/>
      <c r="L85" s="63"/>
      <c r="M85" s="288" t="s">
        <v>115</v>
      </c>
      <c r="N85" s="131" t="n">
        <f aca="false">((N83*H29)+N81)</f>
        <v>6208.08628475521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(((B83*H29)+B81)/(1-B70))*B70</f>
        <v>147.749722460613</v>
      </c>
      <c r="C86" s="473" t="s">
        <v>232</v>
      </c>
      <c r="D86" s="215"/>
      <c r="E86" s="466" t="n">
        <f aca="false">B86/(B58+B57)</f>
        <v>4.10415895723925</v>
      </c>
      <c r="F86" s="63"/>
      <c r="G86" s="214" t="s">
        <v>116</v>
      </c>
      <c r="H86" s="300" t="n">
        <f aca="false">((((H83*H29)+H81))/(1-H70))*H70</f>
        <v>55.5016385558126</v>
      </c>
      <c r="I86" s="215"/>
      <c r="J86" s="215"/>
      <c r="K86" s="216"/>
      <c r="L86" s="63"/>
      <c r="M86" s="214" t="s">
        <v>116</v>
      </c>
      <c r="N86" s="300" t="n">
        <f aca="false">(N85/(1-N70))*N70</f>
        <v>52.589678087882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IF(B110="YES",((B85+B86)-E114),((B85+B86)))</f>
        <v>17589.2526738825</v>
      </c>
      <c r="C87" s="473"/>
      <c r="D87" s="475"/>
      <c r="E87" s="466" t="n">
        <f aca="false">E86+E85</f>
        <v>488.590352052291</v>
      </c>
      <c r="F87" s="63"/>
      <c r="G87" s="285" t="s">
        <v>117</v>
      </c>
      <c r="H87" s="133" t="n">
        <f aca="false">IF(H110="YES",((H85+H86)-K114),(H85+H86))</f>
        <v>7917.70518026207</v>
      </c>
      <c r="I87" s="215"/>
      <c r="J87" s="215"/>
      <c r="K87" s="216"/>
      <c r="L87" s="63"/>
      <c r="M87" s="285" t="s">
        <v>117</v>
      </c>
      <c r="N87" s="133" t="n">
        <f aca="false">IF(N110="YES",((N85+N86)-Q114),(N85+N86))</f>
        <v>6260.67596284309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4" t="n">
        <f aca="false">IF(B99=Y98, (I32+(I32*B105))/(B58), (I32+(I32*B105))/(B57+B58))*(C45/100)</f>
        <v>65</v>
      </c>
      <c r="C89" s="473"/>
      <c r="D89" s="215"/>
      <c r="E89" s="216"/>
      <c r="F89" s="63"/>
      <c r="G89" s="303" t="s">
        <v>118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118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IF(B99=Y98, (B87-D105)/(B58), B87/(B57+B58))</f>
        <v>488.590352052291</v>
      </c>
      <c r="C90" s="473"/>
      <c r="D90" s="215"/>
      <c r="E90" s="476"/>
      <c r="F90" s="63"/>
      <c r="G90" s="308" t="s">
        <v>119</v>
      </c>
      <c r="H90" s="309" t="n">
        <f aca="false">IF(H99=Y98, (H87-J105)/(H58), H87/(H57+H58))</f>
        <v>193.114760494197</v>
      </c>
      <c r="I90" s="215"/>
      <c r="J90" s="215"/>
      <c r="K90" s="216"/>
      <c r="L90" s="63"/>
      <c r="M90" s="308" t="s">
        <v>119</v>
      </c>
      <c r="N90" s="309" t="n">
        <f aca="false">IF(N99=Y98, (N87-P105)/(N58), N87/(N57+N58))</f>
        <v>152.69941372788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553.590352052291</v>
      </c>
      <c r="C91" s="473"/>
      <c r="D91" s="477"/>
      <c r="E91" s="430"/>
      <c r="F91" s="63"/>
      <c r="G91" s="310" t="s">
        <v>120</v>
      </c>
      <c r="H91" s="311" t="n">
        <f aca="false">IF(G105="YES", H90+H89, H90)</f>
        <v>403.84646781127</v>
      </c>
      <c r="I91" s="215"/>
      <c r="J91" s="215"/>
      <c r="K91" s="216"/>
      <c r="L91" s="63"/>
      <c r="M91" s="310" t="s">
        <v>120</v>
      </c>
      <c r="N91" s="311" t="n">
        <f aca="false">IF(M105="YES", N90+N89, N90)</f>
        <v>328.309169825441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341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376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217" t="s">
        <v>126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130</v>
      </c>
      <c r="Z97" s="63"/>
      <c r="AC97" s="388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214" t="s">
        <v>127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130</v>
      </c>
      <c r="C99" s="312"/>
      <c r="D99" s="107" t="n">
        <v>1000.0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377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214" t="s">
        <v>287</v>
      </c>
      <c r="N101" s="215" t="s">
        <v>288</v>
      </c>
      <c r="O101" s="215"/>
      <c r="P101" s="215" t="s">
        <v>289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220" t="s">
        <v>128</v>
      </c>
      <c r="N104" s="63" t="s">
        <v>131</v>
      </c>
      <c r="O104" s="215"/>
      <c r="P104" s="215" t="s">
        <v>142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390</v>
      </c>
      <c r="B105" s="314" t="n">
        <v>0.3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342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217" t="s">
        <v>290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291</v>
      </c>
      <c r="B110" s="222" t="s">
        <v>388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214" t="s">
        <v>291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0.0</v>
      </c>
      <c r="E112" s="107" t="n">
        <v>6000.0</v>
      </c>
      <c r="F112" s="63"/>
      <c r="G112" s="214" t="s">
        <v>176</v>
      </c>
      <c r="H112" s="215"/>
      <c r="I112" s="215"/>
      <c r="J112" s="313" t="n">
        <v>0</v>
      </c>
      <c r="K112" s="107" t="n">
        <v>0</v>
      </c>
      <c r="L112" s="63"/>
      <c r="M112" s="214" t="s">
        <v>176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177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177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178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178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-6000</v>
      </c>
      <c r="E115" s="216"/>
      <c r="F115" s="63"/>
      <c r="G115" s="214" t="s">
        <v>179</v>
      </c>
      <c r="H115" s="215"/>
      <c r="I115" s="215"/>
      <c r="J115" s="166" t="n">
        <f aca="false">J114-K114</f>
        <v>0</v>
      </c>
      <c r="K115" s="216"/>
      <c r="L115" s="63"/>
      <c r="M115" s="214" t="s">
        <v>179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f aca="false">D99</f>
        <v>1000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288" t="s">
        <v>138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292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292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217" t="s">
        <v>293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0.0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214" t="s">
        <v>183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296</v>
      </c>
      <c r="H126" s="328" t="s">
        <v>297</v>
      </c>
      <c r="I126" s="328"/>
      <c r="J126" s="328" t="s">
        <v>298</v>
      </c>
      <c r="K126" s="216"/>
      <c r="L126" s="63"/>
      <c r="M126" s="327" t="s">
        <v>343</v>
      </c>
      <c r="N126" s="328" t="s">
        <v>252</v>
      </c>
      <c r="O126" s="328"/>
      <c r="P126" s="328" t="s">
        <v>120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333" t="n">
        <f aca="false">H90</f>
        <v>193.114760494197</v>
      </c>
      <c r="H127" s="177" t="n">
        <f aca="false">IF(G105="YES", H89*H57, 0)</f>
        <v>1264.39024390244</v>
      </c>
      <c r="I127" s="177"/>
      <c r="J127" s="334" t="n">
        <f aca="false">H91</f>
        <v>403.84646781127</v>
      </c>
      <c r="K127" s="216"/>
      <c r="L127" s="63"/>
      <c r="M127" s="333" t="n">
        <f aca="false">N90</f>
        <v>152.69941372788</v>
      </c>
      <c r="N127" s="177" t="n">
        <f aca="false">IF(M105="YES", N89*N57, 0)</f>
        <v>1053.65853658537</v>
      </c>
      <c r="O127" s="177"/>
      <c r="P127" s="177" t="n">
        <f aca="false">N91</f>
        <v>328.309169825441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488.590352052291</v>
      </c>
      <c r="B128" s="321" t="n">
        <f aca="false">IF(A105="YES", B89, 0)</f>
        <v>65</v>
      </c>
      <c r="C128" s="325"/>
      <c r="D128" s="321" t="n">
        <f aca="false">B91</f>
        <v>553.590352052291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83</v>
      </c>
      <c r="H129" s="215" t="s">
        <v>84</v>
      </c>
      <c r="I129" s="215"/>
      <c r="J129" s="215" t="s">
        <v>86</v>
      </c>
      <c r="K129" s="216"/>
      <c r="L129" s="63"/>
      <c r="M129" s="214" t="s">
        <v>83</v>
      </c>
      <c r="N129" s="215" t="s">
        <v>84</v>
      </c>
      <c r="O129" s="215"/>
      <c r="P129" s="215" t="s">
        <v>86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488.590352052291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214" t="s">
        <v>344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1158.68856296518</v>
      </c>
      <c r="H133" s="103" t="n">
        <f aca="false">IF(G105="YES", H89*H57, 0)</f>
        <v>1264.39024390244</v>
      </c>
      <c r="I133" s="221"/>
      <c r="J133" s="184" t="n">
        <f aca="false">H91*H57</f>
        <v>2423.07880686762</v>
      </c>
      <c r="K133" s="216"/>
      <c r="L133" s="63"/>
      <c r="M133" s="185" t="n">
        <f aca="false">N90*N57</f>
        <v>916.196482367282</v>
      </c>
      <c r="N133" s="103" t="n">
        <f aca="false">IF(M105="YES", N89*N57, 0)</f>
        <v>1053.65853658537</v>
      </c>
      <c r="O133" s="221"/>
      <c r="P133" s="184" t="n">
        <f aca="false">N91*N57</f>
        <v>1969.85501895265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553.590352052291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488.590352052291</v>
      </c>
      <c r="B137" s="38" t="n">
        <f aca="false">IF(A105="YES", B89, 0)</f>
        <v>65</v>
      </c>
      <c r="C137" s="317"/>
      <c r="D137" s="38" t="n">
        <f aca="false">B91</f>
        <v>553.590352052291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214" t="s">
        <v>141</v>
      </c>
      <c r="N138" s="215" t="s">
        <v>310</v>
      </c>
      <c r="O138" s="215"/>
      <c r="P138" s="215" t="s">
        <v>311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26.9316</v>
      </c>
      <c r="B140" s="343" t="n">
        <f aca="false">IF(A105="YES", B61*0.000002, 0)*1.2*100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214" t="s">
        <v>313</v>
      </c>
      <c r="N141" s="215" t="s">
        <v>314</v>
      </c>
      <c r="O141" s="215"/>
      <c r="P141" s="215" t="s">
        <v>315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214" t="s">
        <v>317</v>
      </c>
      <c r="N144" s="215" t="s">
        <v>318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345</v>
      </c>
      <c r="N147" s="166" t="s">
        <v>346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441</v>
      </c>
      <c r="B148" s="103" t="n">
        <f aca="false">B102</f>
        <v>400</v>
      </c>
      <c r="C148" s="38"/>
      <c r="D148" s="38" t="n">
        <f aca="false">IF(A105="YES", (B40*B105)*B125, 0)*0.1</f>
        <v>54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994.99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323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403.84646781127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83</v>
      </c>
      <c r="N153" s="251" t="s">
        <v>84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328.309169825441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553.590352052291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488.590352052291</v>
      </c>
      <c r="B177" s="355" t="n">
        <f aca="false">IF(A105="YES", B89, 0)</f>
        <v>65</v>
      </c>
      <c r="C177" s="357"/>
      <c r="D177" s="355" t="n">
        <f aca="false">B91</f>
        <v>553.590352052291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488.590352052291</v>
      </c>
      <c r="C180" s="353"/>
      <c r="D180" s="103" t="n">
        <f aca="false">IF(A105="YES", B89*B57,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553.590352052291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488.590352052291</v>
      </c>
      <c r="B186" s="103" t="n">
        <f aca="false">IF(A105="YES", B89, 0)</f>
        <v>65</v>
      </c>
      <c r="C186" s="353"/>
      <c r="D186" s="103" t="n">
        <f aca="false">B91</f>
        <v>553.590352052291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26.9316</v>
      </c>
      <c r="B189" s="365" t="n">
        <f aca="false">B140</f>
        <v>8.9772</v>
      </c>
      <c r="C189" s="353"/>
      <c r="D189" s="365" t="n">
        <f aca="false">A189+B189</f>
        <v>35.9088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441</v>
      </c>
      <c r="B197" s="103" t="n">
        <f aca="false">B102</f>
        <v>400</v>
      </c>
      <c r="C197" s="103"/>
      <c r="D197" s="103" t="n">
        <f aca="false">IF(A105="YES", (B40*B105)*B125, 0)*0.1</f>
        <v>54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994.99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0.07</v>
      </c>
      <c r="C209" s="321" t="s">
        <v>217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441</v>
      </c>
      <c r="C211" s="320" t="s">
        <v>219</v>
      </c>
      <c r="D211" s="370" t="n">
        <f aca="false">B225+E221+B221+B223</f>
        <v>879.99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10438.99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D64</f>
        <v>10000</v>
      </c>
      <c r="C217" s="375" t="s">
        <v>223</v>
      </c>
      <c r="D217" s="317"/>
      <c r="E217" s="376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B67</f>
        <v>441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(B77-(B77*(E219*100)))*0.1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B78-(B78*(E219*100))</f>
        <v>200</v>
      </c>
      <c r="C223" s="336" t="s">
        <v>220</v>
      </c>
      <c r="D223" s="317"/>
      <c r="E223" s="33" t="n">
        <f aca="false">(B217-B211+D211)</f>
        <v>10438.99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540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B71</f>
        <v>200</v>
      </c>
      <c r="C229" s="336" t="s">
        <v>228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B68</f>
        <v>0.0075</v>
      </c>
      <c r="C231" s="336" t="s">
        <v>231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B86</f>
        <v>147.749722460613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B79</f>
        <v>200</v>
      </c>
      <c r="C233" s="382" t="s">
        <v>330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B80</f>
        <v>200</v>
      </c>
      <c r="C235" s="386" t="s">
        <v>331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4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145</v>
      </c>
      <c r="C2" s="439"/>
      <c r="D2" s="439" t="s">
        <v>146</v>
      </c>
      <c r="E2" s="439"/>
      <c r="F2" s="439" t="s">
        <v>147</v>
      </c>
      <c r="G2" s="439"/>
      <c r="H2" s="440" t="s">
        <v>148</v>
      </c>
      <c r="I2" s="2"/>
      <c r="J2" s="2"/>
    </row>
    <row r="3" customFormat="false" ht="17.35" hidden="false" customHeight="false" outlineLevel="0" collapsed="false">
      <c r="A3" s="31" t="s">
        <v>151</v>
      </c>
      <c r="B3" s="441" t="n">
        <v>17895.0</v>
      </c>
      <c r="C3" s="441" t="n">
        <v>0</v>
      </c>
      <c r="D3" s="441" t="n">
        <v>0.0</v>
      </c>
      <c r="E3" s="441"/>
      <c r="F3" s="441" t="n">
        <v>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152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153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154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155</v>
      </c>
      <c r="B7" s="155" t="n">
        <f aca="false">B3-B6</f>
        <v>19837.5</v>
      </c>
      <c r="C7" s="155" t="n">
        <f aca="false">C3-C6</f>
        <v>0</v>
      </c>
      <c r="D7" s="155" t="n">
        <f aca="false">D3-D6</f>
        <v>479.17</v>
      </c>
      <c r="E7" s="155"/>
      <c r="F7" s="155" t="n">
        <f aca="false">F3-F6</f>
        <v>500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245</v>
      </c>
    </row>
    <row r="9" customFormat="false" ht="19.7" hidden="false" customHeight="false" outlineLevel="0" collapsed="false">
      <c r="A9" s="152" t="s">
        <v>163</v>
      </c>
      <c r="B9" s="152" t="n">
        <v>23125</v>
      </c>
      <c r="C9" s="152"/>
      <c r="D9" s="152"/>
      <c r="E9" s="152" t="n">
        <f aca="false">(B7+C7+D7+E3)</f>
        <v>20316.67</v>
      </c>
      <c r="F9" s="152"/>
      <c r="G9" s="136"/>
      <c r="H9" s="443" t="n">
        <f aca="false">B7+D7+F7+H3</f>
        <v>20816.67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164</v>
      </c>
      <c r="B10" s="154"/>
      <c r="C10" s="154"/>
      <c r="D10" s="154"/>
      <c r="E10" s="154" t="n">
        <v>50</v>
      </c>
      <c r="F10" s="154"/>
      <c r="G10" s="155"/>
      <c r="H10" s="442" t="n">
        <v>695.0</v>
      </c>
      <c r="I10" s="2"/>
      <c r="J10" s="2"/>
      <c r="L10" s="16" t="s">
        <v>1</v>
      </c>
      <c r="M10" s="14" t="n">
        <f aca="false">H15-H11-M8</f>
        <v>21366.67</v>
      </c>
    </row>
    <row r="11" customFormat="false" ht="17.35" hidden="false" customHeight="false" outlineLevel="0" collapsed="false">
      <c r="A11" s="154" t="s">
        <v>165</v>
      </c>
      <c r="B11" s="154" t="n">
        <v>0</v>
      </c>
      <c r="C11" s="154"/>
      <c r="D11" s="154"/>
      <c r="E11" s="154"/>
      <c r="F11" s="154"/>
      <c r="G11" s="155"/>
      <c r="H11" s="33" t="n">
        <f aca="false">(H9+H10)*20%</f>
        <v>4273.334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166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167</v>
      </c>
      <c r="B13" s="154" t="n">
        <v>0</v>
      </c>
      <c r="C13" s="154"/>
      <c r="D13" s="154"/>
      <c r="E13" s="154" t="n">
        <v>585</v>
      </c>
      <c r="F13" s="154"/>
      <c r="G13" s="155"/>
      <c r="H13" s="442" t="n">
        <v>290.0</v>
      </c>
      <c r="I13" s="2"/>
      <c r="J13" s="2"/>
    </row>
    <row r="14" customFormat="false" ht="17.35" hidden="false" customHeight="false" outlineLevel="0" collapsed="false">
      <c r="A14" s="154" t="s">
        <v>168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169</v>
      </c>
      <c r="B15" s="154"/>
      <c r="C15" s="154"/>
      <c r="D15" s="154"/>
      <c r="E15" s="154"/>
      <c r="F15" s="154"/>
      <c r="G15" s="155"/>
      <c r="H15" s="444" t="n">
        <f aca="false">(H9+H10+H13+H14+H11)-H12</f>
        <v>25885.004</v>
      </c>
      <c r="I15" s="2"/>
      <c r="J15" s="17" t="n">
        <f aca="false">H15</f>
        <v>25885.004</v>
      </c>
    </row>
    <row r="16" customFormat="false" ht="17.35" hidden="false" customHeight="false" outlineLevel="0" collapsed="false">
      <c r="A16" s="154" t="s">
        <v>170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171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172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25640.004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172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172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173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25885.004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424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399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400</v>
      </c>
      <c r="C35" s="223"/>
      <c r="D35" s="223" t="s">
        <v>401</v>
      </c>
      <c r="E35" s="223"/>
      <c r="F35" s="63"/>
      <c r="G35" s="233"/>
      <c r="H35" s="234"/>
      <c r="I35" s="0"/>
      <c r="J35" s="44"/>
      <c r="K35" s="12" t="n">
        <v>0.109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79</v>
      </c>
      <c r="H36" s="64" t="s">
        <v>425</v>
      </c>
      <c r="I36" s="0"/>
      <c r="J36" s="44" t="s">
        <v>51</v>
      </c>
      <c r="K36" s="52" t="n">
        <f aca="false">K32-K34</f>
        <v>24885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390</v>
      </c>
      <c r="C38" s="223"/>
      <c r="D38" s="104" t="s">
        <v>393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394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83</v>
      </c>
      <c r="B51" s="251" t="s">
        <v>84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85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86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87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25640.004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88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89</v>
      </c>
      <c r="B63" s="257" t="n">
        <v>0.109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90</v>
      </c>
      <c r="B64" s="258" t="n">
        <v>0.0725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91</v>
      </c>
      <c r="B65" s="65" t="n">
        <f aca="false">(B89*B59)-B53</f>
        <v>23406.6899554715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93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94</v>
      </c>
      <c r="B68" s="65" t="n">
        <f aca="false">(G158*B67)</f>
        <v>242.6719125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95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96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98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99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100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101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102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104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105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106</v>
      </c>
      <c r="B81" s="27" t="n">
        <f aca="false">K36</f>
        <v>24885</v>
      </c>
      <c r="C81" s="93"/>
      <c r="D81" s="93"/>
      <c r="E81" s="113"/>
      <c r="F81" s="25" t="s">
        <v>106</v>
      </c>
      <c r="G81" s="27" t="n">
        <f aca="false">B81</f>
        <v>24885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107</v>
      </c>
      <c r="B82" s="33" t="n">
        <f aca="false">IF(A111="YES",D41,0)*1.2</f>
        <v>6000</v>
      </c>
      <c r="C82" s="93"/>
      <c r="D82" s="93"/>
      <c r="E82" s="113"/>
      <c r="F82" s="31" t="s">
        <v>107</v>
      </c>
      <c r="G82" s="33" t="n">
        <f aca="false">IF(A111="YES",D41,0)*1.2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0.115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109</v>
      </c>
      <c r="B84" s="92" t="n">
        <f aca="false">B83/12</f>
        <v>0.00958333333333333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32</v>
      </c>
      <c r="C85" s="93"/>
      <c r="D85" s="93"/>
      <c r="E85" s="113"/>
      <c r="F85" s="31" t="s">
        <v>110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111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112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113</v>
      </c>
      <c r="B88" s="33" t="n">
        <f aca="false">B81-B86</f>
        <v>20505.1467407538</v>
      </c>
      <c r="C88" s="93" t="n">
        <f aca="false">B81-B86</f>
        <v>20505.1467407538</v>
      </c>
      <c r="D88" s="93"/>
      <c r="E88" s="113"/>
      <c r="F88" s="31" t="s">
        <v>113</v>
      </c>
      <c r="G88" s="33" t="n">
        <f aca="false">G81-G86</f>
        <v>19864.689207262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114</v>
      </c>
      <c r="B89" s="33" t="n">
        <f aca="false">(B88/B87)</f>
        <v>747.095424744848</v>
      </c>
      <c r="C89" s="93" t="n">
        <f aca="false">(B88/B87)</f>
        <v>747.095424744848</v>
      </c>
      <c r="D89" s="93"/>
      <c r="E89" s="113"/>
      <c r="F89" s="31" t="s">
        <v>114</v>
      </c>
      <c r="G89" s="33" t="n">
        <f aca="false">(G88/G87)</f>
        <v>677.800742544085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23907.0535918351</v>
      </c>
      <c r="C90" s="93"/>
      <c r="D90" s="93"/>
      <c r="E90" s="113"/>
      <c r="F90" s="31" t="s">
        <v>115</v>
      </c>
      <c r="G90" s="33" t="n">
        <f aca="false">((G89*(G85))+G77)</f>
        <v>21689.6237614107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117</v>
      </c>
      <c r="B92" s="65" t="n">
        <f aca="false">(B90+B91)</f>
        <v>23907.0535918351</v>
      </c>
      <c r="C92" s="93"/>
      <c r="D92" s="93"/>
      <c r="E92" s="113"/>
      <c r="F92" s="56" t="s">
        <v>117</v>
      </c>
      <c r="G92" s="65" t="n">
        <f aca="false">(G90+G91)</f>
        <v>21689.6237614107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118</v>
      </c>
      <c r="B94" s="94" t="str">
        <f aca="false">IF(B38="YES",((H36/B85)*(1+A108)*1.2),"0")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119</v>
      </c>
      <c r="B95" s="96" t="n">
        <f aca="false">B92/(B85)</f>
        <v>747.095424744848</v>
      </c>
      <c r="C95" s="93"/>
      <c r="D95" s="93"/>
      <c r="E95" s="113"/>
      <c r="F95" s="95" t="s">
        <v>119</v>
      </c>
      <c r="G95" s="96" t="n">
        <f aca="false">G92/(G85)</f>
        <v>677.800742544085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120</v>
      </c>
      <c r="B96" s="98" t="n">
        <f aca="false">B94+B95</f>
        <v>747.095424744848</v>
      </c>
      <c r="C96" s="93"/>
      <c r="D96" s="93"/>
      <c r="E96" s="113"/>
      <c r="F96" s="97" t="s">
        <v>120</v>
      </c>
      <c r="G96" s="98" t="n">
        <f aca="false">G94+G95</f>
        <v>677.800742544085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124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390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396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390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389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151</v>
      </c>
      <c r="B121" s="120" t="n">
        <f aca="false">B3</f>
        <v>19837.5</v>
      </c>
      <c r="C121" s="121" t="n">
        <f aca="false">B121</f>
        <v>19837.5</v>
      </c>
      <c r="D121" s="120" t="n">
        <f aca="false">D3</f>
        <v>479.17</v>
      </c>
      <c r="E121" s="121" t="n">
        <f aca="false">D121</f>
        <v>479.17</v>
      </c>
      <c r="F121" s="120" t="n">
        <f aca="false">F3</f>
        <v>500</v>
      </c>
      <c r="G121" s="121" t="n">
        <f aca="false">F121</f>
        <v>500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152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153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155</v>
      </c>
      <c r="B125" s="132" t="n">
        <f aca="false">B121-B124</f>
        <v>19837.5</v>
      </c>
      <c r="C125" s="133" t="n">
        <f aca="false">C121-C124</f>
        <v>19837.5</v>
      </c>
      <c r="D125" s="132" t="n">
        <f aca="false">D121-D124</f>
        <v>479.17</v>
      </c>
      <c r="E125" s="133" t="n">
        <f aca="false">E121-E124</f>
        <v>479.17</v>
      </c>
      <c r="F125" s="132" t="n">
        <f aca="false">F121-F124</f>
        <v>500</v>
      </c>
      <c r="G125" s="133" t="n">
        <f aca="false">G121-G124</f>
        <v>500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H9</f>
        <v>20816.67</v>
      </c>
      <c r="H135" s="153" t="n">
        <f aca="false">C125+E125+G125+H128</f>
        <v>20816.67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155" t="n">
        <f aca="false">H11</f>
        <v>4273.334</v>
      </c>
      <c r="H137" s="33" t="n">
        <f aca="false">(H135+H136)*20%</f>
        <v>4273.334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180</v>
      </c>
      <c r="H139" s="33" t="n">
        <f aca="false">G139</f>
        <v>180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453" t="n">
        <f aca="false">H15</f>
        <v>25885.004</v>
      </c>
      <c r="H141" s="157" t="n">
        <f aca="false">(H135+H136+H139+H140+H137)-H138</f>
        <v>25885.004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25885.004</v>
      </c>
      <c r="H147" s="164" t="n">
        <f aca="false">H141-((H144*1.2)+(H145*1.2)+(H146*1.2)+(H142*1.2))</f>
        <v>25885.004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-20737.5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25885.004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747.095424744848</v>
      </c>
      <c r="B167" s="177" t="str">
        <f aca="false">B94</f>
        <v>0</v>
      </c>
      <c r="C167" s="174"/>
      <c r="D167" s="174"/>
      <c r="E167" s="177" t="n">
        <f aca="false">B96</f>
        <v>747.095424744848</v>
      </c>
      <c r="F167" s="23"/>
      <c r="G167" s="23" t="n">
        <f aca="false">ROUND(G95, 2)</f>
        <v>677.8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21366.67</v>
      </c>
      <c r="B173" s="103" t="n">
        <f aca="false">H137</f>
        <v>4273.334</v>
      </c>
      <c r="C173" s="186"/>
      <c r="D173" s="23"/>
      <c r="E173" s="182" t="n">
        <f aca="false">H139+H140</f>
        <v>245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25885.004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25885.004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4022.04959183513</v>
      </c>
      <c r="B182" s="103" t="str">
        <f aca="false">B114</f>
        <v>239.99</v>
      </c>
      <c r="C182" s="103"/>
      <c r="D182" s="23"/>
      <c r="E182" s="103" t="n">
        <f aca="false">E179+A182+B182+A185</f>
        <v>30157.0435918351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6.15360096</v>
      </c>
      <c r="B188" s="103" t="n">
        <f aca="false">(G158*B67)/1.2</f>
        <v>202.22659375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302.218260416667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747.095424744848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1804.596</v>
      </c>
      <c r="B201" s="186" t="n">
        <f aca="false">E179+A201+B182+A185</f>
        <v>27939.59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207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747.095424744848</v>
      </c>
      <c r="B212" s="177" t="str">
        <f aca="false">B167</f>
        <v>0</v>
      </c>
      <c r="C212" s="174"/>
      <c r="D212" s="174"/>
      <c r="E212" s="177" t="n">
        <f aca="false">E167</f>
        <v>747.095424744848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21366.67</v>
      </c>
      <c r="B215" s="103" t="n">
        <f aca="false">B173</f>
        <v>4273.334</v>
      </c>
      <c r="C215" s="186"/>
      <c r="D215" s="113"/>
      <c r="E215" s="182" t="n">
        <f aca="false">E173</f>
        <v>245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25885.004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25885.004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4022.04959183513</v>
      </c>
      <c r="B224" s="103" t="str">
        <f aca="false">B182</f>
        <v>239.99</v>
      </c>
      <c r="C224" s="103"/>
      <c r="D224" s="113"/>
      <c r="E224" s="103" t="n">
        <f aca="false">E182</f>
        <v>30157.0435918351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747.095424744848</v>
      </c>
      <c r="B230" s="103" t="str">
        <f aca="false">B167</f>
        <v>0</v>
      </c>
      <c r="C230" s="186"/>
      <c r="D230" s="186"/>
      <c r="E230" s="103" t="n">
        <f aca="false">E167</f>
        <v>747.095424744848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209</v>
      </c>
      <c r="B232" s="93" t="s">
        <v>210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18.46080288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211</v>
      </c>
      <c r="B235" s="166" t="s">
        <v>73</v>
      </c>
      <c r="C235" s="93"/>
      <c r="D235" s="93"/>
      <c r="E235" s="166" t="s">
        <v>132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6.15360096</v>
      </c>
      <c r="B236" s="103" t="n">
        <f aca="false">E233+A236</f>
        <v>24.61440384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202.22659375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302.218260416667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B63</f>
        <v>0.065</v>
      </c>
      <c r="C253" s="197"/>
      <c r="D253" s="198" t="s">
        <v>216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2227.45359183513</v>
      </c>
      <c r="C254" s="197"/>
      <c r="D254" s="198" t="s">
        <v>218</v>
      </c>
      <c r="E254" s="198"/>
      <c r="F254" s="200" t="n">
        <f aca="false">F261+F267+F269+B270+B271</f>
        <v>242.6719125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99.9916666666667</v>
      </c>
      <c r="C255" s="197"/>
      <c r="D255" s="198" t="s">
        <v>220</v>
      </c>
      <c r="E255" s="198"/>
      <c r="F255" s="200" t="n">
        <f aca="false">(B254-F254)+B255</f>
        <v>2084.7733460018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0.115</v>
      </c>
      <c r="C260" s="43"/>
      <c r="D260" s="166" t="s">
        <v>217</v>
      </c>
      <c r="E260" s="166"/>
      <c r="F260" s="146" t="n">
        <f aca="false">B254</f>
        <v>2227.45359183513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0.009375</v>
      </c>
      <c r="C261" s="32"/>
      <c r="D261" s="166" t="s">
        <v>223</v>
      </c>
      <c r="E261" s="166"/>
      <c r="F261" s="151" t="n">
        <f aca="false">B68</f>
        <v>242.6719125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99.9916666666667</v>
      </c>
      <c r="C263" s="32"/>
      <c r="D263" s="39" t="s">
        <v>220</v>
      </c>
      <c r="E263" s="39"/>
      <c r="F263" s="146" t="n">
        <f aca="false">(B254-F254)+B255</f>
        <v>2084.7733460018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145</v>
      </c>
      <c r="C2" s="439"/>
      <c r="D2" s="439" t="s">
        <v>146</v>
      </c>
      <c r="E2" s="439"/>
      <c r="F2" s="439" t="s">
        <v>147</v>
      </c>
      <c r="G2" s="439"/>
      <c r="H2" s="440" t="s">
        <v>148</v>
      </c>
      <c r="I2" s="2"/>
      <c r="J2" s="2"/>
    </row>
    <row r="3" customFormat="false" ht="17.35" hidden="false" customHeight="false" outlineLevel="0" collapsed="false">
      <c r="A3" s="31" t="s">
        <v>151</v>
      </c>
      <c r="B3" s="441" t="n">
        <v>17895.0</v>
      </c>
      <c r="C3" s="441" t="n">
        <v>0</v>
      </c>
      <c r="D3" s="441" t="n">
        <v>0.0</v>
      </c>
      <c r="E3" s="441"/>
      <c r="F3" s="441" t="n">
        <v>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152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153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154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155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163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164</v>
      </c>
      <c r="B10" s="154"/>
      <c r="C10" s="154"/>
      <c r="D10" s="154"/>
      <c r="E10" s="154" t="n">
        <v>50</v>
      </c>
      <c r="F10" s="154"/>
      <c r="G10" s="155"/>
      <c r="H10" s="442" t="n">
        <v>695.0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165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166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167</v>
      </c>
      <c r="B13" s="154"/>
      <c r="C13" s="154"/>
      <c r="D13" s="154"/>
      <c r="E13" s="154" t="n">
        <v>585</v>
      </c>
      <c r="F13" s="154"/>
      <c r="G13" s="155"/>
      <c r="H13" s="442" t="n">
        <v>290.0</v>
      </c>
      <c r="I13" s="2"/>
      <c r="J13" s="2"/>
    </row>
    <row r="14" customFormat="false" ht="17.35" hidden="false" customHeight="false" outlineLevel="0" collapsed="false">
      <c r="A14" s="154" t="s">
        <v>168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169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170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171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172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172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172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173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424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399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400</v>
      </c>
      <c r="C35" s="223"/>
      <c r="D35" s="223" t="s">
        <v>401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79</v>
      </c>
      <c r="H36" s="64" t="n">
        <v>0.0</v>
      </c>
      <c r="I36" s="0"/>
      <c r="J36" s="44" t="s">
        <v>51</v>
      </c>
      <c r="K36" s="52" t="n">
        <f aca="false">K32-K34</f>
        <v>57535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388</v>
      </c>
      <c r="C38" s="223"/>
      <c r="D38" s="104" t="s">
        <v>393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394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83</v>
      </c>
      <c r="B51" s="251" t="s">
        <v>84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85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86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87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88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89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91</v>
      </c>
      <c r="B65" s="65" t="n">
        <f aca="false">(B89*B59)-B53</f>
        <v>61473.4889714498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93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94</v>
      </c>
      <c r="B68" s="65" t="n">
        <f aca="false">(G158*B67)</f>
        <v>548.765625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95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96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98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99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100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101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102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104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105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106</v>
      </c>
      <c r="B81" s="27" t="n">
        <f aca="false">K36</f>
        <v>57535</v>
      </c>
      <c r="C81" s="93"/>
      <c r="D81" s="93"/>
      <c r="E81" s="113"/>
      <c r="F81" s="25" t="s">
        <v>106</v>
      </c>
      <c r="G81" s="27" t="n">
        <f aca="false">B81</f>
        <v>57535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107</v>
      </c>
      <c r="B82" s="33" t="n">
        <f aca="false">IF(A111="YES",D41,0)*1.2</f>
        <v>6000</v>
      </c>
      <c r="C82" s="93"/>
      <c r="D82" s="93"/>
      <c r="E82" s="113"/>
      <c r="F82" s="31" t="s">
        <v>107</v>
      </c>
      <c r="G82" s="33" t="n">
        <f aca="false">IF(A111="YES",D41,0)*1.2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0.115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109</v>
      </c>
      <c r="B84" s="92" t="n">
        <f aca="false">B83/12</f>
        <v>0.00958333333333333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32</v>
      </c>
      <c r="C85" s="93"/>
      <c r="D85" s="93"/>
      <c r="E85" s="113"/>
      <c r="F85" s="31" t="s">
        <v>110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111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112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113</v>
      </c>
      <c r="B88" s="33" t="n">
        <f aca="false">B81-B86</f>
        <v>53155.1467407538</v>
      </c>
      <c r="C88" s="93" t="n">
        <f aca="false">B81-B86</f>
        <v>53155.1467407538</v>
      </c>
      <c r="D88" s="93"/>
      <c r="E88" s="113"/>
      <c r="F88" s="31" t="s">
        <v>113</v>
      </c>
      <c r="G88" s="33" t="n">
        <f aca="false">G81-G86</f>
        <v>52514.689207262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114</v>
      </c>
      <c r="B89" s="33" t="n">
        <f aca="false">(B88/B87)</f>
        <v>1936.68289399417</v>
      </c>
      <c r="C89" s="93" t="n">
        <f aca="false">(B88/B87)</f>
        <v>1936.68289399417</v>
      </c>
      <c r="D89" s="93"/>
      <c r="E89" s="113"/>
      <c r="F89" s="31" t="s">
        <v>114</v>
      </c>
      <c r="G89" s="33" t="n">
        <f aca="false">(G88/G87)</f>
        <v>1791.84758280244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61973.8526078134</v>
      </c>
      <c r="C90" s="93"/>
      <c r="D90" s="93"/>
      <c r="E90" s="113"/>
      <c r="F90" s="31" t="s">
        <v>115</v>
      </c>
      <c r="G90" s="33" t="n">
        <f aca="false">((G89*(G85))+G77)</f>
        <v>57339.122649678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117</v>
      </c>
      <c r="B92" s="65" t="n">
        <f aca="false">(B90+B91)</f>
        <v>61973.8526078134</v>
      </c>
      <c r="C92" s="93"/>
      <c r="D92" s="93"/>
      <c r="E92" s="113"/>
      <c r="F92" s="56" t="s">
        <v>117</v>
      </c>
      <c r="G92" s="65" t="n">
        <f aca="false">(G90+G91)</f>
        <v>57339.122649678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118</v>
      </c>
      <c r="B94" s="94" t="str">
        <f aca="false">IF(B38="YES",((H36/B85)*(1+A108)),"0")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119</v>
      </c>
      <c r="B95" s="96" t="n">
        <f aca="false">B92/(B85)</f>
        <v>1936.68289399417</v>
      </c>
      <c r="C95" s="93"/>
      <c r="D95" s="93"/>
      <c r="E95" s="113"/>
      <c r="F95" s="95" t="s">
        <v>119</v>
      </c>
      <c r="G95" s="96" t="n">
        <f aca="false">G92/(G85)</f>
        <v>1791.84758280244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120</v>
      </c>
      <c r="B96" s="98" t="n">
        <f aca="false">B94+B95</f>
        <v>1936.68289399417</v>
      </c>
      <c r="C96" s="93"/>
      <c r="D96" s="93"/>
      <c r="E96" s="113"/>
      <c r="F96" s="97" t="s">
        <v>120</v>
      </c>
      <c r="G96" s="98" t="n">
        <f aca="false">G94+G95</f>
        <v>1791.84758280244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124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388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396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390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397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 t="s">
        <v>18</v>
      </c>
      <c r="B120" s="116" t="n">
        <v>0</v>
      </c>
      <c r="C120" s="117" t="s">
        <v>150</v>
      </c>
      <c r="D120" s="116" t="s">
        <v>149</v>
      </c>
      <c r="E120" s="118" t="n">
        <v>0</v>
      </c>
      <c r="F120" s="116" t="s">
        <v>149</v>
      </c>
      <c r="G120" s="118" t="s">
        <v>150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151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152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153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155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58535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58535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-47945.8333333333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58535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1936.68289399417</v>
      </c>
      <c r="B167" s="177" t="str">
        <f aca="false">B94</f>
        <v>0</v>
      </c>
      <c r="C167" s="174"/>
      <c r="D167" s="174"/>
      <c r="E167" s="177" t="n">
        <f aca="false">B96</f>
        <v>1936.68289399417</v>
      </c>
      <c r="F167" s="23"/>
      <c r="G167" s="23" t="n">
        <f aca="false">ROUND(G95, 2)</f>
        <v>1791.85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180" t="str">
        <f aca="false">H30</f>
        <v>5000</v>
      </c>
      <c r="C170" s="181"/>
      <c r="D170" s="23"/>
      <c r="E170" s="182" t="n">
        <v>7200.0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650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58535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58535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9438.8526078134</v>
      </c>
      <c r="B182" s="103" t="str">
        <f aca="false">B114</f>
        <v>199.99</v>
      </c>
      <c r="C182" s="103"/>
      <c r="D182" s="23"/>
      <c r="E182" s="103" t="n">
        <f aca="false">E179+A182+(B182*1.2)+A185</f>
        <v>68223.8406078134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11.577</v>
      </c>
      <c r="B188" s="103" t="n">
        <f aca="false">(G158*B67)/1.2</f>
        <v>457.3046875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557.2946875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1936.68289399417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4804.2</v>
      </c>
      <c r="B201" s="186" t="n">
        <f aca="false">E179+A201+(B182*1.2)+A185</f>
        <v>63589.188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207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1936.68289399417</v>
      </c>
      <c r="B212" s="177" t="str">
        <f aca="false">B167</f>
        <v>0</v>
      </c>
      <c r="C212" s="174"/>
      <c r="D212" s="174"/>
      <c r="E212" s="177" t="n">
        <f aca="false">E167</f>
        <v>1936.68289399417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58535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58535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9438.8526078134</v>
      </c>
      <c r="B224" s="103" t="str">
        <f aca="false">B182</f>
        <v>199.99</v>
      </c>
      <c r="C224" s="103"/>
      <c r="D224" s="113"/>
      <c r="E224" s="103" t="n">
        <f aca="false">E182</f>
        <v>68223.8406078134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1936.68289399417</v>
      </c>
      <c r="B230" s="103" t="str">
        <f aca="false">B167</f>
        <v>0</v>
      </c>
      <c r="C230" s="186"/>
      <c r="D230" s="186"/>
      <c r="E230" s="103" t="n">
        <f aca="false">E167</f>
        <v>1936.68289399417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209</v>
      </c>
      <c r="B232" s="93" t="s">
        <v>210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34.731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211</v>
      </c>
      <c r="B235" s="166" t="s">
        <v>73</v>
      </c>
      <c r="C235" s="93"/>
      <c r="D235" s="93"/>
      <c r="E235" s="166" t="s">
        <v>132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11.577</v>
      </c>
      <c r="B236" s="103" t="n">
        <f aca="false">E233+A236</f>
        <v>46.308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457.3046875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557.2946875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B63</f>
        <v>0.065</v>
      </c>
      <c r="C253" s="197"/>
      <c r="D253" s="198" t="s">
        <v>216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200" t="n">
        <f aca="false">(E182-B182)-(B201-B182-A185)</f>
        <v>4644.6526078134</v>
      </c>
      <c r="C254" s="197"/>
      <c r="D254" s="198" t="s">
        <v>218</v>
      </c>
      <c r="E254" s="198"/>
      <c r="F254" s="200" t="n">
        <f aca="false">F261+F267+F269+B270+B271</f>
        <v>548.765625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</v>
      </c>
      <c r="C255" s="197"/>
      <c r="D255" s="198" t="s">
        <v>220</v>
      </c>
      <c r="E255" s="198"/>
      <c r="F255" s="200" t="n">
        <f aca="false">(B254-F254)+B255</f>
        <v>4195.8769828134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0.115</v>
      </c>
      <c r="C260" s="43"/>
      <c r="D260" s="166" t="s">
        <v>217</v>
      </c>
      <c r="E260" s="166"/>
      <c r="F260" s="146" t="n">
        <f aca="false">B254</f>
        <v>4644.6526078134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0.009375</v>
      </c>
      <c r="C261" s="32"/>
      <c r="D261" s="166" t="s">
        <v>223</v>
      </c>
      <c r="E261" s="166"/>
      <c r="F261" s="151" t="n">
        <f aca="false">B68</f>
        <v>548.765625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</v>
      </c>
      <c r="C263" s="32"/>
      <c r="D263" s="39" t="s">
        <v>220</v>
      </c>
      <c r="E263" s="39"/>
      <c r="F263" s="146" t="n">
        <f aca="false">(B254-F254)+B255</f>
        <v>4195.8769828134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145</v>
      </c>
      <c r="C2" s="439"/>
      <c r="D2" s="439" t="s">
        <v>146</v>
      </c>
      <c r="E2" s="439"/>
      <c r="F2" s="439" t="s">
        <v>147</v>
      </c>
      <c r="G2" s="439"/>
      <c r="H2" s="440" t="s">
        <v>148</v>
      </c>
      <c r="I2" s="2"/>
      <c r="J2" s="2"/>
    </row>
    <row r="3" customFormat="false" ht="17.35" hidden="false" customHeight="false" outlineLevel="0" collapsed="false">
      <c r="A3" s="31" t="s">
        <v>151</v>
      </c>
      <c r="B3" s="441" t="n">
        <v>17895.0</v>
      </c>
      <c r="C3" s="441" t="n">
        <v>0</v>
      </c>
      <c r="D3" s="441" t="n">
        <v>0.0</v>
      </c>
      <c r="E3" s="441"/>
      <c r="F3" s="441" t="n">
        <v>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152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153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154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155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163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164</v>
      </c>
      <c r="B10" s="154"/>
      <c r="C10" s="154"/>
      <c r="D10" s="154"/>
      <c r="E10" s="154" t="n">
        <v>50</v>
      </c>
      <c r="F10" s="154"/>
      <c r="G10" s="155"/>
      <c r="H10" s="442" t="n">
        <v>695.0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165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166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167</v>
      </c>
      <c r="B13" s="154"/>
      <c r="C13" s="154"/>
      <c r="D13" s="154"/>
      <c r="E13" s="154" t="n">
        <v>585</v>
      </c>
      <c r="F13" s="154"/>
      <c r="G13" s="155"/>
      <c r="H13" s="442" t="n">
        <v>290.0</v>
      </c>
      <c r="I13" s="2"/>
      <c r="J13" s="2"/>
    </row>
    <row r="14" customFormat="false" ht="17.35" hidden="false" customHeight="false" outlineLevel="0" collapsed="false">
      <c r="A14" s="154" t="s">
        <v>168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169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170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171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172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172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172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173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424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399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400</v>
      </c>
      <c r="C35" s="223"/>
      <c r="D35" s="223" t="s">
        <v>401</v>
      </c>
      <c r="E35" s="223"/>
      <c r="F35" s="63"/>
      <c r="G35" s="233"/>
      <c r="H35" s="234"/>
      <c r="I35" s="0"/>
      <c r="J35" s="44"/>
      <c r="K35" s="12" t="n">
        <v>0.109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79</v>
      </c>
      <c r="H36" s="64" t="s">
        <v>425</v>
      </c>
      <c r="I36" s="0"/>
      <c r="J36" s="44" t="s">
        <v>51</v>
      </c>
      <c r="K36" s="52" t="n">
        <f aca="false">K32-K34</f>
        <v>57535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390</v>
      </c>
      <c r="C38" s="223"/>
      <c r="D38" s="104" t="s">
        <v>393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394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83</v>
      </c>
      <c r="B51" s="251" t="s">
        <v>84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85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86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87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88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89</v>
      </c>
      <c r="B63" s="257" t="n">
        <v>0.109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91</v>
      </c>
      <c r="B65" s="65" t="n">
        <f aca="false">(B89*B59)-B53</f>
        <v>61473.4889714498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93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94</v>
      </c>
      <c r="B68" s="65" t="n">
        <f aca="false">(G158*B67)</f>
        <v>548.765625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95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96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98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99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100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101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102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104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105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106</v>
      </c>
      <c r="B81" s="27" t="n">
        <f aca="false">K36</f>
        <v>57535</v>
      </c>
      <c r="C81" s="93"/>
      <c r="D81" s="93"/>
      <c r="E81" s="113"/>
      <c r="F81" s="25" t="s">
        <v>106</v>
      </c>
      <c r="G81" s="27" t="n">
        <f aca="false">B81</f>
        <v>57535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107</v>
      </c>
      <c r="B82" s="33" t="n">
        <f aca="false">IF(A111="YES",D41,0)*1.2</f>
        <v>6000</v>
      </c>
      <c r="C82" s="93"/>
      <c r="D82" s="93"/>
      <c r="E82" s="113"/>
      <c r="F82" s="31" t="s">
        <v>107</v>
      </c>
      <c r="G82" s="33" t="n">
        <f aca="false">IF(A111="YES",D41,0)*1.2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0.115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109</v>
      </c>
      <c r="B84" s="92" t="n">
        <f aca="false">B83/12</f>
        <v>0.00958333333333333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32</v>
      </c>
      <c r="C85" s="93"/>
      <c r="D85" s="93"/>
      <c r="E85" s="113"/>
      <c r="F85" s="31" t="s">
        <v>110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111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112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113</v>
      </c>
      <c r="B88" s="33" t="n">
        <f aca="false">B81-B86</f>
        <v>53155.1467407538</v>
      </c>
      <c r="C88" s="93" t="n">
        <f aca="false">B81-B86</f>
        <v>53155.1467407538</v>
      </c>
      <c r="D88" s="93"/>
      <c r="E88" s="113"/>
      <c r="F88" s="31" t="s">
        <v>113</v>
      </c>
      <c r="G88" s="33" t="n">
        <f aca="false">G81-G86</f>
        <v>52514.689207262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114</v>
      </c>
      <c r="B89" s="33" t="n">
        <f aca="false">(B88/B87)</f>
        <v>1936.68289399417</v>
      </c>
      <c r="C89" s="93" t="n">
        <f aca="false">(B88/B87)</f>
        <v>1936.68289399417</v>
      </c>
      <c r="D89" s="93"/>
      <c r="E89" s="113"/>
      <c r="F89" s="31" t="s">
        <v>114</v>
      </c>
      <c r="G89" s="33" t="n">
        <f aca="false">(G88/G87)</f>
        <v>1791.84758280244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61973.8526078134</v>
      </c>
      <c r="C90" s="93"/>
      <c r="D90" s="93"/>
      <c r="E90" s="113"/>
      <c r="F90" s="31" t="s">
        <v>115</v>
      </c>
      <c r="G90" s="33" t="n">
        <f aca="false">((G89*(G85))+G77)</f>
        <v>57339.122649678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117</v>
      </c>
      <c r="B92" s="65" t="n">
        <f aca="false">(B90+B91)</f>
        <v>61973.8526078134</v>
      </c>
      <c r="C92" s="93"/>
      <c r="D92" s="93"/>
      <c r="E92" s="113"/>
      <c r="F92" s="56" t="s">
        <v>117</v>
      </c>
      <c r="G92" s="65" t="n">
        <f aca="false">(G90+G91)</f>
        <v>57339.122649678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118</v>
      </c>
      <c r="B94" s="94" t="str">
        <f aca="false">IF(B38="YES",((H36/B85)*(1+A108)*1.2),"0")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119</v>
      </c>
      <c r="B95" s="96" t="n">
        <f aca="false">B92/(B85)</f>
        <v>1936.68289399417</v>
      </c>
      <c r="C95" s="93"/>
      <c r="D95" s="93"/>
      <c r="E95" s="113"/>
      <c r="F95" s="95" t="s">
        <v>119</v>
      </c>
      <c r="G95" s="96" t="n">
        <f aca="false">G92/(G85)</f>
        <v>1791.84758280244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120</v>
      </c>
      <c r="B96" s="98" t="n">
        <f aca="false">B94+B95</f>
        <v>1936.68289399417</v>
      </c>
      <c r="C96" s="93"/>
      <c r="D96" s="93"/>
      <c r="E96" s="113"/>
      <c r="F96" s="97" t="s">
        <v>120</v>
      </c>
      <c r="G96" s="98" t="n">
        <f aca="false">G94+G95</f>
        <v>1791.84758280244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390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0.3</v>
      </c>
      <c r="B108" s="107" t="s">
        <v>396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390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389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151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152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153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155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58535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58535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-47945.8333333333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58535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1936.68289399417</v>
      </c>
      <c r="B167" s="177" t="str">
        <f aca="false">B94</f>
        <v>0</v>
      </c>
      <c r="C167" s="174"/>
      <c r="D167" s="174"/>
      <c r="E167" s="177" t="n">
        <f aca="false">B96</f>
        <v>1936.68289399417</v>
      </c>
      <c r="F167" s="23"/>
      <c r="G167" s="23" t="n">
        <f aca="false">ROUND(G95, 2)</f>
        <v>1791.85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7200.0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650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58535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58535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9438.8526078134</v>
      </c>
      <c r="B182" s="103" t="str">
        <f aca="false">B114</f>
        <v>239.99</v>
      </c>
      <c r="C182" s="103"/>
      <c r="D182" s="23"/>
      <c r="E182" s="103" t="n">
        <f aca="false">E179+A182+B182+A185</f>
        <v>68223.8426078134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13.8924</v>
      </c>
      <c r="B188" s="103" t="n">
        <f aca="false">(G158*B67)/1.2</f>
        <v>457.3046875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557.296354166667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1936.68289399417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4804.2</v>
      </c>
      <c r="B201" s="186" t="n">
        <f aca="false">E179+A201+B182+A185</f>
        <v>63589.19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1936.68289399417</v>
      </c>
      <c r="B212" s="177" t="str">
        <f aca="false">B167</f>
        <v>0</v>
      </c>
      <c r="C212" s="174"/>
      <c r="D212" s="174"/>
      <c r="E212" s="177" t="n">
        <f aca="false">E167</f>
        <v>1936.68289399417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58535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58535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9438.8526078134</v>
      </c>
      <c r="B224" s="103" t="str">
        <f aca="false">B182</f>
        <v>239.99</v>
      </c>
      <c r="C224" s="103"/>
      <c r="D224" s="113"/>
      <c r="E224" s="103" t="n">
        <f aca="false">E182</f>
        <v>68223.8426078134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1936.68289399417</v>
      </c>
      <c r="B230" s="103" t="str">
        <f aca="false">B167</f>
        <v>0</v>
      </c>
      <c r="C230" s="186"/>
      <c r="D230" s="186"/>
      <c r="E230" s="103" t="n">
        <f aca="false">E167</f>
        <v>1936.68289399417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188</v>
      </c>
      <c r="B232" s="93" t="s">
        <v>210</v>
      </c>
      <c r="C232" s="93"/>
      <c r="D232" s="93"/>
      <c r="E232" s="93" t="s">
        <v>211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13.8924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132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457.3046875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557.296354166667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B63</f>
        <v>0.065</v>
      </c>
      <c r="C253" s="197"/>
      <c r="D253" s="198" t="s">
        <v>216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4644.65260781341</v>
      </c>
      <c r="C254" s="197"/>
      <c r="D254" s="198" t="s">
        <v>218</v>
      </c>
      <c r="E254" s="198"/>
      <c r="F254" s="200" t="n">
        <f aca="false">F261+F267+F269+B270+B271</f>
        <v>548.765625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99.9916666666667</v>
      </c>
      <c r="C255" s="197"/>
      <c r="D255" s="198" t="s">
        <v>220</v>
      </c>
      <c r="E255" s="198"/>
      <c r="F255" s="200" t="n">
        <f aca="false">(B254-F254)+B255</f>
        <v>4195.87864948007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0.115</v>
      </c>
      <c r="C260" s="43"/>
      <c r="D260" s="166" t="s">
        <v>217</v>
      </c>
      <c r="E260" s="166"/>
      <c r="F260" s="146" t="n">
        <f aca="false">B254</f>
        <v>4644.65260781341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0.009375</v>
      </c>
      <c r="C261" s="32"/>
      <c r="D261" s="166" t="s">
        <v>223</v>
      </c>
      <c r="E261" s="166"/>
      <c r="F261" s="151" t="n">
        <f aca="false">B68</f>
        <v>548.765625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99.9916666666667</v>
      </c>
      <c r="C263" s="32"/>
      <c r="D263" s="39" t="s">
        <v>220</v>
      </c>
      <c r="E263" s="39"/>
      <c r="F263" s="146" t="n">
        <f aca="false">(B254-F254)+B255</f>
        <v>4195.87864948007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71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145</v>
      </c>
      <c r="C2" s="497" t="s">
        <v>146</v>
      </c>
      <c r="D2" s="497" t="s">
        <v>147</v>
      </c>
      <c r="E2" s="483" t="s">
        <v>148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151</v>
      </c>
      <c r="B3" s="498" t="n">
        <v>17895.0</v>
      </c>
      <c r="C3" s="498" t="n">
        <v>0.0</v>
      </c>
      <c r="D3" s="498" t="n">
        <v>0.0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152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153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154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155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163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164</v>
      </c>
      <c r="B10" s="488"/>
      <c r="C10" s="488"/>
      <c r="D10" s="488"/>
      <c r="E10" s="499" t="n">
        <v>695.0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165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166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167</v>
      </c>
      <c r="B13" s="488"/>
      <c r="C13" s="488"/>
      <c r="D13" s="488"/>
      <c r="E13" s="499" t="n">
        <v>290.0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168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169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170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171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172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172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172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173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5.28</v>
      </c>
      <c r="E32" s="226"/>
      <c r="F32" s="63"/>
      <c r="G32" s="227" t="s">
        <v>243</v>
      </c>
      <c r="H32" s="225" t="str">
        <f aca="false">A41</f>
        <v>5.28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505.28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390</v>
      </c>
      <c r="C38" s="223"/>
      <c r="D38" s="104" t="s">
        <v>393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419</v>
      </c>
      <c r="B41" s="241" t="n">
        <f aca="false">IF(B38="YES", D38+A41, D38)</f>
        <v>505.28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394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5.28</v>
      </c>
      <c r="I44" s="394" t="n">
        <f aca="false">((A41*(B35-1))+D32)/B35</f>
        <v>5.28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506.28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506.28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B67*B69</f>
        <v>4051.95</v>
      </c>
      <c r="C70" s="215" t="n">
        <v>10000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91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91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0.005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B67*B72</f>
        <v>578.85</v>
      </c>
      <c r="C73" s="215"/>
      <c r="D73" s="291"/>
      <c r="E73" s="216"/>
      <c r="F73" s="63"/>
      <c r="G73" s="285" t="s">
        <v>94</v>
      </c>
      <c r="H73" s="133" t="n">
        <f aca="false">H67*H72</f>
        <v>289.425</v>
      </c>
      <c r="I73" s="215"/>
      <c r="J73" s="291"/>
      <c r="K73" s="216"/>
      <c r="L73" s="63"/>
      <c r="M73" s="285" t="s">
        <v>94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160.0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4.5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0.0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0.0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300.0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100.0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5378.61666666667</v>
      </c>
      <c r="C87" s="215"/>
      <c r="D87" s="215"/>
      <c r="E87" s="216"/>
      <c r="F87" s="63"/>
      <c r="G87" s="303" t="s">
        <v>103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103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448.218055555556</v>
      </c>
      <c r="C88" s="215"/>
      <c r="D88" s="215"/>
      <c r="E88" s="216"/>
      <c r="F88" s="63"/>
      <c r="G88" s="214" t="s">
        <v>104</v>
      </c>
      <c r="H88" s="300" t="n">
        <f aca="false">H87/H29</f>
        <v>600.461111111111</v>
      </c>
      <c r="I88" s="215"/>
      <c r="J88" s="215"/>
      <c r="K88" s="216"/>
      <c r="L88" s="63"/>
      <c r="M88" s="214" t="s">
        <v>104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</f>
        <v>11390.6166666667</v>
      </c>
      <c r="C91" s="215"/>
      <c r="D91" s="215"/>
      <c r="E91" s="216"/>
      <c r="F91" s="63"/>
      <c r="G91" s="288" t="s">
        <v>115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115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96.4917103670835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116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11487.1083770338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</f>
        <v>6.336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957.259031419479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963.595031419479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 t="s">
        <v>130</v>
      </c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n">
        <v>199.99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 t="s">
        <v>18</v>
      </c>
      <c r="B105" s="312" t="s">
        <v>130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19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388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0.0</v>
      </c>
      <c r="E118" s="107" t="n">
        <v>6000.0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 t="n">
        <v>0</v>
      </c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957.259031419479</v>
      </c>
      <c r="B134" s="321" t="n">
        <f aca="false">IF(A111="YES", B95, 0)</f>
        <v>6.336</v>
      </c>
      <c r="C134" s="326"/>
      <c r="D134" s="321" t="n">
        <f aca="false">B97</f>
        <v>963.595031419479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8615.33128277531</v>
      </c>
      <c r="C137" s="317"/>
      <c r="D137" s="38" t="n">
        <f aca="false">IF(A111="YES", B95*B63, 0)</f>
        <v>57.024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8672.35528277531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957.259031419479</v>
      </c>
      <c r="B143" s="38" t="n">
        <f aca="false">IF(A111="YES", B95, 0)</f>
        <v>6.336</v>
      </c>
      <c r="C143" s="317"/>
      <c r="D143" s="38" t="n">
        <f aca="false">B97</f>
        <v>963.595031419479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1.2672</v>
      </c>
      <c r="H148" s="103" t="n">
        <f aca="false">G108-100</f>
        <v>139.988</v>
      </c>
      <c r="I148" s="103"/>
      <c r="J148" s="103" t="n">
        <f aca="false">(H145+J145+G148+H148)-H151</f>
        <v>1462.4427</v>
      </c>
      <c r="K148" s="105"/>
      <c r="L148" s="63"/>
      <c r="M148" s="111" t="n">
        <f aca="false">IF(M111="YES", ((A41*N111)*0.1)*(M133), 0)</f>
        <v>1.2672</v>
      </c>
      <c r="N148" s="103" t="n">
        <f aca="false">M108-100</f>
        <v>99.99</v>
      </c>
      <c r="O148" s="103"/>
      <c r="P148" s="103" t="n">
        <f aca="false">(N145+P145+M148+N148)-N151</f>
        <v>1422.4447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1.2672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1080.1072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963.595031419479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957.259031419479</v>
      </c>
      <c r="B177" s="355" t="n">
        <f aca="false">IF(A111="YES", B95, 0)</f>
        <v>6.336</v>
      </c>
      <c r="C177" s="358"/>
      <c r="D177" s="355" t="n">
        <f aca="false">B91</f>
        <v>11390.6166666667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8615.33128277531</v>
      </c>
      <c r="C180" s="353"/>
      <c r="D180" s="103" t="n">
        <f aca="false">IF(A111="YES", B95*B63, 0)</f>
        <v>57.024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8672.35528277531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957.259031419479</v>
      </c>
      <c r="B186" s="103" t="n">
        <f aca="false">IF(A111="YES", B95, 0)</f>
        <v>6.336</v>
      </c>
      <c r="C186" s="353"/>
      <c r="D186" s="103" t="n">
        <f aca="false">B97</f>
        <v>963.595031419479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(A41/100*B111)*B131, 0)*0.1</f>
        <v>1.2672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1080.1072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578.85</v>
      </c>
      <c r="C211" s="320" t="s">
        <v>219</v>
      </c>
      <c r="D211" s="370" t="n">
        <f aca="false">B225+E221+B221+B223</f>
        <v>352.662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3825.762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4051.95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578.85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3825.762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12.672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96.4917103670835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145</v>
      </c>
      <c r="C2" s="497" t="s">
        <v>146</v>
      </c>
      <c r="D2" s="497" t="s">
        <v>147</v>
      </c>
      <c r="E2" s="483" t="s">
        <v>148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151</v>
      </c>
      <c r="B3" s="498" t="n">
        <v>17895.0</v>
      </c>
      <c r="C3" s="498" t="n">
        <v>0.0</v>
      </c>
      <c r="D3" s="498" t="n">
        <v>0.0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152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153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154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155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163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164</v>
      </c>
      <c r="B10" s="488"/>
      <c r="C10" s="488"/>
      <c r="D10" s="488"/>
      <c r="E10" s="499" t="n">
        <v>695.0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165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166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167</v>
      </c>
      <c r="B13" s="488"/>
      <c r="C13" s="488"/>
      <c r="D13" s="488"/>
      <c r="E13" s="499" t="n">
        <v>290.0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168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169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170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171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172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172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172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173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5.28</v>
      </c>
      <c r="E32" s="226"/>
      <c r="F32" s="63"/>
      <c r="G32" s="227" t="s">
        <v>243</v>
      </c>
      <c r="H32" s="225" t="str">
        <f aca="false">A41</f>
        <v>5.28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505.28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s">
        <v>393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n">
        <f aca="false">IF(B38="YES", D38+A41, D38)</f>
        <v>505.28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394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5.28</v>
      </c>
      <c r="I44" s="394" t="n">
        <f aca="false">((A41*(B35-1))+D32)/B35</f>
        <v>5.28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506.28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506.28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91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91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0.005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B67*B72</f>
        <v>578.85</v>
      </c>
      <c r="C73" s="215"/>
      <c r="D73" s="291"/>
      <c r="E73" s="216"/>
      <c r="F73" s="63"/>
      <c r="G73" s="285" t="s">
        <v>94</v>
      </c>
      <c r="H73" s="133" t="n">
        <f aca="false">H67*H72</f>
        <v>289.425</v>
      </c>
      <c r="I73" s="215"/>
      <c r="J73" s="291"/>
      <c r="K73" s="216"/>
      <c r="L73" s="63"/>
      <c r="M73" s="285" t="s">
        <v>94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160.0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4.5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0.0</v>
      </c>
      <c r="C80" s="215"/>
      <c r="D80" s="215"/>
      <c r="E80" s="430" t="n">
        <f aca="false">E79+D82</f>
        <v>703.333333333333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58.6111111111111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43.3333333333333</v>
      </c>
      <c r="C82" s="215"/>
      <c r="D82" s="291" t="n">
        <f aca="false">IF(A50="YES", 0, B82)</f>
        <v>43.3333333333333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300.0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100.0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5421.95</v>
      </c>
      <c r="C87" s="215"/>
      <c r="D87" s="215"/>
      <c r="E87" s="216"/>
      <c r="F87" s="63"/>
      <c r="G87" s="303" t="s">
        <v>103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103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451.829166666667</v>
      </c>
      <c r="C88" s="215"/>
      <c r="D88" s="215"/>
      <c r="E88" s="216"/>
      <c r="F88" s="63"/>
      <c r="G88" s="214" t="s">
        <v>104</v>
      </c>
      <c r="H88" s="300" t="n">
        <f aca="false">H87/H29</f>
        <v>600.461111111111</v>
      </c>
      <c r="I88" s="215"/>
      <c r="J88" s="215"/>
      <c r="K88" s="216"/>
      <c r="L88" s="63"/>
      <c r="M88" s="214" t="s">
        <v>104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((B89*H29)+B87)*1.2</f>
        <v>13720.74</v>
      </c>
      <c r="C91" s="215"/>
      <c r="D91" s="215"/>
      <c r="E91" s="216"/>
      <c r="F91" s="63"/>
      <c r="G91" s="288" t="s">
        <v>115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115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96.8587938684954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116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13817.5987938685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IF(B105=Z104,(((H44*B35)+(H44*B35)*(B111/100))/(B64)),(((H44*B35)+(H44*B35)*(B111/100))/(B63+B64)))*1.2</f>
        <v>8.2368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1151.46656615571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1159.70336615571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 t="s">
        <v>130</v>
      </c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n">
        <v>239.99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 t="s">
        <v>18</v>
      </c>
      <c r="B105" s="312" t="s">
        <v>130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19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2" t="n">
        <v>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388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0.0</v>
      </c>
      <c r="E118" s="107" t="n">
        <v>6000.0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 t="n">
        <v>0</v>
      </c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1151.46656615571</v>
      </c>
      <c r="B134" s="321" t="n">
        <f aca="false">IF(A111="YES", B95, 0)</f>
        <v>8.2368</v>
      </c>
      <c r="C134" s="326"/>
      <c r="D134" s="321" t="n">
        <f aca="false">B97</f>
        <v>1159.70336615571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10363.1990954014</v>
      </c>
      <c r="C137" s="317"/>
      <c r="D137" s="38" t="n">
        <f aca="false">IF(A111="YES", B95*B63, 0)</f>
        <v>74.1312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10437.3302954014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1151.46656615571</v>
      </c>
      <c r="B143" s="38" t="n">
        <f aca="false">IF(A111="YES", B95, 0)</f>
        <v>8.2368</v>
      </c>
      <c r="C143" s="317"/>
      <c r="D143" s="38" t="n">
        <f aca="false">B97</f>
        <v>1159.70336615571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1.2672</v>
      </c>
      <c r="H148" s="103" t="n">
        <f aca="false">G108-100</f>
        <v>139.988</v>
      </c>
      <c r="I148" s="103"/>
      <c r="J148" s="103" t="n">
        <f aca="false">(H145+J145+G148+H148)-H151</f>
        <v>1462.4427</v>
      </c>
      <c r="K148" s="105"/>
      <c r="L148" s="63"/>
      <c r="M148" s="111" t="n">
        <f aca="false">IF(M111="YES", ((A41*N111)*0.1)*(M133), 0)</f>
        <v>1.2672</v>
      </c>
      <c r="N148" s="103" t="n">
        <f aca="false">M108-100</f>
        <v>99.99</v>
      </c>
      <c r="O148" s="103"/>
      <c r="P148" s="103" t="n">
        <f aca="false">(N145+P145+M148+N148)-N151</f>
        <v>1422.4447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1.9008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1080.74246666667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1159.70336615571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1151.46656615571</v>
      </c>
      <c r="B177" s="355" t="n">
        <f aca="false">IF(A111="YES", B95, 0)</f>
        <v>8.2368</v>
      </c>
      <c r="C177" s="358"/>
      <c r="D177" s="355" t="n">
        <f aca="false">B91</f>
        <v>13720.74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10363.1990954014</v>
      </c>
      <c r="C180" s="353"/>
      <c r="D180" s="103" t="n">
        <f aca="false">IF(A111="YES", B95*B63, 0)</f>
        <v>74.1312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10437.3302954014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1151.46656615571</v>
      </c>
      <c r="B186" s="103" t="n">
        <f aca="false">IF(A111="YES", B95, 0)</f>
        <v>8.2368</v>
      </c>
      <c r="C186" s="353"/>
      <c r="D186" s="103" t="n">
        <f aca="false">B97</f>
        <v>1159.70336615571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(A41/100*B111)*B131, 0)*0.1</f>
        <v>1.9008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1080.74246666667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578.85</v>
      </c>
      <c r="C211" s="320" t="s">
        <v>219</v>
      </c>
      <c r="D211" s="370" t="n">
        <f aca="false">B225+E221+B221+B223</f>
        <v>358.999666666667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3832.09966666667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4051.95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578.85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3832.09966666667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19.008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61" colorId="64" zoomScale="85" zoomScaleNormal="85" zoomScalePageLayoutView="100" workbookViewId="0">
      <selection pane="topLeft" activeCell="B75" activeCellId="0" sqref="B7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145</v>
      </c>
      <c r="C2" s="497" t="s">
        <v>146</v>
      </c>
      <c r="D2" s="497" t="s">
        <v>147</v>
      </c>
      <c r="E2" s="483" t="s">
        <v>148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151</v>
      </c>
      <c r="B3" s="498" t="n">
        <v>17895.0</v>
      </c>
      <c r="C3" s="498" t="n">
        <v>0.0</v>
      </c>
      <c r="D3" s="498" t="n">
        <v>0.0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152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153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154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155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163</v>
      </c>
      <c r="B9" s="486" t="n">
        <v>23125</v>
      </c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164</v>
      </c>
      <c r="B10" s="488"/>
      <c r="C10" s="488"/>
      <c r="D10" s="488"/>
      <c r="E10" s="499" t="n">
        <v>695.0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165</v>
      </c>
      <c r="B11" s="488" t="n">
        <v>0</v>
      </c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166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167</v>
      </c>
      <c r="B13" s="488" t="n">
        <v>0</v>
      </c>
      <c r="C13" s="488"/>
      <c r="D13" s="488"/>
      <c r="E13" s="499" t="n">
        <v>290.0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168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169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170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171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172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172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172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173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390</v>
      </c>
      <c r="C38" s="223"/>
      <c r="D38" s="104" t="s">
        <v>393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419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394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91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91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0.005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B67*B72</f>
        <v>578.85</v>
      </c>
      <c r="C73" s="215"/>
      <c r="D73" s="291"/>
      <c r="E73" s="216"/>
      <c r="F73" s="63"/>
      <c r="G73" s="285" t="s">
        <v>94</v>
      </c>
      <c r="H73" s="133" t="n">
        <f aca="false">H67*H72</f>
        <v>289.425</v>
      </c>
      <c r="I73" s="215"/>
      <c r="J73" s="291"/>
      <c r="K73" s="216"/>
      <c r="L73" s="63"/>
      <c r="M73" s="285" t="s">
        <v>94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160.0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4.5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0.0</v>
      </c>
      <c r="C80" s="215"/>
      <c r="D80" s="215"/>
      <c r="E80" s="430" t="n">
        <f aca="false">E79+D82</f>
        <v>703.333333333333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58.6111111111111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43.3333333333333</v>
      </c>
      <c r="C82" s="215"/>
      <c r="D82" s="291" t="n">
        <f aca="false">IF(A50="YES", 0, B82)</f>
        <v>43.3333333333333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300.0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100.0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5421.95</v>
      </c>
      <c r="C87" s="215"/>
      <c r="D87" s="215"/>
      <c r="E87" s="216"/>
      <c r="F87" s="63"/>
      <c r="G87" s="303" t="s">
        <v>103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103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451.829166666667</v>
      </c>
      <c r="C88" s="215"/>
      <c r="D88" s="215"/>
      <c r="E88" s="216"/>
      <c r="F88" s="63"/>
      <c r="G88" s="214" t="s">
        <v>104</v>
      </c>
      <c r="H88" s="300" t="n">
        <f aca="false">H87/H29</f>
        <v>600.461111111111</v>
      </c>
      <c r="I88" s="215"/>
      <c r="J88" s="215"/>
      <c r="K88" s="216"/>
      <c r="L88" s="63"/>
      <c r="M88" s="214" t="s">
        <v>104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</f>
        <v>11433.95</v>
      </c>
      <c r="C91" s="215"/>
      <c r="D91" s="215"/>
      <c r="E91" s="216"/>
      <c r="F91" s="63"/>
      <c r="G91" s="288" t="s">
        <v>115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115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96.8587938684954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116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11530.8087938685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960.900732822375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960.900732822375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130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388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0.0</v>
      </c>
      <c r="E118" s="107" t="n">
        <v>6000.0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960.900732822375</v>
      </c>
      <c r="B134" s="321" t="n">
        <f aca="false">IF(A111="YES", B95, 0)</f>
        <v>0</v>
      </c>
      <c r="C134" s="326"/>
      <c r="D134" s="321" t="n">
        <f aca="false">B97</f>
        <v>960.900732822375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8648.10659540137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8648.10659540137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960.900732822375</v>
      </c>
      <c r="B143" s="38" t="n">
        <f aca="false">IF(A111="YES", B95, 0)</f>
        <v>0</v>
      </c>
      <c r="C143" s="317"/>
      <c r="D143" s="38" t="n">
        <f aca="false">B97</f>
        <v>960.900732822375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1461.1755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1421.1775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1078.84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960.900732822375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960.900732822375</v>
      </c>
      <c r="B177" s="355" t="n">
        <f aca="false">IF(A111="YES", B95, 0)</f>
        <v>0</v>
      </c>
      <c r="C177" s="358"/>
      <c r="D177" s="355" t="n">
        <f aca="false">B91</f>
        <v>11433.95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8648.10659540137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8648.10659540137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960.900732822375</v>
      </c>
      <c r="B186" s="103" t="n">
        <f aca="false">IF(A111="YES", B95, 0)</f>
        <v>0</v>
      </c>
      <c r="C186" s="353"/>
      <c r="D186" s="103" t="n">
        <f aca="false">B97</f>
        <v>960.900732822375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1078.84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578.85</v>
      </c>
      <c r="C211" s="320" t="s">
        <v>219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3813.09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4051.95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578.85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3813.09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145</v>
      </c>
      <c r="C2" s="497" t="s">
        <v>146</v>
      </c>
      <c r="D2" s="497" t="s">
        <v>147</v>
      </c>
      <c r="E2" s="483" t="s">
        <v>148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151</v>
      </c>
      <c r="B3" s="498" t="n">
        <v>17895.0</v>
      </c>
      <c r="C3" s="498" t="n">
        <v>0.0</v>
      </c>
      <c r="D3" s="498" t="n">
        <v>0.0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152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153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154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155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163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164</v>
      </c>
      <c r="B10" s="488"/>
      <c r="C10" s="488"/>
      <c r="D10" s="488"/>
      <c r="E10" s="499" t="n">
        <v>695.0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165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166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167</v>
      </c>
      <c r="B13" s="488"/>
      <c r="C13" s="488"/>
      <c r="D13" s="488"/>
      <c r="E13" s="499" t="n">
        <v>290.0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168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169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170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171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172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172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172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173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243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s">
        <v>393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391</v>
      </c>
      <c r="B41" s="241" t="n">
        <f aca="false">IF(B38="YES", D38+A41, D38)</f>
        <v>560</v>
      </c>
      <c r="C41" s="241"/>
      <c r="D41" s="104" t="s">
        <v>408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394</v>
      </c>
      <c r="B44" s="104" t="s">
        <v>409</v>
      </c>
      <c r="C44" s="104"/>
      <c r="D44" s="104" t="s">
        <v>391</v>
      </c>
      <c r="E44" s="104"/>
      <c r="F44" s="63"/>
      <c r="G44" s="63" t="s">
        <v>257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410</v>
      </c>
      <c r="C47" s="429"/>
      <c r="D47" s="104" t="s">
        <v>410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338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91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91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0.005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B67*B72</f>
        <v>578.85</v>
      </c>
      <c r="C73" s="215"/>
      <c r="D73" s="291"/>
      <c r="E73" s="216"/>
      <c r="F73" s="63"/>
      <c r="G73" s="285" t="s">
        <v>94</v>
      </c>
      <c r="H73" s="133" t="n">
        <f aca="false">H67*H72</f>
        <v>289.425</v>
      </c>
      <c r="I73" s="215"/>
      <c r="J73" s="291"/>
      <c r="K73" s="216"/>
      <c r="L73" s="63"/>
      <c r="M73" s="285" t="s">
        <v>94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160.0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4.5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0.0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0.0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300.0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100.0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5378.61666666667</v>
      </c>
      <c r="C87" s="215"/>
      <c r="D87" s="215"/>
      <c r="E87" s="216"/>
      <c r="F87" s="63"/>
      <c r="G87" s="303" t="s">
        <v>103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103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448.218055555556</v>
      </c>
      <c r="C88" s="215"/>
      <c r="D88" s="215"/>
      <c r="E88" s="216"/>
      <c r="F88" s="63"/>
      <c r="G88" s="214" t="s">
        <v>104</v>
      </c>
      <c r="H88" s="300" t="n">
        <f aca="false">H87/H29</f>
        <v>600.461111111111</v>
      </c>
      <c r="I88" s="215"/>
      <c r="J88" s="215"/>
      <c r="K88" s="216"/>
      <c r="L88" s="63"/>
      <c r="M88" s="214" t="s">
        <v>104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</f>
        <v>11390.6166666667</v>
      </c>
      <c r="C91" s="215"/>
      <c r="D91" s="215"/>
      <c r="E91" s="216"/>
      <c r="F91" s="63"/>
      <c r="G91" s="288" t="s">
        <v>115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115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96.4917103670835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116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11487.1083770338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</f>
        <v>72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957.259031419479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1029.25903141948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350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130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4" t="n">
        <v>0.0</v>
      </c>
      <c r="C111" s="314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388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0.0</v>
      </c>
      <c r="E118" s="107" t="n">
        <v>6000.0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957.259031419479</v>
      </c>
      <c r="B134" s="321" t="n">
        <f aca="false">IF(A111="YES", B95, 0)</f>
        <v>72</v>
      </c>
      <c r="C134" s="326"/>
      <c r="D134" s="321" t="n">
        <f aca="false">B97</f>
        <v>1029.25903141948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957.259031419479</v>
      </c>
      <c r="C137" s="317"/>
      <c r="D137" s="38" t="n">
        <f aca="false">IF(A111="YES", B95*B63, 0)</f>
        <v>72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1029.25903141948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957.259031419479</v>
      </c>
      <c r="B143" s="38" t="n">
        <f aca="false">IF(A111="YES", B95, 0)</f>
        <v>72</v>
      </c>
      <c r="C143" s="317"/>
      <c r="D143" s="38" t="n">
        <f aca="false">B97</f>
        <v>1029.25903141948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1475.5755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1435.5775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103" t="n">
        <f aca="false">B108</f>
        <v>400</v>
      </c>
      <c r="C154" s="38"/>
      <c r="D154" s="38" t="n">
        <f aca="false">IF(A111="YES", (A41/100*B111)*B131, 0)*0.1</f>
        <v>14.4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1093.24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1029.25903141948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957.259031419479</v>
      </c>
      <c r="B177" s="355" t="n">
        <f aca="false">IF(A111="YES", B95, 0)</f>
        <v>72</v>
      </c>
      <c r="C177" s="358"/>
      <c r="D177" s="355" t="n">
        <f aca="false">B91</f>
        <v>11390.6166666667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957.259031419479</v>
      </c>
      <c r="C180" s="353"/>
      <c r="D180" s="103" t="n">
        <f aca="false">IF(A111="YES", B95*B63, 0)</f>
        <v>72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1029.25903141948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957.259031419479</v>
      </c>
      <c r="B186" s="103" t="n">
        <f aca="false">IF(A111="YES", B95, 0)</f>
        <v>72</v>
      </c>
      <c r="C186" s="353"/>
      <c r="D186" s="103" t="n">
        <f aca="false">B97</f>
        <v>1029.25903141948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(A41/100*B111)*B131, 0)*0.1</f>
        <v>14.4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1093.24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578.85</v>
      </c>
      <c r="C211" s="320" t="s">
        <v>219</v>
      </c>
      <c r="D211" s="370" t="n">
        <f aca="false">B225+E221+B221+B223</f>
        <v>483.99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3957.09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4051.95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578.85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3957.09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144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96.4917103670835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145</v>
      </c>
      <c r="C2" s="497" t="s">
        <v>146</v>
      </c>
      <c r="D2" s="497" t="s">
        <v>147</v>
      </c>
      <c r="E2" s="483" t="s">
        <v>148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151</v>
      </c>
      <c r="B3" s="498" t="n">
        <v>17895.0</v>
      </c>
      <c r="C3" s="498" t="n">
        <v>0.0</v>
      </c>
      <c r="D3" s="498" t="n">
        <v>0.0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152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153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154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155</v>
      </c>
      <c r="B7" s="291" t="n">
        <f aca="false">B3-B6</f>
        <v>19837.5</v>
      </c>
      <c r="C7" s="291" t="n">
        <f aca="false">C3-C6</f>
        <v>479.17</v>
      </c>
      <c r="D7" s="291" t="n">
        <f aca="false">D3-D6</f>
        <v>500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245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163</v>
      </c>
      <c r="B9" s="486"/>
      <c r="C9" s="486"/>
      <c r="D9" s="486"/>
      <c r="E9" s="501" t="n">
        <f aca="false">B7+C7+D7+E3</f>
        <v>20816.67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164</v>
      </c>
      <c r="B10" s="488"/>
      <c r="C10" s="488"/>
      <c r="D10" s="488"/>
      <c r="E10" s="499" t="n">
        <v>695.0</v>
      </c>
      <c r="F10" s="63"/>
      <c r="G10" s="63"/>
      <c r="H10" s="63"/>
      <c r="I10" s="16" t="s">
        <v>1</v>
      </c>
      <c r="J10" s="14" t="n">
        <f aca="false">E15-E11-J8</f>
        <v>21366.67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165</v>
      </c>
      <c r="B11" s="488"/>
      <c r="C11" s="488"/>
      <c r="D11" s="488"/>
      <c r="E11" s="300" t="n">
        <f aca="false">(E9+E10)*20%</f>
        <v>4273.334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166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167</v>
      </c>
      <c r="B13" s="488"/>
      <c r="C13" s="488"/>
      <c r="D13" s="488"/>
      <c r="E13" s="499" t="n">
        <v>290.0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168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169</v>
      </c>
      <c r="B15" s="488"/>
      <c r="C15" s="488"/>
      <c r="D15" s="488"/>
      <c r="E15" s="502" t="n">
        <f aca="false">(E9+E10+E13+E14+E11)-E12</f>
        <v>25885.004</v>
      </c>
      <c r="F15" s="63"/>
      <c r="G15" s="274" t="n">
        <f aca="false">E15</f>
        <v>25885.004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170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171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172</v>
      </c>
      <c r="C18" s="490"/>
      <c r="D18" s="490"/>
      <c r="E18" s="503" t="n">
        <v>0</v>
      </c>
      <c r="F18" s="63"/>
      <c r="G18" s="274" t="n">
        <f aca="false">(B3+C3+D3+E3+E10)*1.2</f>
        <v>25640.004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172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172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173</v>
      </c>
      <c r="B21" s="491"/>
      <c r="C21" s="491"/>
      <c r="D21" s="491"/>
      <c r="E21" s="504" t="n">
        <f aca="false">E15-((E18*1.2)+(E19*1.2)+(E20*1.2)+(E16*1.2))</f>
        <v>25885.004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390</v>
      </c>
      <c r="C38" s="223"/>
      <c r="D38" s="104" t="s">
        <v>393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405</v>
      </c>
      <c r="B41" s="241" t="str">
        <f aca="false">IF(B38="YES", D38+A41, D38)</f>
        <v>500</v>
      </c>
      <c r="C41" s="241"/>
      <c r="D41" s="104" t="s">
        <v>408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394</v>
      </c>
      <c r="B44" s="104" t="s">
        <v>409</v>
      </c>
      <c r="C44" s="104"/>
      <c r="D44" s="104" t="s">
        <v>410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410</v>
      </c>
      <c r="C47" s="429"/>
      <c r="D47" s="104" t="s">
        <v>410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25640.004</v>
      </c>
      <c r="C67" s="215"/>
      <c r="D67" s="215"/>
      <c r="E67" s="216"/>
      <c r="F67" s="63"/>
      <c r="G67" s="214" t="s">
        <v>14</v>
      </c>
      <c r="H67" s="291" t="n">
        <f aca="false">G18</f>
        <v>25640.004</v>
      </c>
      <c r="I67" s="215"/>
      <c r="J67" s="215"/>
      <c r="K67" s="216"/>
      <c r="L67" s="63"/>
      <c r="M67" s="214" t="s">
        <v>14</v>
      </c>
      <c r="N67" s="291" t="n">
        <f aca="false">G18</f>
        <v>25640.004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B67*B69</f>
        <v>1794.80028</v>
      </c>
      <c r="C70" s="215" t="n">
        <v>10000.0</v>
      </c>
      <c r="D70" s="291" t="n">
        <f aca="false">B70-A149</f>
        <v>1794.80028</v>
      </c>
      <c r="E70" s="216" t="n">
        <f aca="false">D70/12</f>
        <v>149.56669</v>
      </c>
      <c r="F70" s="63"/>
      <c r="G70" s="285" t="s">
        <v>91</v>
      </c>
      <c r="H70" s="133" t="n">
        <f aca="false">H67*H69</f>
        <v>1794.80028</v>
      </c>
      <c r="I70" s="215"/>
      <c r="J70" s="291" t="n">
        <f aca="false">H70-G151</f>
        <v>1794.80028</v>
      </c>
      <c r="K70" s="216"/>
      <c r="L70" s="63"/>
      <c r="M70" s="285" t="s">
        <v>91</v>
      </c>
      <c r="N70" s="133" t="n">
        <f aca="false">N67*N69</f>
        <v>1794.80028</v>
      </c>
      <c r="O70" s="215"/>
      <c r="P70" s="291" t="n">
        <f aca="false">N70-M151</f>
        <v>1794.80028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0.005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B67*B72</f>
        <v>256.40004</v>
      </c>
      <c r="C73" s="215"/>
      <c r="D73" s="291"/>
      <c r="E73" s="216"/>
      <c r="F73" s="63"/>
      <c r="G73" s="285" t="s">
        <v>94</v>
      </c>
      <c r="H73" s="133" t="n">
        <f aca="false">H67*H72</f>
        <v>128.20002</v>
      </c>
      <c r="I73" s="215"/>
      <c r="J73" s="291"/>
      <c r="K73" s="216"/>
      <c r="L73" s="63"/>
      <c r="M73" s="285" t="s">
        <v>94</v>
      </c>
      <c r="N73" s="133" t="n">
        <f aca="false">N67*N72</f>
        <v>128.20002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160.0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4.5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0.0</v>
      </c>
      <c r="C80" s="215"/>
      <c r="D80" s="215"/>
      <c r="E80" s="430" t="n">
        <f aca="false">E79+D82</f>
        <v>703.333333333333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58.6111111111111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43.3333333333333</v>
      </c>
      <c r="C82" s="215"/>
      <c r="D82" s="291" t="n">
        <f aca="false">IF(A50="YES", 0, B82)</f>
        <v>43.3333333333333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300.0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100.0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2498.13361333333</v>
      </c>
      <c r="C87" s="215"/>
      <c r="D87" s="215"/>
      <c r="E87" s="216"/>
      <c r="F87" s="63"/>
      <c r="G87" s="303" t="s">
        <v>103</v>
      </c>
      <c r="H87" s="304" t="n">
        <f aca="false">SUM(J70:J86)</f>
        <v>4921.30028</v>
      </c>
      <c r="I87" s="215"/>
      <c r="J87" s="215"/>
      <c r="K87" s="216"/>
      <c r="L87" s="63"/>
      <c r="M87" s="303" t="s">
        <v>103</v>
      </c>
      <c r="N87" s="304" t="n">
        <f aca="false">SUM(P70:P86)</f>
        <v>4908.80028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208.177801111111</v>
      </c>
      <c r="C88" s="215"/>
      <c r="D88" s="215"/>
      <c r="E88" s="216"/>
      <c r="F88" s="63"/>
      <c r="G88" s="214" t="s">
        <v>104</v>
      </c>
      <c r="H88" s="300" t="n">
        <f aca="false">H87/H29</f>
        <v>410.108356666667</v>
      </c>
      <c r="I88" s="215"/>
      <c r="J88" s="215"/>
      <c r="K88" s="216"/>
      <c r="L88" s="63"/>
      <c r="M88" s="214" t="s">
        <v>104</v>
      </c>
      <c r="N88" s="300" t="n">
        <f aca="false">N87/H29</f>
        <v>409.06669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((B89*H29)+B87)*1.2</f>
        <v>10212.160336</v>
      </c>
      <c r="C91" s="215"/>
      <c r="D91" s="215"/>
      <c r="E91" s="216"/>
      <c r="F91" s="63"/>
      <c r="G91" s="288" t="s">
        <v>115</v>
      </c>
      <c r="H91" s="131" t="n">
        <f aca="false">((H89*H29)+H87)*1.2</f>
        <v>13119.960336</v>
      </c>
      <c r="I91" s="215"/>
      <c r="J91" s="215"/>
      <c r="K91" s="216"/>
      <c r="L91" s="63"/>
      <c r="M91" s="288" t="s">
        <v>115</v>
      </c>
      <c r="N91" s="131" t="n">
        <f aca="false">((N89*H29)+N87)</f>
        <v>10920.80028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72.0906840984268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92.6177111254538</v>
      </c>
      <c r="I92" s="215"/>
      <c r="J92" s="215"/>
      <c r="K92" s="216"/>
      <c r="L92" s="63"/>
      <c r="M92" s="214" t="s">
        <v>116</v>
      </c>
      <c r="N92" s="300" t="n">
        <f aca="false">(N91/(1-N76))*N76</f>
        <v>92.5118216538927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10284.2510200984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15212.5780471255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13013.3121016539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857.020918341535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857.020918341535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130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388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0.0</v>
      </c>
      <c r="E118" s="107" t="n">
        <v>6000.0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857.020918341535</v>
      </c>
      <c r="B134" s="321" t="n">
        <f aca="false">IF(A111="YES", B95, 0)</f>
        <v>0</v>
      </c>
      <c r="C134" s="326"/>
      <c r="D134" s="321" t="n">
        <f aca="false">B97</f>
        <v>857.020918341535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857.020918341535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857.020918341535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0.155310024</v>
      </c>
      <c r="H142" s="103" t="n">
        <f aca="false">IF(G111="YES", E15*0.000002, 0)</f>
        <v>0.051770008</v>
      </c>
      <c r="I142" s="103"/>
      <c r="J142" s="103" t="n">
        <f aca="false">G142+H142</f>
        <v>0.207080032</v>
      </c>
      <c r="K142" s="105"/>
      <c r="L142" s="63"/>
      <c r="M142" s="111" t="n">
        <f aca="false">E15*0.000006</f>
        <v>0.155310024</v>
      </c>
      <c r="N142" s="103" t="n">
        <f aca="false">IF(M111="YES", E15*0.000002, 0)</f>
        <v>0.051770008</v>
      </c>
      <c r="O142" s="103"/>
      <c r="P142" s="103" t="n">
        <f aca="false">M142+N142</f>
        <v>0.207080032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857.020918341535</v>
      </c>
      <c r="B143" s="38" t="n">
        <f aca="false">IF(A111="YES", B95, 0)</f>
        <v>0</v>
      </c>
      <c r="C143" s="317"/>
      <c r="D143" s="38" t="n">
        <f aca="false">B97</f>
        <v>857.020918341535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106.83335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106.83335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18.46080288</v>
      </c>
      <c r="B146" s="343" t="n">
        <f aca="false">G18*0.000002 *1.2*100</f>
        <v>6.15360096</v>
      </c>
      <c r="C146" s="317"/>
      <c r="D146" s="343" t="n">
        <f aca="false">A146+B146</f>
        <v>24.61440384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1326.82135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1286.82335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256.40004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356.391706666667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857.020918341535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857.020918341535</v>
      </c>
      <c r="B177" s="355" t="n">
        <f aca="false">IF(A111="YES", B95, 0)</f>
        <v>0</v>
      </c>
      <c r="C177" s="358"/>
      <c r="D177" s="355" t="n">
        <f aca="false">B97</f>
        <v>857.020918341535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857.020918341535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857.020918341535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857.020918341535</v>
      </c>
      <c r="B186" s="103" t="n">
        <f aca="false">IF(A111="YES", B95, 0)</f>
        <v>0</v>
      </c>
      <c r="C186" s="353"/>
      <c r="D186" s="103" t="n">
        <f aca="false">B97</f>
        <v>857.020918341535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18.46080288</v>
      </c>
      <c r="B189" s="365" t="n">
        <f aca="false">G18*0.000002 *1.2*100</f>
        <v>6.15360096</v>
      </c>
      <c r="C189" s="353"/>
      <c r="D189" s="365" t="n">
        <f aca="false">A189+B189</f>
        <v>24.61440384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256.40004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356.391706666667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1794.80028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256.40004</v>
      </c>
      <c r="C211" s="320" t="s">
        <v>219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1638.39190666667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1794.80028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256.40004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0</v>
      </c>
      <c r="C221" s="336" t="s">
        <v>225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0</v>
      </c>
      <c r="C223" s="336" t="s">
        <v>220</v>
      </c>
      <c r="D223" s="317"/>
      <c r="E223" s="33" t="n">
        <f aca="false">(B217-B211+D211)</f>
        <v>1638.39190666667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72.0906840984268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145</v>
      </c>
      <c r="C2" s="497" t="s">
        <v>146</v>
      </c>
      <c r="D2" s="497" t="s">
        <v>147</v>
      </c>
      <c r="E2" s="483" t="s">
        <v>148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151</v>
      </c>
      <c r="B3" s="498" t="n">
        <v>17895.0</v>
      </c>
      <c r="C3" s="498" t="n">
        <v>0.0</v>
      </c>
      <c r="D3" s="498" t="n">
        <v>0.0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152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153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154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155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163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164</v>
      </c>
      <c r="B10" s="488"/>
      <c r="C10" s="488"/>
      <c r="D10" s="488"/>
      <c r="E10" s="499" t="n">
        <v>695.0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165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166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167</v>
      </c>
      <c r="B13" s="488"/>
      <c r="C13" s="488"/>
      <c r="D13" s="488"/>
      <c r="E13" s="499" t="n">
        <v>290.0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168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169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170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171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172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172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172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173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390</v>
      </c>
      <c r="C38" s="223"/>
      <c r="D38" s="104" t="s">
        <v>393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405</v>
      </c>
      <c r="B41" s="241" t="n">
        <f aca="false">IF(B38="YES", D38+A41, D38)</f>
        <v>550</v>
      </c>
      <c r="C41" s="241"/>
      <c r="D41" s="104" t="s">
        <v>408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394</v>
      </c>
      <c r="B44" s="104" t="s">
        <v>409</v>
      </c>
      <c r="C44" s="104"/>
      <c r="D44" s="104" t="s">
        <v>410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410</v>
      </c>
      <c r="C47" s="429"/>
      <c r="D47" s="104" t="s">
        <v>410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91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91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0.005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B67*B72</f>
        <v>578.85</v>
      </c>
      <c r="C73" s="215"/>
      <c r="D73" s="291"/>
      <c r="E73" s="216"/>
      <c r="F73" s="63"/>
      <c r="G73" s="285" t="s">
        <v>94</v>
      </c>
      <c r="H73" s="133" t="n">
        <f aca="false">H67*H72</f>
        <v>289.425</v>
      </c>
      <c r="I73" s="215"/>
      <c r="J73" s="291"/>
      <c r="K73" s="216"/>
      <c r="L73" s="63"/>
      <c r="M73" s="285" t="s">
        <v>94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160.0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4.5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0.0</v>
      </c>
      <c r="C80" s="215"/>
      <c r="D80" s="215"/>
      <c r="E80" s="430" t="n">
        <f aca="false">E79+D82</f>
        <v>703.333333333333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58.6111111111111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43.3333333333333</v>
      </c>
      <c r="C82" s="215"/>
      <c r="D82" s="291" t="n">
        <f aca="false">IF(A50="YES", 0, B82)</f>
        <v>43.3333333333333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300.0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100.0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5421.95</v>
      </c>
      <c r="C87" s="215"/>
      <c r="D87" s="215"/>
      <c r="E87" s="216"/>
      <c r="F87" s="63"/>
      <c r="G87" s="303" t="s">
        <v>103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103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451.829166666667</v>
      </c>
      <c r="C88" s="215"/>
      <c r="D88" s="215"/>
      <c r="E88" s="216"/>
      <c r="F88" s="63"/>
      <c r="G88" s="214" t="s">
        <v>104</v>
      </c>
      <c r="H88" s="300" t="n">
        <f aca="false">H87/H29</f>
        <v>600.461111111111</v>
      </c>
      <c r="I88" s="215"/>
      <c r="J88" s="215"/>
      <c r="K88" s="216"/>
      <c r="L88" s="63"/>
      <c r="M88" s="214" t="s">
        <v>104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</f>
        <v>11433.95</v>
      </c>
      <c r="C91" s="215"/>
      <c r="D91" s="215"/>
      <c r="E91" s="216"/>
      <c r="F91" s="63"/>
      <c r="G91" s="288" t="s">
        <v>115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115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96.8587938684954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116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11530.8087938685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960.900732822375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1020.90073282237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130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388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0.0</v>
      </c>
      <c r="E118" s="107" t="n">
        <v>6000.0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960.900732822375</v>
      </c>
      <c r="B134" s="321" t="n">
        <f aca="false">IF(A111="YES", B95, 0)</f>
        <v>60</v>
      </c>
      <c r="C134" s="326"/>
      <c r="D134" s="321" t="n">
        <f aca="false">B97</f>
        <v>1020.90073282237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960.900732822375</v>
      </c>
      <c r="C137" s="317"/>
      <c r="D137" s="38" t="n">
        <f aca="false">IF(A111="YES", B95*B63, 0)</f>
        <v>60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1020.90073282237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960.900732822375</v>
      </c>
      <c r="B143" s="38" t="n">
        <f aca="false">IF(A111="YES", B95, 0)</f>
        <v>60</v>
      </c>
      <c r="C143" s="317"/>
      <c r="D143" s="38" t="n">
        <f aca="false">B97</f>
        <v>1020.90073282237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1473.1755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1433.1775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12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1090.84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1020.90073282237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960.900732822375</v>
      </c>
      <c r="B177" s="355" t="n">
        <f aca="false">IF(A111="YES", B95, 0)</f>
        <v>60</v>
      </c>
      <c r="C177" s="358"/>
      <c r="D177" s="355" t="n">
        <f aca="false">B91</f>
        <v>11433.95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960.900732822375</v>
      </c>
      <c r="C180" s="353"/>
      <c r="D180" s="103" t="n">
        <f aca="false">IF(A111="YES", B95*B63, 0)</f>
        <v>60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1020.90073282237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960.900732822375</v>
      </c>
      <c r="B186" s="103" t="n">
        <f aca="false">IF(A111="YES", B95, 0)</f>
        <v>60</v>
      </c>
      <c r="C186" s="353"/>
      <c r="D186" s="103" t="n">
        <f aca="false">B97</f>
        <v>1020.90073282237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B154</f>
        <v>400</v>
      </c>
      <c r="C197" s="103"/>
      <c r="D197" s="103" t="n">
        <f aca="false">IF(A111="YES", (A41/100*B111)*B131, 0)*0.1</f>
        <v>12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1090.84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578.85</v>
      </c>
      <c r="C211" s="320" t="s">
        <v>219</v>
      </c>
      <c r="D211" s="370" t="n">
        <f aca="false">B225+E221+B221+B223</f>
        <v>459.99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3933.09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4051.95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578.85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3933.09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120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B233" activeCellId="0" sqref="B233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145</v>
      </c>
      <c r="C2" s="439"/>
      <c r="D2" s="439" t="s">
        <v>146</v>
      </c>
      <c r="E2" s="439"/>
      <c r="F2" s="439" t="s">
        <v>147</v>
      </c>
      <c r="G2" s="439"/>
      <c r="H2" s="440" t="s">
        <v>148</v>
      </c>
      <c r="I2" s="2"/>
      <c r="J2" s="2"/>
    </row>
    <row r="3" customFormat="false" ht="17.35" hidden="false" customHeight="false" outlineLevel="0" collapsed="false">
      <c r="A3" s="31" t="s">
        <v>151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152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153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154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155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163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164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165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166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167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168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169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170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171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172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172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172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173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263" t="s">
        <v>426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399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400</v>
      </c>
      <c r="C35" s="223"/>
      <c r="D35" s="223" t="s">
        <v>401</v>
      </c>
      <c r="E35" s="223"/>
      <c r="F35" s="63"/>
      <c r="G35" s="233"/>
      <c r="H35" s="234"/>
      <c r="I35" s="0"/>
      <c r="J35" s="44"/>
      <c r="K35" s="12" t="n">
        <v>0.109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79</v>
      </c>
      <c r="H36" s="64" t="n">
        <v>0.0</v>
      </c>
      <c r="I36" s="0"/>
      <c r="J36" s="44" t="s">
        <v>51</v>
      </c>
      <c r="K36" s="52" t="n">
        <f aca="false">K32-K34</f>
        <v>57535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388</v>
      </c>
      <c r="C38" s="223"/>
      <c r="D38" s="104" t="s">
        <v>393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394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83</v>
      </c>
      <c r="B51" s="251" t="s">
        <v>84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85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86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87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88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89</v>
      </c>
      <c r="B63" s="257" t="n">
        <v>0.109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90</v>
      </c>
      <c r="B64" s="258" t="n">
        <v>0.0425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91</v>
      </c>
      <c r="B65" s="65" t="n">
        <f aca="false">(B89*B59)-B53</f>
        <v>61473.4889714498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93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94</v>
      </c>
      <c r="B68" s="65" t="n">
        <f aca="false">(G158*B67)</f>
        <v>548.765625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95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96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98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99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100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101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102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104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105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106</v>
      </c>
      <c r="B81" s="27" t="n">
        <f aca="false">K36</f>
        <v>57535</v>
      </c>
      <c r="C81" s="93"/>
      <c r="D81" s="93"/>
      <c r="E81" s="113"/>
      <c r="F81" s="25" t="s">
        <v>106</v>
      </c>
      <c r="G81" s="27" t="n">
        <f aca="false">B81</f>
        <v>57535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107</v>
      </c>
      <c r="B82" s="33" t="n">
        <f aca="false">IF(A111="YES",D41,0)</f>
        <v>6000</v>
      </c>
      <c r="C82" s="93"/>
      <c r="D82" s="93"/>
      <c r="E82" s="113"/>
      <c r="F82" s="31" t="s">
        <v>107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0.115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109</v>
      </c>
      <c r="B84" s="92" t="n">
        <f aca="false">B83/12</f>
        <v>0.00958333333333333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32</v>
      </c>
      <c r="C85" s="93"/>
      <c r="D85" s="93"/>
      <c r="E85" s="113"/>
      <c r="F85" s="31" t="s">
        <v>110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111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112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113</v>
      </c>
      <c r="B88" s="33" t="n">
        <f aca="false">B81-B86</f>
        <v>53155.1467407538</v>
      </c>
      <c r="C88" s="93" t="n">
        <f aca="false">B81-B86</f>
        <v>53155.1467407538</v>
      </c>
      <c r="D88" s="93"/>
      <c r="E88" s="113"/>
      <c r="F88" s="31" t="s">
        <v>113</v>
      </c>
      <c r="G88" s="33" t="n">
        <f aca="false">G81-G86</f>
        <v>52514.689207262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114</v>
      </c>
      <c r="B89" s="33" t="n">
        <f aca="false">(B88/B87)</f>
        <v>1936.68289399417</v>
      </c>
      <c r="C89" s="93" t="n">
        <f aca="false">(B88/B87)</f>
        <v>1936.68289399417</v>
      </c>
      <c r="D89" s="93"/>
      <c r="E89" s="113"/>
      <c r="F89" s="31" t="s">
        <v>114</v>
      </c>
      <c r="G89" s="33" t="n">
        <f aca="false">(G88/G87)</f>
        <v>1791.84758280244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61973.8526078134</v>
      </c>
      <c r="C90" s="93"/>
      <c r="D90" s="93"/>
      <c r="E90" s="113"/>
      <c r="F90" s="31" t="s">
        <v>115</v>
      </c>
      <c r="G90" s="33" t="n">
        <f aca="false">((G89*(G85))+G77)</f>
        <v>57339.122649678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117</v>
      </c>
      <c r="B92" s="65" t="n">
        <f aca="false">(B90+B91)</f>
        <v>61973.8526078134</v>
      </c>
      <c r="C92" s="93"/>
      <c r="D92" s="93"/>
      <c r="E92" s="113"/>
      <c r="F92" s="56" t="s">
        <v>117</v>
      </c>
      <c r="G92" s="65" t="n">
        <f aca="false">(G90+G91)</f>
        <v>57339.122649678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118</v>
      </c>
      <c r="B94" s="94" t="str">
        <f aca="false">IF(B38="YES",((H36/B85)*(1+A108)),"0")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119</v>
      </c>
      <c r="B95" s="96" t="n">
        <f aca="false">B92/(B85)</f>
        <v>1936.68289399417</v>
      </c>
      <c r="C95" s="93"/>
      <c r="D95" s="93"/>
      <c r="E95" s="113"/>
      <c r="F95" s="95" t="s">
        <v>119</v>
      </c>
      <c r="G95" s="96" t="n">
        <f aca="false">G92/(G85)</f>
        <v>1791.84758280244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120</v>
      </c>
      <c r="B96" s="98" t="n">
        <f aca="false">B94+B95</f>
        <v>1936.68289399417</v>
      </c>
      <c r="C96" s="93"/>
      <c r="D96" s="93"/>
      <c r="E96" s="113"/>
      <c r="F96" s="97" t="s">
        <v>120</v>
      </c>
      <c r="G96" s="98" t="n">
        <f aca="false">G94+G95</f>
        <v>1791.84758280244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388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406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390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397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151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152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153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155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58535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58535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-47945.8333333333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58535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1936.68289399417</v>
      </c>
      <c r="B167" s="177" t="str">
        <f aca="false">B94</f>
        <v>0</v>
      </c>
      <c r="C167" s="174"/>
      <c r="D167" s="174"/>
      <c r="E167" s="177" t="n">
        <f aca="false">B96</f>
        <v>1936.68289399417</v>
      </c>
      <c r="F167" s="23"/>
      <c r="G167" s="23" t="n">
        <f aca="false">ROUND(G95, 2)</f>
        <v>1791.85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7200.0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650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58535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58535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9438.8526078134</v>
      </c>
      <c r="B182" s="103" t="str">
        <f aca="false">B114</f>
        <v>199.99</v>
      </c>
      <c r="C182" s="103"/>
      <c r="D182" s="23"/>
      <c r="E182" s="103" t="n">
        <f aca="false">E179+A182+(B182*1.2)+A185</f>
        <v>68223.8406078134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11.577</v>
      </c>
      <c r="B188" s="103" t="n">
        <f aca="false">(G158*B67)/1.2</f>
        <v>457.3046875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557.2946875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1936.68289399417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4804.2</v>
      </c>
      <c r="B201" s="186" t="n">
        <f aca="false">E179+A201+(B182*1.2)+A185</f>
        <v>63589.188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1936.68289399417</v>
      </c>
      <c r="B212" s="177" t="str">
        <f aca="false">B167</f>
        <v>0</v>
      </c>
      <c r="C212" s="174"/>
      <c r="D212" s="174"/>
      <c r="E212" s="177" t="n">
        <f aca="false">E167</f>
        <v>1936.68289399417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58535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58535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9438.8526078134</v>
      </c>
      <c r="B224" s="103" t="str">
        <f aca="false">B182</f>
        <v>199.99</v>
      </c>
      <c r="C224" s="103"/>
      <c r="D224" s="113"/>
      <c r="E224" s="103" t="n">
        <f aca="false">E182</f>
        <v>68223.8406078134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1936.68289399417</v>
      </c>
      <c r="B230" s="103" t="str">
        <f aca="false">B167</f>
        <v>0</v>
      </c>
      <c r="C230" s="186"/>
      <c r="D230" s="186"/>
      <c r="E230" s="103" t="n">
        <f aca="false">E167</f>
        <v>1936.68289399417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188</v>
      </c>
      <c r="B232" s="93" t="s">
        <v>210</v>
      </c>
      <c r="C232" s="93"/>
      <c r="D232" s="93"/>
      <c r="E232" s="93" t="s">
        <v>211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11.577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132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457.3046875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557.2946875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B63</f>
        <v>0.065</v>
      </c>
      <c r="C253" s="197"/>
      <c r="D253" s="198" t="s">
        <v>216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200" t="n">
        <f aca="false">(E182-B182)-(B201-B182-A185)</f>
        <v>4644.6526078134</v>
      </c>
      <c r="C254" s="197"/>
      <c r="D254" s="198" t="s">
        <v>218</v>
      </c>
      <c r="E254" s="198"/>
      <c r="F254" s="200" t="n">
        <f aca="false">F261+F267+F269+B270+B271</f>
        <v>548.765625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</v>
      </c>
      <c r="C255" s="197"/>
      <c r="D255" s="198" t="s">
        <v>220</v>
      </c>
      <c r="E255" s="198"/>
      <c r="F255" s="200" t="n">
        <f aca="false">(B254-F254)+B255</f>
        <v>4195.8769828134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0.115</v>
      </c>
      <c r="C260" s="43"/>
      <c r="D260" s="166" t="s">
        <v>217</v>
      </c>
      <c r="E260" s="166"/>
      <c r="F260" s="146" t="n">
        <f aca="false">B254</f>
        <v>4644.6526078134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0.009375</v>
      </c>
      <c r="C261" s="32"/>
      <c r="D261" s="166" t="s">
        <v>223</v>
      </c>
      <c r="E261" s="166"/>
      <c r="F261" s="151" t="n">
        <f aca="false">B68</f>
        <v>548.765625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</v>
      </c>
      <c r="C263" s="32"/>
      <c r="D263" s="39" t="s">
        <v>220</v>
      </c>
      <c r="E263" s="39"/>
      <c r="F263" s="146" t="n">
        <f aca="false">(B254-F254)+B255</f>
        <v>4195.8769828134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68" colorId="64" zoomScale="85" zoomScaleNormal="85" zoomScalePageLayoutView="100" workbookViewId="0">
      <selection pane="topLeft" activeCell="E185" activeCellId="0" sqref="E18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145</v>
      </c>
      <c r="C2" s="439"/>
      <c r="D2" s="439" t="s">
        <v>146</v>
      </c>
      <c r="E2" s="439"/>
      <c r="F2" s="439" t="s">
        <v>147</v>
      </c>
      <c r="G2" s="439"/>
      <c r="H2" s="440" t="s">
        <v>148</v>
      </c>
      <c r="I2" s="2"/>
      <c r="J2" s="2"/>
    </row>
    <row r="3" customFormat="false" ht="17.35" hidden="false" customHeight="false" outlineLevel="0" collapsed="false">
      <c r="A3" s="31" t="s">
        <v>151</v>
      </c>
      <c r="B3" s="441" t="n">
        <v>17895.0</v>
      </c>
      <c r="C3" s="441" t="n">
        <v>0</v>
      </c>
      <c r="D3" s="441" t="n">
        <v>0.0</v>
      </c>
      <c r="E3" s="441"/>
      <c r="F3" s="441" t="n">
        <v>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152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153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154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155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163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4" t="s">
        <v>164</v>
      </c>
      <c r="B10" s="154"/>
      <c r="C10" s="154"/>
      <c r="D10" s="154"/>
      <c r="E10" s="154" t="n">
        <v>550</v>
      </c>
      <c r="F10" s="154"/>
      <c r="G10" s="155"/>
      <c r="H10" s="442" t="n">
        <v>695.0</v>
      </c>
      <c r="I10" s="2"/>
      <c r="J10" s="2"/>
      <c r="K10" s="1" t="s">
        <v>19</v>
      </c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165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166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4" t="s">
        <v>167</v>
      </c>
      <c r="B13" s="154"/>
      <c r="C13" s="154"/>
      <c r="D13" s="154"/>
      <c r="E13" s="154" t="n">
        <v>585</v>
      </c>
      <c r="F13" s="154"/>
      <c r="G13" s="155"/>
      <c r="H13" s="442" t="n">
        <v>290.0</v>
      </c>
      <c r="I13" s="2"/>
      <c r="J13" s="2"/>
      <c r="L13" s="0"/>
      <c r="M13" s="0"/>
    </row>
    <row r="14" customFormat="false" ht="17.35" hidden="false" customHeight="false" outlineLevel="0" collapsed="false">
      <c r="A14" s="154" t="s">
        <v>168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169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170</v>
      </c>
      <c r="B16" s="154"/>
      <c r="C16" s="154"/>
      <c r="D16" s="154"/>
      <c r="E16" s="154" t="n">
        <v>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171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172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172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172</v>
      </c>
      <c r="C20" s="161"/>
      <c r="D20" s="161"/>
      <c r="E20" s="161" t="n">
        <v>0</v>
      </c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173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128</v>
      </c>
      <c r="B26" s="40" t="s">
        <v>388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126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183</v>
      </c>
      <c r="B30" s="104" t="s">
        <v>391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2490.0</v>
      </c>
      <c r="P31" s="212"/>
    </row>
    <row r="32" customFormat="false" ht="34.3" hidden="false" customHeight="false" outlineLevel="0" collapsed="false">
      <c r="A32" s="31" t="s">
        <v>83</v>
      </c>
      <c r="B32" s="93" t="s">
        <v>84</v>
      </c>
      <c r="C32" s="93"/>
      <c r="D32" s="93"/>
      <c r="E32" s="93" t="s">
        <v>354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1409.77228681558</v>
      </c>
      <c r="F33" s="232"/>
      <c r="G33" s="232"/>
      <c r="H33" s="47"/>
      <c r="I33" s="2"/>
      <c r="J33" s="34" t="s">
        <v>355</v>
      </c>
      <c r="K33" s="48" t="n">
        <f aca="false">H21-H11+(H16*20%)</f>
        <v>48887.5</v>
      </c>
      <c r="L33" s="1" t="n">
        <f aca="false">H21-H11+(H16*20%)</f>
        <v>48887.5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1342.78228681558</v>
      </c>
      <c r="B36" s="232" t="n">
        <f aca="false">IF(B26="YES", K42, "0.00")</f>
        <v>66.99</v>
      </c>
      <c r="C36" s="232"/>
      <c r="D36" s="232"/>
      <c r="E36" s="232" t="n">
        <f aca="false">K31</f>
        <v>9600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85</v>
      </c>
      <c r="K39" s="2" t="n">
        <f aca="false">K33</f>
        <v>48887.5</v>
      </c>
      <c r="L39" s="2" t="n">
        <f aca="false">(L47*K46)+K44</f>
        <v>29633.704980077</v>
      </c>
      <c r="N39" s="1" t="n">
        <f aca="false">K39-L39</f>
        <v>19253.795019923</v>
      </c>
      <c r="P39" s="212"/>
    </row>
    <row r="40" customFormat="false" ht="17.35" hidden="false" customHeight="false" outlineLevel="0" collapsed="false">
      <c r="A40" s="107" t="n">
        <f aca="false">E36*A45/100</f>
        <v>7125.0</v>
      </c>
      <c r="B40" s="107" t="n">
        <f aca="false">IF(B26="YES", K42, "0.00")</f>
        <v>66.99</v>
      </c>
      <c r="C40" s="107"/>
      <c r="D40" s="107"/>
      <c r="E40" s="182" t="n">
        <f aca="false">K32</f>
        <v>2344.65</v>
      </c>
      <c r="F40" s="186"/>
      <c r="G40" s="186"/>
      <c r="H40" s="47"/>
      <c r="J40" s="2" t="s">
        <v>107</v>
      </c>
      <c r="K40" s="2" t="n">
        <f aca="false">(A40)/1.2</f>
        <v>8000</v>
      </c>
      <c r="L40" s="2" t="n">
        <f aca="false">K39-L39</f>
        <v>19253.795019923</v>
      </c>
      <c r="N40" s="1" t="n">
        <f aca="false">N38-N39</f>
        <v>-16342.115019923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(K32/K36)*C45/100</f>
        <v>66.99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77</v>
      </c>
      <c r="B44" s="93"/>
      <c r="C44" s="291" t="s">
        <v>78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6488.63165892378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366</v>
      </c>
      <c r="K45" s="2" t="n">
        <f aca="false">(K39-K44)</f>
        <v>42398.8683410762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31.5753854942677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1342.78228681558</v>
      </c>
      <c r="L47" s="2" t="n">
        <f aca="false">L49-K42</f>
        <v>733.01</v>
      </c>
      <c r="M47" s="1" t="n">
        <f aca="false">K47-L47</f>
        <v>609.772286815577</v>
      </c>
      <c r="P47" s="212"/>
    </row>
    <row r="48" customFormat="false" ht="31.8" hidden="false" customHeight="false" outlineLevel="0" collapsed="false">
      <c r="A48" s="66" t="s">
        <v>82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1409.77228681558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83</v>
      </c>
      <c r="B50" s="71" t="s">
        <v>84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1409.77228681558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85</v>
      </c>
      <c r="B58" s="93" t="n">
        <v>1</v>
      </c>
      <c r="C58" s="93"/>
      <c r="D58" s="93"/>
      <c r="E58" s="113"/>
      <c r="F58" s="113"/>
      <c r="G58" s="113"/>
      <c r="H58" s="33"/>
      <c r="J58" s="31" t="s">
        <v>85</v>
      </c>
      <c r="K58" s="93" t="n">
        <v>1</v>
      </c>
      <c r="L58" s="93"/>
      <c r="M58" s="93"/>
      <c r="N58" s="113"/>
      <c r="O58" s="113"/>
      <c r="P58" s="113"/>
      <c r="Q58" s="33"/>
      <c r="S58" s="31" t="s">
        <v>85</v>
      </c>
      <c r="T58" s="93" t="n">
        <v>1</v>
      </c>
      <c r="U58" s="93"/>
      <c r="V58" s="93"/>
      <c r="W58" s="113"/>
      <c r="X58" s="113"/>
      <c r="Y58" s="113"/>
      <c r="Z58" s="33"/>
      <c r="AB58" s="31" t="s">
        <v>85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86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86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86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86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87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87</v>
      </c>
      <c r="K60" s="77" t="n">
        <v>20</v>
      </c>
      <c r="L60" s="93"/>
      <c r="M60" s="93"/>
      <c r="N60" s="113"/>
      <c r="O60" s="113"/>
      <c r="P60" s="113"/>
      <c r="Q60" s="33"/>
      <c r="S60" s="76" t="s">
        <v>87</v>
      </c>
      <c r="T60" s="77" t="n">
        <v>10</v>
      </c>
      <c r="U60" s="93"/>
      <c r="V60" s="93"/>
      <c r="W60" s="113"/>
      <c r="X60" s="113"/>
      <c r="Y60" s="113"/>
      <c r="Z60" s="33"/>
      <c r="AB60" s="76" t="s">
        <v>87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88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88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88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88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89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89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89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89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90</v>
      </c>
      <c r="K64" s="258" t="n">
        <v>0.1</v>
      </c>
      <c r="L64" s="93"/>
      <c r="M64" s="93"/>
      <c r="N64" s="113"/>
      <c r="O64" s="113"/>
      <c r="P64" s="113"/>
      <c r="Q64" s="33"/>
      <c r="S64" s="82" t="s">
        <v>90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90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91</v>
      </c>
      <c r="B65" s="65" t="n">
        <f aca="false">(B89*B59)-(K47*K29)</f>
        <v>25219.5170767464</v>
      </c>
      <c r="C65" s="93"/>
      <c r="D65" s="93"/>
      <c r="E65" s="113"/>
      <c r="F65" s="113"/>
      <c r="G65" s="113"/>
      <c r="H65" s="33"/>
      <c r="J65" s="56" t="s">
        <v>91</v>
      </c>
      <c r="K65" s="65" t="n">
        <f aca="false">(K89*K59)-(K47*K29)</f>
        <v>4216.24832209643</v>
      </c>
      <c r="L65" s="93"/>
      <c r="M65" s="93"/>
      <c r="N65" s="113"/>
      <c r="O65" s="113"/>
      <c r="P65" s="113"/>
      <c r="Q65" s="33"/>
      <c r="S65" s="56" t="s">
        <v>91</v>
      </c>
      <c r="T65" s="65" t="n">
        <f aca="false">(T89*T59)-(K47*K29)</f>
        <v>-218.556074435291</v>
      </c>
      <c r="U65" s="93"/>
      <c r="V65" s="93"/>
      <c r="W65" s="113"/>
      <c r="X65" s="113"/>
      <c r="Y65" s="113"/>
      <c r="Z65" s="33"/>
      <c r="AB65" s="56" t="s">
        <v>91</v>
      </c>
      <c r="AC65" s="65" t="n">
        <f aca="false">(AC89*AC59)-(K47*K29)</f>
        <v>-218.556074435291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92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92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92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93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93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93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93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94</v>
      </c>
      <c r="B68" s="65" t="n">
        <f aca="false">(G158*B67)/1.2</f>
        <v>552.755870138889</v>
      </c>
      <c r="C68" s="93"/>
      <c r="D68" s="93"/>
      <c r="E68" s="113"/>
      <c r="F68" s="113"/>
      <c r="G68" s="113"/>
      <c r="H68" s="33"/>
      <c r="J68" s="56" t="s">
        <v>94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94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94</v>
      </c>
      <c r="AC68" s="65" t="n">
        <f aca="false">AH158*AC67</f>
        <v>445.214833958333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95</v>
      </c>
      <c r="B69" s="256" t="n">
        <v>0</v>
      </c>
      <c r="C69" s="93"/>
      <c r="D69" s="93"/>
      <c r="E69" s="113"/>
      <c r="F69" s="113"/>
      <c r="G69" s="113"/>
      <c r="H69" s="33"/>
      <c r="J69" s="78" t="s">
        <v>95</v>
      </c>
      <c r="K69" s="256" t="n">
        <v>0</v>
      </c>
      <c r="L69" s="93"/>
      <c r="M69" s="93"/>
      <c r="N69" s="113"/>
      <c r="O69" s="113"/>
      <c r="P69" s="113"/>
      <c r="Q69" s="33"/>
      <c r="S69" s="78" t="s">
        <v>95</v>
      </c>
      <c r="T69" s="256" t="n">
        <v>0</v>
      </c>
      <c r="U69" s="93"/>
      <c r="V69" s="93"/>
      <c r="W69" s="113"/>
      <c r="X69" s="113"/>
      <c r="Y69" s="113"/>
      <c r="Z69" s="33"/>
      <c r="AB69" s="78" t="s">
        <v>95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96</v>
      </c>
      <c r="B70" s="257" t="n">
        <v>0</v>
      </c>
      <c r="C70" s="93"/>
      <c r="D70" s="93"/>
      <c r="E70" s="113"/>
      <c r="F70" s="113"/>
      <c r="G70" s="113"/>
      <c r="H70" s="33"/>
      <c r="J70" s="80" t="s">
        <v>96</v>
      </c>
      <c r="K70" s="257" t="n">
        <v>0</v>
      </c>
      <c r="L70" s="93"/>
      <c r="M70" s="93"/>
      <c r="N70" s="113"/>
      <c r="O70" s="113"/>
      <c r="P70" s="113"/>
      <c r="Q70" s="33"/>
      <c r="S70" s="80" t="s">
        <v>96</v>
      </c>
      <c r="T70" s="257" t="n">
        <v>0</v>
      </c>
      <c r="U70" s="93"/>
      <c r="V70" s="93"/>
      <c r="W70" s="113"/>
      <c r="X70" s="113"/>
      <c r="Y70" s="113"/>
      <c r="Z70" s="33"/>
      <c r="AB70" s="80" t="s">
        <v>96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97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97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97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98</v>
      </c>
      <c r="B72" s="86" t="n">
        <v>0</v>
      </c>
      <c r="C72" s="93"/>
      <c r="D72" s="93"/>
      <c r="E72" s="113"/>
      <c r="F72" s="113"/>
      <c r="G72" s="113"/>
      <c r="H72" s="33"/>
      <c r="J72" s="78" t="s">
        <v>98</v>
      </c>
      <c r="K72" s="86" t="n">
        <v>0</v>
      </c>
      <c r="L72" s="93"/>
      <c r="M72" s="93"/>
      <c r="N72" s="113"/>
      <c r="O72" s="113"/>
      <c r="P72" s="113"/>
      <c r="Q72" s="33"/>
      <c r="S72" s="78" t="s">
        <v>98</v>
      </c>
      <c r="T72" s="86" t="n">
        <v>0</v>
      </c>
      <c r="U72" s="93"/>
      <c r="V72" s="93"/>
      <c r="W72" s="113"/>
      <c r="X72" s="113"/>
      <c r="Y72" s="113"/>
      <c r="Z72" s="33"/>
      <c r="AB72" s="78" t="s">
        <v>98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99</v>
      </c>
      <c r="B73" s="77" t="n">
        <v>0</v>
      </c>
      <c r="C73" s="93"/>
      <c r="D73" s="93"/>
      <c r="E73" s="113"/>
      <c r="F73" s="113"/>
      <c r="G73" s="113"/>
      <c r="H73" s="33"/>
      <c r="J73" s="80" t="s">
        <v>99</v>
      </c>
      <c r="K73" s="77" t="n">
        <v>0</v>
      </c>
      <c r="L73" s="93"/>
      <c r="M73" s="93"/>
      <c r="N73" s="113"/>
      <c r="O73" s="113"/>
      <c r="P73" s="113"/>
      <c r="Q73" s="33"/>
      <c r="S73" s="80" t="s">
        <v>99</v>
      </c>
      <c r="T73" s="77" t="n">
        <v>0</v>
      </c>
      <c r="U73" s="93"/>
      <c r="V73" s="93"/>
      <c r="W73" s="113"/>
      <c r="X73" s="113"/>
      <c r="Y73" s="113"/>
      <c r="Z73" s="33"/>
      <c r="AB73" s="80" t="s">
        <v>99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100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100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100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100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101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101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101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101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102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102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102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102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103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103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103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104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104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104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104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105</v>
      </c>
      <c r="B79" s="59" t="n">
        <f aca="false">K47</f>
        <v>1342.78228681558</v>
      </c>
      <c r="C79" s="93"/>
      <c r="D79" s="93"/>
      <c r="E79" s="113"/>
      <c r="F79" s="113"/>
      <c r="G79" s="113"/>
      <c r="H79" s="33"/>
      <c r="J79" s="90" t="s">
        <v>105</v>
      </c>
      <c r="K79" s="59" t="n">
        <f aca="false">K47</f>
        <v>1342.78228681558</v>
      </c>
      <c r="L79" s="93"/>
      <c r="M79" s="93"/>
      <c r="N79" s="113"/>
      <c r="O79" s="113"/>
      <c r="P79" s="113"/>
      <c r="Q79" s="33"/>
      <c r="S79" s="90" t="s">
        <v>105</v>
      </c>
      <c r="T79" s="59" t="n">
        <f aca="false">B52</f>
        <v>1409.77228681558</v>
      </c>
      <c r="U79" s="93"/>
      <c r="V79" s="93"/>
      <c r="W79" s="113"/>
      <c r="X79" s="113"/>
      <c r="Y79" s="113"/>
      <c r="Z79" s="33"/>
      <c r="AB79" s="90" t="s">
        <v>105</v>
      </c>
      <c r="AC79" s="59" t="n">
        <f aca="false">B52</f>
        <v>1409.77228681558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106</v>
      </c>
      <c r="B81" s="27" t="n">
        <f aca="false">G158</f>
        <v>67741.996</v>
      </c>
      <c r="C81" s="93"/>
      <c r="D81" s="93"/>
      <c r="E81" s="113"/>
      <c r="F81" s="25" t="s">
        <v>106</v>
      </c>
      <c r="G81" s="27" t="n">
        <f aca="false">G158</f>
        <v>67741.996</v>
      </c>
      <c r="H81" s="33"/>
      <c r="J81" s="25" t="s">
        <v>106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106</v>
      </c>
      <c r="T81" s="27" t="n">
        <f aca="false">Y158</f>
        <v>45468.749</v>
      </c>
      <c r="U81" s="93"/>
      <c r="V81" s="93"/>
      <c r="W81" s="113"/>
      <c r="X81" s="113"/>
      <c r="Y81" s="113"/>
      <c r="Z81" s="33"/>
      <c r="AB81" s="25" t="s">
        <v>106</v>
      </c>
      <c r="AC81" s="27" t="n">
        <f aca="false">AH158</f>
        <v>45468.749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107</v>
      </c>
      <c r="B82" s="33" t="n">
        <f aca="false">IF(A111="YES",A40,0)</f>
        <v>9600</v>
      </c>
      <c r="C82" s="93"/>
      <c r="D82" s="93"/>
      <c r="E82" s="113"/>
      <c r="F82" s="31" t="s">
        <v>107</v>
      </c>
      <c r="G82" s="33" t="n">
        <f aca="false">IF(A111="YES",A40,0)</f>
        <v>9600</v>
      </c>
      <c r="H82" s="33"/>
      <c r="J82" s="31" t="s">
        <v>107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107</v>
      </c>
      <c r="T82" s="33" t="n">
        <f aca="false">A40</f>
        <v>9600</v>
      </c>
      <c r="U82" s="93"/>
      <c r="V82" s="93"/>
      <c r="W82" s="113"/>
      <c r="X82" s="113"/>
      <c r="Y82" s="113"/>
      <c r="Z82" s="33"/>
      <c r="AB82" s="31" t="s">
        <v>107</v>
      </c>
      <c r="AC82" s="33" t="n">
        <f aca="false">A40</f>
        <v>9600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0.12</v>
      </c>
      <c r="C83" s="93"/>
      <c r="D83" s="93"/>
      <c r="E83" s="113"/>
      <c r="F83" s="31" t="s">
        <v>108</v>
      </c>
      <c r="G83" s="91" t="n">
        <f aca="false">B63</f>
        <v>0.07</v>
      </c>
      <c r="H83" s="33"/>
      <c r="J83" s="31" t="s">
        <v>108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108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108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109</v>
      </c>
      <c r="B84" s="92" t="n">
        <f aca="false">B83/12</f>
        <v>0.01</v>
      </c>
      <c r="C84" s="93"/>
      <c r="D84" s="93"/>
      <c r="E84" s="113"/>
      <c r="F84" s="31" t="s">
        <v>109</v>
      </c>
      <c r="G84" s="92" t="n">
        <f aca="false">G83/12</f>
        <v>0.00583333333333333</v>
      </c>
      <c r="H84" s="33"/>
      <c r="J84" s="31" t="s">
        <v>109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109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109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34</v>
      </c>
      <c r="C85" s="93"/>
      <c r="D85" s="93"/>
      <c r="E85" s="113"/>
      <c r="F85" s="31" t="s">
        <v>110</v>
      </c>
      <c r="G85" s="33" t="n">
        <f aca="false">IF(G82=0, (B59+B58), (B59))</f>
        <v>34</v>
      </c>
      <c r="H85" s="33"/>
      <c r="J85" s="31" t="s">
        <v>110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110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110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6776.7763115859</v>
      </c>
      <c r="C86" s="93"/>
      <c r="D86" s="93"/>
      <c r="E86" s="113"/>
      <c r="F86" s="31" t="s">
        <v>111</v>
      </c>
      <c r="G86" s="33" t="n">
        <f aca="false">(G82/((1+G84)^(G85+1)))</f>
        <v>7831.77841232101</v>
      </c>
      <c r="H86" s="33"/>
      <c r="J86" s="31" t="s">
        <v>111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111</v>
      </c>
      <c r="T86" s="33" t="n">
        <f aca="false">(T82/((1+T84)^(T85+1)))</f>
        <v>6564.9851676575</v>
      </c>
      <c r="U86" s="93"/>
      <c r="V86" s="93"/>
      <c r="W86" s="113"/>
      <c r="X86" s="113"/>
      <c r="Y86" s="113"/>
      <c r="Z86" s="33"/>
      <c r="AB86" s="31" t="s">
        <v>111</v>
      </c>
      <c r="AC86" s="33" t="n">
        <f aca="false">(AC82/((1+AC84)^(AC85+1)))</f>
        <v>6564.9851676575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28.7026658885233</v>
      </c>
      <c r="C87" s="93"/>
      <c r="D87" s="93"/>
      <c r="E87" s="113"/>
      <c r="F87" s="31" t="s">
        <v>112</v>
      </c>
      <c r="G87" s="33" t="n">
        <f aca="false">((1-(1/((1+G84)^G85)))/G84)</f>
        <v>30.7595752429843</v>
      </c>
      <c r="H87" s="33"/>
      <c r="J87" s="31" t="s">
        <v>112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112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112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113</v>
      </c>
      <c r="B88" s="33" t="n">
        <f aca="false">B81-B86</f>
        <v>60965.2196884141</v>
      </c>
      <c r="C88" s="93"/>
      <c r="D88" s="93"/>
      <c r="E88" s="113"/>
      <c r="F88" s="31" t="s">
        <v>113</v>
      </c>
      <c r="G88" s="33" t="n">
        <f aca="false">G81-G86</f>
        <v>59910.217587679</v>
      </c>
      <c r="H88" s="33"/>
      <c r="J88" s="31" t="s">
        <v>113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113</v>
      </c>
      <c r="T88" s="33" t="n">
        <f aca="false">T81-T86</f>
        <v>38903.7638323425</v>
      </c>
      <c r="U88" s="93"/>
      <c r="V88" s="93"/>
      <c r="W88" s="113"/>
      <c r="X88" s="113"/>
      <c r="Y88" s="113"/>
      <c r="Z88" s="33"/>
      <c r="AB88" s="31" t="s">
        <v>113</v>
      </c>
      <c r="AC88" s="33" t="n">
        <f aca="false">AC81-AC86</f>
        <v>38903.7638323425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114</v>
      </c>
      <c r="B89" s="33" t="n">
        <f aca="false">(B88/B87)</f>
        <v>2124.02638574387</v>
      </c>
      <c r="C89" s="93"/>
      <c r="D89" s="93"/>
      <c r="E89" s="113"/>
      <c r="F89" s="31" t="s">
        <v>114</v>
      </c>
      <c r="G89" s="33" t="n">
        <f aca="false">(G88/G87)</f>
        <v>1947.69326671191</v>
      </c>
      <c r="H89" s="33"/>
      <c r="J89" s="31" t="s">
        <v>114</v>
      </c>
      <c r="K89" s="33" t="n">
        <f aca="false">(K88/K87)</f>
        <v>1506.2831870777</v>
      </c>
      <c r="L89" s="93"/>
      <c r="M89" s="93"/>
      <c r="N89" s="113"/>
      <c r="O89" s="113"/>
      <c r="P89" s="113"/>
      <c r="Q89" s="33"/>
      <c r="S89" s="31" t="s">
        <v>114</v>
      </c>
      <c r="T89" s="33" t="n">
        <f aca="false">(T88/T87)</f>
        <v>1375.84776365029</v>
      </c>
      <c r="U89" s="93"/>
      <c r="V89" s="93"/>
      <c r="W89" s="113"/>
      <c r="X89" s="113"/>
      <c r="Y89" s="113"/>
      <c r="Z89" s="33"/>
      <c r="AB89" s="31" t="s">
        <v>114</v>
      </c>
      <c r="AC89" s="33" t="n">
        <f aca="false">(AC88/AC87)</f>
        <v>1375.84776365029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72216.8971152916</v>
      </c>
      <c r="C90" s="93"/>
      <c r="D90" s="93"/>
      <c r="E90" s="113"/>
      <c r="F90" s="31" t="s">
        <v>115</v>
      </c>
      <c r="G90" s="33" t="n">
        <f aca="false">((G89*(G85))+G77)</f>
        <v>66221.5710682051</v>
      </c>
      <c r="H90" s="33"/>
      <c r="J90" s="31" t="s">
        <v>115</v>
      </c>
      <c r="K90" s="33" t="n">
        <f aca="false">((K89*(K85))+K77)</f>
        <v>52719.9115477193</v>
      </c>
      <c r="L90" s="93"/>
      <c r="M90" s="93"/>
      <c r="N90" s="113"/>
      <c r="O90" s="113"/>
      <c r="P90" s="113"/>
      <c r="Q90" s="33"/>
      <c r="S90" s="31" t="s">
        <v>115</v>
      </c>
      <c r="T90" s="33" t="n">
        <f aca="false">(T89*(T85))+T77</f>
        <v>46778.8239641099</v>
      </c>
      <c r="U90" s="93"/>
      <c r="V90" s="93"/>
      <c r="W90" s="113"/>
      <c r="X90" s="113"/>
      <c r="Y90" s="113"/>
      <c r="Z90" s="33"/>
      <c r="AB90" s="31" t="s">
        <v>115</v>
      </c>
      <c r="AC90" s="33" t="n">
        <f aca="false">(AC89*(AC59))+AC77</f>
        <v>46778.8239641099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31" t="s">
        <v>116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116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116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117</v>
      </c>
      <c r="B92" s="65" t="n">
        <f aca="false">(B90+B91)</f>
        <v>72216.8971152916</v>
      </c>
      <c r="C92" s="93"/>
      <c r="D92" s="93"/>
      <c r="E92" s="113"/>
      <c r="F92" s="56" t="s">
        <v>117</v>
      </c>
      <c r="G92" s="65" t="n">
        <f aca="false">(G90+G91)</f>
        <v>66221.5710682051</v>
      </c>
      <c r="H92" s="33"/>
      <c r="J92" s="56" t="s">
        <v>117</v>
      </c>
      <c r="K92" s="65" t="n">
        <f aca="false">(K90+K91)</f>
        <v>52719.9115477193</v>
      </c>
      <c r="L92" s="93"/>
      <c r="M92" s="93"/>
      <c r="N92" s="113"/>
      <c r="O92" s="113"/>
      <c r="P92" s="113"/>
      <c r="Q92" s="33"/>
      <c r="S92" s="56" t="s">
        <v>117</v>
      </c>
      <c r="T92" s="65" t="n">
        <f aca="false">(T90+T91)</f>
        <v>46778.8239641099</v>
      </c>
      <c r="U92" s="93"/>
      <c r="V92" s="93"/>
      <c r="W92" s="113"/>
      <c r="X92" s="113"/>
      <c r="Y92" s="113"/>
      <c r="Z92" s="33"/>
      <c r="AB92" s="56" t="s">
        <v>117</v>
      </c>
      <c r="AC92" s="65" t="n">
        <f aca="false">(AC90+AC91)</f>
        <v>46778.8239641099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118</v>
      </c>
      <c r="B94" s="94" t="n">
        <f aca="false">IF(B26="YES",((E40/B85)*(1+A108)*(C45/100)),"0")</f>
        <v>89.6483823529412</v>
      </c>
      <c r="C94" s="93"/>
      <c r="D94" s="93"/>
      <c r="E94" s="113"/>
      <c r="F94" s="88" t="s">
        <v>118</v>
      </c>
      <c r="G94" s="94" t="n">
        <f aca="false">IF(B26="YES",((E40/B85)*(1+A108)*(C45/100)),"0")</f>
        <v>89.6483823529412</v>
      </c>
      <c r="H94" s="33"/>
      <c r="J94" s="88" t="s">
        <v>118</v>
      </c>
      <c r="K94" s="89" t="n">
        <f aca="false">((E40/K85)*(1+J108))*1.2</f>
        <v>104.5044</v>
      </c>
      <c r="L94" s="93"/>
      <c r="M94" s="93"/>
      <c r="N94" s="113"/>
      <c r="O94" s="113"/>
      <c r="P94" s="113"/>
      <c r="Q94" s="33"/>
      <c r="S94" s="88" t="s">
        <v>118</v>
      </c>
      <c r="T94" s="89" t="n">
        <f aca="false">((E40/T85)*(1+S108))</f>
        <v>82.7523529411765</v>
      </c>
      <c r="U94" s="93"/>
      <c r="V94" s="93"/>
      <c r="W94" s="113"/>
      <c r="X94" s="113"/>
      <c r="Y94" s="113"/>
      <c r="Z94" s="33"/>
      <c r="AB94" s="88" t="s">
        <v>118</v>
      </c>
      <c r="AC94" s="89" t="n">
        <f aca="false">((E40/AC85)*(1+AB108))*1.2</f>
        <v>99.3028235294117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119</v>
      </c>
      <c r="B95" s="96" t="n">
        <f aca="false">B92/(B85)</f>
        <v>2124.02638574387</v>
      </c>
      <c r="C95" s="93"/>
      <c r="D95" s="93"/>
      <c r="E95" s="113"/>
      <c r="F95" s="95" t="s">
        <v>119</v>
      </c>
      <c r="G95" s="96" t="n">
        <f aca="false">G92/(G85)</f>
        <v>1947.69326671191</v>
      </c>
      <c r="H95" s="33"/>
      <c r="J95" s="95" t="s">
        <v>119</v>
      </c>
      <c r="K95" s="96" t="n">
        <f aca="false">K92/(K85)</f>
        <v>1506.2831870777</v>
      </c>
      <c r="L95" s="93"/>
      <c r="M95" s="93"/>
      <c r="N95" s="113"/>
      <c r="O95" s="113"/>
      <c r="P95" s="113"/>
      <c r="Q95" s="33"/>
      <c r="S95" s="95" t="s">
        <v>119</v>
      </c>
      <c r="T95" s="96" t="n">
        <f aca="false">T92/(T85)</f>
        <v>1375.84776365029</v>
      </c>
      <c r="U95" s="93"/>
      <c r="V95" s="93"/>
      <c r="W95" s="113"/>
      <c r="X95" s="113"/>
      <c r="Y95" s="113"/>
      <c r="Z95" s="33"/>
      <c r="AB95" s="95" t="s">
        <v>119</v>
      </c>
      <c r="AC95" s="96" t="n">
        <f aca="false">AC92/(AC59)</f>
        <v>1375.84776365029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120</v>
      </c>
      <c r="B96" s="98" t="n">
        <f aca="false">B94+B95</f>
        <v>2213.67476809681</v>
      </c>
      <c r="C96" s="93"/>
      <c r="D96" s="93"/>
      <c r="E96" s="113"/>
      <c r="F96" s="97" t="s">
        <v>120</v>
      </c>
      <c r="G96" s="98" t="n">
        <f aca="false">G94+G95</f>
        <v>2037.34164906486</v>
      </c>
      <c r="H96" s="33"/>
      <c r="J96" s="97" t="s">
        <v>120</v>
      </c>
      <c r="K96" s="98" t="n">
        <f aca="false">(K94+K95)</f>
        <v>1610.7875870777</v>
      </c>
      <c r="L96" s="93"/>
      <c r="M96" s="93"/>
      <c r="N96" s="113"/>
      <c r="O96" s="113"/>
      <c r="P96" s="113"/>
      <c r="Q96" s="33"/>
      <c r="S96" s="97" t="s">
        <v>120</v>
      </c>
      <c r="T96" s="98" t="n">
        <f aca="false">T94+T95</f>
        <v>1458.60011659147</v>
      </c>
      <c r="U96" s="93"/>
      <c r="V96" s="93"/>
      <c r="W96" s="113"/>
      <c r="X96" s="113"/>
      <c r="Y96" s="113"/>
      <c r="Z96" s="33"/>
      <c r="AB96" s="97" t="s">
        <v>120</v>
      </c>
      <c r="AC96" s="98" t="n">
        <f aca="false">AC94+AC95</f>
        <v>1475.1505871797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123</v>
      </c>
      <c r="K100" s="100"/>
      <c r="L100" s="100"/>
      <c r="M100" s="100"/>
      <c r="N100" s="100"/>
      <c r="O100" s="100"/>
      <c r="P100" s="100"/>
      <c r="Q100" s="100"/>
      <c r="S100" s="100" t="s">
        <v>124</v>
      </c>
      <c r="T100" s="100"/>
      <c r="U100" s="100"/>
      <c r="V100" s="100"/>
      <c r="W100" s="100"/>
      <c r="X100" s="100"/>
      <c r="Y100" s="100"/>
      <c r="Z100" s="100"/>
      <c r="AB100" s="100" t="s">
        <v>125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8" t="s">
        <v>126</v>
      </c>
      <c r="K102" s="28"/>
      <c r="L102" s="28"/>
      <c r="M102" s="28"/>
      <c r="N102" s="28"/>
      <c r="O102" s="28"/>
      <c r="P102" s="28"/>
      <c r="Q102" s="28"/>
      <c r="S102" s="28" t="s">
        <v>126</v>
      </c>
      <c r="T102" s="28"/>
      <c r="U102" s="28"/>
      <c r="V102" s="28"/>
      <c r="W102" s="28"/>
      <c r="X102" s="28"/>
      <c r="Y102" s="28"/>
      <c r="Z102" s="28"/>
      <c r="AB102" s="28" t="s">
        <v>126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31" t="s">
        <v>127</v>
      </c>
      <c r="K104" s="93" t="s">
        <v>23</v>
      </c>
      <c r="L104" s="93"/>
      <c r="M104" s="93"/>
      <c r="N104" s="93" t="s">
        <v>128</v>
      </c>
      <c r="O104" s="93"/>
      <c r="P104" s="93"/>
      <c r="Q104" s="33"/>
      <c r="S104" s="31" t="s">
        <v>127</v>
      </c>
      <c r="T104" s="93" t="s">
        <v>23</v>
      </c>
      <c r="U104" s="93"/>
      <c r="V104" s="93"/>
      <c r="W104" s="93" t="s">
        <v>128</v>
      </c>
      <c r="X104" s="93"/>
      <c r="Y104" s="93"/>
      <c r="Z104" s="33"/>
      <c r="AB104" s="31" t="s">
        <v>127</v>
      </c>
      <c r="AC104" s="93" t="s">
        <v>23</v>
      </c>
      <c r="AD104" s="93"/>
      <c r="AE104" s="93"/>
      <c r="AF104" s="93" t="s">
        <v>128</v>
      </c>
      <c r="AG104" s="93"/>
      <c r="AH104" s="93"/>
      <c r="AI104" s="33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451" t="s">
        <v>388</v>
      </c>
      <c r="F105" s="451"/>
      <c r="G105" s="451"/>
      <c r="H105" s="102"/>
      <c r="J105" s="36" t="s">
        <v>129</v>
      </c>
      <c r="K105" s="103" t="s">
        <v>130</v>
      </c>
      <c r="L105" s="103"/>
      <c r="M105" s="103"/>
      <c r="N105" s="104" t="s">
        <v>18</v>
      </c>
      <c r="O105" s="104"/>
      <c r="P105" s="104"/>
      <c r="Q105" s="102"/>
      <c r="S105" s="36" t="s">
        <v>129</v>
      </c>
      <c r="T105" s="103" t="s">
        <v>130</v>
      </c>
      <c r="U105" s="103"/>
      <c r="V105" s="103"/>
      <c r="W105" s="104" t="s">
        <v>18</v>
      </c>
      <c r="X105" s="104"/>
      <c r="Y105" s="104"/>
      <c r="Z105" s="102"/>
      <c r="AB105" s="36" t="s">
        <v>129</v>
      </c>
      <c r="AC105" s="103" t="s">
        <v>130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31" t="s">
        <v>131</v>
      </c>
      <c r="K107" s="93" t="s">
        <v>132</v>
      </c>
      <c r="L107" s="93"/>
      <c r="M107" s="113"/>
      <c r="N107" s="93" t="s">
        <v>133</v>
      </c>
      <c r="O107" s="93"/>
      <c r="P107" s="113"/>
      <c r="Q107" s="102"/>
      <c r="S107" s="31" t="s">
        <v>131</v>
      </c>
      <c r="T107" s="93" t="s">
        <v>132</v>
      </c>
      <c r="U107" s="93"/>
      <c r="V107" s="113"/>
      <c r="W107" s="93" t="s">
        <v>133</v>
      </c>
      <c r="X107" s="93"/>
      <c r="Y107" s="113"/>
      <c r="Z107" s="102"/>
      <c r="AB107" s="31" t="s">
        <v>131</v>
      </c>
      <c r="AC107" s="93" t="s">
        <v>132</v>
      </c>
      <c r="AD107" s="93"/>
      <c r="AE107" s="113"/>
      <c r="AF107" s="93" t="s">
        <v>133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406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134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135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135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31" t="s">
        <v>137</v>
      </c>
      <c r="K110" s="93" t="s">
        <v>138</v>
      </c>
      <c r="L110" s="93"/>
      <c r="M110" s="93"/>
      <c r="N110" s="93" t="s">
        <v>139</v>
      </c>
      <c r="O110" s="93"/>
      <c r="P110" s="93"/>
      <c r="Q110" s="33"/>
      <c r="S110" s="31" t="s">
        <v>137</v>
      </c>
      <c r="T110" s="93" t="s">
        <v>138</v>
      </c>
      <c r="U110" s="93"/>
      <c r="V110" s="93"/>
      <c r="W110" s="93" t="s">
        <v>139</v>
      </c>
      <c r="X110" s="93"/>
      <c r="Y110" s="93"/>
      <c r="Z110" s="33"/>
      <c r="AB110" s="31" t="s">
        <v>137</v>
      </c>
      <c r="AC110" s="93" t="s">
        <v>138</v>
      </c>
      <c r="AD110" s="93"/>
      <c r="AE110" s="93"/>
      <c r="AF110" s="93" t="s">
        <v>139</v>
      </c>
      <c r="AG110" s="93"/>
      <c r="AH110" s="93"/>
      <c r="AI110" s="33"/>
    </row>
    <row r="111" customFormat="false" ht="17.35" hidden="false" customHeight="false" outlineLevel="0" collapsed="false">
      <c r="A111" s="40" t="s">
        <v>390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110" t="s">
        <v>140</v>
      </c>
      <c r="K113" s="93" t="s">
        <v>141</v>
      </c>
      <c r="L113" s="93"/>
      <c r="M113" s="93"/>
      <c r="N113" s="93" t="s">
        <v>142</v>
      </c>
      <c r="O113" s="93"/>
      <c r="P113" s="113"/>
      <c r="Q113" s="102"/>
      <c r="S113" s="110" t="s">
        <v>140</v>
      </c>
      <c r="T113" s="93" t="s">
        <v>141</v>
      </c>
      <c r="U113" s="93"/>
      <c r="V113" s="93"/>
      <c r="W113" s="93" t="s">
        <v>142</v>
      </c>
      <c r="X113" s="93"/>
      <c r="Y113" s="113"/>
      <c r="Z113" s="102"/>
      <c r="AB113" s="110" t="s">
        <v>140</v>
      </c>
      <c r="AC113" s="93" t="s">
        <v>141</v>
      </c>
      <c r="AD113" s="93"/>
      <c r="AE113" s="93"/>
      <c r="AF113" s="93" t="s">
        <v>142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397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8" t="s">
        <v>144</v>
      </c>
      <c r="K117" s="28"/>
      <c r="L117" s="28"/>
      <c r="M117" s="28"/>
      <c r="N117" s="28"/>
      <c r="O117" s="28"/>
      <c r="P117" s="28"/>
      <c r="Q117" s="28"/>
      <c r="S117" s="28" t="s">
        <v>144</v>
      </c>
      <c r="T117" s="28"/>
      <c r="U117" s="28"/>
      <c r="V117" s="28"/>
      <c r="W117" s="28"/>
      <c r="X117" s="28"/>
      <c r="Y117" s="28"/>
      <c r="Z117" s="28"/>
      <c r="AB117" s="28" t="s">
        <v>144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78"/>
      <c r="K119" s="114" t="s">
        <v>145</v>
      </c>
      <c r="L119" s="114"/>
      <c r="M119" s="114" t="s">
        <v>146</v>
      </c>
      <c r="N119" s="114"/>
      <c r="O119" s="114" t="s">
        <v>147</v>
      </c>
      <c r="P119" s="114"/>
      <c r="Q119" s="115" t="s">
        <v>148</v>
      </c>
      <c r="S119" s="78"/>
      <c r="T119" s="114" t="s">
        <v>145</v>
      </c>
      <c r="U119" s="114"/>
      <c r="V119" s="114" t="s">
        <v>146</v>
      </c>
      <c r="W119" s="114"/>
      <c r="X119" s="114" t="s">
        <v>147</v>
      </c>
      <c r="Y119" s="114"/>
      <c r="Z119" s="115" t="s">
        <v>148</v>
      </c>
      <c r="AB119" s="78"/>
      <c r="AC119" s="114" t="s">
        <v>145</v>
      </c>
      <c r="AD119" s="114"/>
      <c r="AE119" s="114" t="s">
        <v>146</v>
      </c>
      <c r="AF119" s="114"/>
      <c r="AG119" s="114" t="s">
        <v>147</v>
      </c>
      <c r="AH119" s="114"/>
      <c r="AI119" s="115" t="s">
        <v>148</v>
      </c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80"/>
      <c r="K120" s="116" t="s">
        <v>149</v>
      </c>
      <c r="L120" s="117" t="s">
        <v>150</v>
      </c>
      <c r="M120" s="116" t="s">
        <v>149</v>
      </c>
      <c r="N120" s="118" t="s">
        <v>150</v>
      </c>
      <c r="O120" s="116" t="s">
        <v>149</v>
      </c>
      <c r="P120" s="118" t="s">
        <v>150</v>
      </c>
      <c r="Q120" s="119"/>
      <c r="S120" s="80"/>
      <c r="T120" s="116" t="s">
        <v>149</v>
      </c>
      <c r="U120" s="117" t="s">
        <v>150</v>
      </c>
      <c r="V120" s="116" t="s">
        <v>149</v>
      </c>
      <c r="W120" s="118" t="s">
        <v>150</v>
      </c>
      <c r="X120" s="116" t="s">
        <v>149</v>
      </c>
      <c r="Y120" s="118" t="s">
        <v>150</v>
      </c>
      <c r="Z120" s="119"/>
      <c r="AB120" s="80"/>
      <c r="AC120" s="116" t="s">
        <v>149</v>
      </c>
      <c r="AD120" s="117" t="s">
        <v>150</v>
      </c>
      <c r="AE120" s="116" t="s">
        <v>149</v>
      </c>
      <c r="AF120" s="118" t="s">
        <v>150</v>
      </c>
      <c r="AG120" s="116" t="s">
        <v>149</v>
      </c>
      <c r="AH120" s="118" t="s">
        <v>150</v>
      </c>
      <c r="AI120" s="119"/>
    </row>
    <row r="121" customFormat="false" ht="17.35" hidden="false" customHeight="false" outlineLevel="0" collapsed="false">
      <c r="A121" s="25" t="s">
        <v>151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151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151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151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152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152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152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152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153</v>
      </c>
      <c r="B123" s="130" t="n">
        <f aca="false">B5</f>
        <v>0</v>
      </c>
      <c r="C123" s="121" t="n">
        <v>-3775.5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153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153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153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-9755.83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154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154</v>
      </c>
      <c r="T124" s="130" t="n">
        <f aca="false">(T121*T122)+T123</f>
        <v>0</v>
      </c>
      <c r="U124" s="131" t="n">
        <f aca="false">(U121*U122)+U123</f>
        <v>11713.5425</v>
      </c>
      <c r="V124" s="130" t="n">
        <f aca="false">(V121*V122)+V123</f>
        <v>0</v>
      </c>
      <c r="W124" s="131" t="n">
        <f aca="false">(W121*W122)+W123</f>
        <v>0</v>
      </c>
      <c r="X124" s="130" t="n">
        <f aca="false">(X121*X122)+X123</f>
        <v>0</v>
      </c>
      <c r="Y124" s="131" t="n">
        <f aca="false">(Y121*Y122)+Y123</f>
        <v>0</v>
      </c>
      <c r="Z124" s="33"/>
      <c r="AB124" s="31" t="s">
        <v>154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155</v>
      </c>
      <c r="B125" s="132" t="n">
        <f aca="false">B121-B124</f>
        <v>46854.17</v>
      </c>
      <c r="C125" s="133" t="n">
        <f aca="false">C121-C124</f>
        <v>56610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155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155</v>
      </c>
      <c r="T125" s="132" t="n">
        <f aca="false">T121-T124</f>
        <v>46854.17</v>
      </c>
      <c r="U125" s="133" t="n">
        <f aca="false">U121-U124</f>
        <v>35140.6275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155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134"/>
      <c r="K127" s="135"/>
      <c r="L127" s="135"/>
      <c r="M127" s="135"/>
      <c r="N127" s="135"/>
      <c r="O127" s="135"/>
      <c r="P127" s="136" t="s">
        <v>149</v>
      </c>
      <c r="Q127" s="137" t="s">
        <v>150</v>
      </c>
      <c r="S127" s="134"/>
      <c r="T127" s="135"/>
      <c r="U127" s="135"/>
      <c r="V127" s="135"/>
      <c r="W127" s="135"/>
      <c r="X127" s="135"/>
      <c r="Y127" s="136" t="s">
        <v>149</v>
      </c>
      <c r="Z127" s="137" t="s">
        <v>150</v>
      </c>
      <c r="AB127" s="134"/>
      <c r="AC127" s="135"/>
      <c r="AD127" s="135"/>
      <c r="AE127" s="135"/>
      <c r="AF127" s="135"/>
      <c r="AG127" s="135"/>
      <c r="AH127" s="136" t="s">
        <v>149</v>
      </c>
      <c r="AI127" s="137" t="s">
        <v>150</v>
      </c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156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156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156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147" t="s">
        <v>157</v>
      </c>
      <c r="K130" s="144" t="s">
        <v>158</v>
      </c>
      <c r="L130" s="144"/>
      <c r="M130" s="144" t="s">
        <v>159</v>
      </c>
      <c r="N130" s="144"/>
      <c r="O130" s="144" t="s">
        <v>153</v>
      </c>
      <c r="P130" s="144"/>
      <c r="Q130" s="145" t="s">
        <v>150</v>
      </c>
      <c r="S130" s="147" t="s">
        <v>157</v>
      </c>
      <c r="T130" s="144" t="s">
        <v>158</v>
      </c>
      <c r="U130" s="144"/>
      <c r="V130" s="144" t="s">
        <v>159</v>
      </c>
      <c r="W130" s="144"/>
      <c r="X130" s="144" t="s">
        <v>153</v>
      </c>
      <c r="Y130" s="144"/>
      <c r="Z130" s="145" t="s">
        <v>150</v>
      </c>
      <c r="AB130" s="147" t="s">
        <v>157</v>
      </c>
      <c r="AC130" s="144" t="s">
        <v>158</v>
      </c>
      <c r="AD130" s="144"/>
      <c r="AE130" s="144" t="s">
        <v>159</v>
      </c>
      <c r="AF130" s="144"/>
      <c r="AG130" s="144" t="s">
        <v>153</v>
      </c>
      <c r="AH130" s="144"/>
      <c r="AI130" s="145" t="s">
        <v>150</v>
      </c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160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160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160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161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161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161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162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162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162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57443.33</v>
      </c>
      <c r="J135" s="152" t="s">
        <v>163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163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35973.9575</v>
      </c>
      <c r="AB135" s="152" t="s">
        <v>163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164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164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164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11598.666</v>
      </c>
      <c r="J137" s="154" t="s">
        <v>165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165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7304.7915</v>
      </c>
      <c r="AB137" s="154" t="s">
        <v>165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166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166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166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167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167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167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168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168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168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70241.996</v>
      </c>
      <c r="J141" s="154" t="s">
        <v>169</v>
      </c>
      <c r="K141" s="154"/>
      <c r="L141" s="154"/>
      <c r="M141" s="154"/>
      <c r="N141" s="154"/>
      <c r="O141" s="154"/>
      <c r="P141" s="453" t="n">
        <f aca="false">H15</f>
        <v>58535</v>
      </c>
      <c r="Q141" s="157" t="n">
        <f aca="false">(Q135+Q136+Q139+Q140+Q137)-Q138</f>
        <v>36655</v>
      </c>
      <c r="S141" s="154" t="s">
        <v>169</v>
      </c>
      <c r="T141" s="154"/>
      <c r="U141" s="154"/>
      <c r="V141" s="154"/>
      <c r="W141" s="154"/>
      <c r="X141" s="154"/>
      <c r="Y141" s="453" t="n">
        <f aca="false">H15</f>
        <v>58535</v>
      </c>
      <c r="Z141" s="157" t="n">
        <f aca="false">(Z135+Z136+Z139+Z140+Z137)-Z138</f>
        <v>44468.749</v>
      </c>
      <c r="AB141" s="154" t="s">
        <v>169</v>
      </c>
      <c r="AC141" s="154"/>
      <c r="AD141" s="154"/>
      <c r="AE141" s="154"/>
      <c r="AF141" s="154"/>
      <c r="AG141" s="154"/>
      <c r="AH141" s="453" t="n">
        <f aca="false">H15</f>
        <v>58535</v>
      </c>
      <c r="AI141" s="157" t="n">
        <f aca="false">(AI135+AI136+AI139+AI140+AI137)-AI138</f>
        <v>44468.749</v>
      </c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170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170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170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111" t="s">
        <v>171</v>
      </c>
      <c r="K143" s="111"/>
      <c r="L143" s="111"/>
      <c r="M143" s="111"/>
      <c r="N143" s="111"/>
      <c r="O143" s="111"/>
      <c r="P143" s="103"/>
      <c r="Q143" s="33"/>
      <c r="S143" s="111" t="s">
        <v>171</v>
      </c>
      <c r="T143" s="111"/>
      <c r="U143" s="111"/>
      <c r="V143" s="111"/>
      <c r="W143" s="111"/>
      <c r="X143" s="111"/>
      <c r="Y143" s="103"/>
      <c r="Z143" s="33"/>
      <c r="AB143" s="111" t="s">
        <v>171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172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172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172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172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172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172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172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172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172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70241.996</v>
      </c>
      <c r="J147" s="154" t="s">
        <v>173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58535</v>
      </c>
      <c r="Q147" s="164" t="n">
        <f aca="false">Q141-((Q144*1.2)+(Q145*1.2)+(Q146*1.2)+(Q142*1.2))</f>
        <v>36655</v>
      </c>
      <c r="S147" s="154" t="s">
        <v>173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58535</v>
      </c>
      <c r="Z147" s="164" t="n">
        <f aca="false">Z141-((Z144*1.2)+(Z145*1.2)+(Z146*1.2)+(Z142*1.2))</f>
        <v>44468.749</v>
      </c>
      <c r="AB147" s="154" t="s">
        <v>173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58535</v>
      </c>
      <c r="AI147" s="164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9755.83</v>
      </c>
      <c r="I148" s="1" t="n">
        <f aca="false">(H148-G81)/1.2</f>
        <v>-48321.805</v>
      </c>
      <c r="J148" s="154" t="s">
        <v>174</v>
      </c>
      <c r="K148" s="154"/>
      <c r="L148" s="154"/>
      <c r="M148" s="154"/>
      <c r="N148" s="154"/>
      <c r="O148" s="154"/>
      <c r="P148" s="155"/>
      <c r="Q148" s="40" t="n">
        <f aca="false">Q147-P147</f>
        <v>-21880</v>
      </c>
      <c r="S148" s="154" t="s">
        <v>174</v>
      </c>
      <c r="T148" s="154"/>
      <c r="U148" s="154"/>
      <c r="V148" s="154"/>
      <c r="W148" s="154"/>
      <c r="X148" s="154"/>
      <c r="Y148" s="155"/>
      <c r="Z148" s="40" t="n">
        <f aca="false">Z147-Y147</f>
        <v>-14066.251</v>
      </c>
      <c r="AB148" s="154" t="s">
        <v>174</v>
      </c>
      <c r="AC148" s="154"/>
      <c r="AD148" s="154"/>
      <c r="AE148" s="154"/>
      <c r="AF148" s="154"/>
      <c r="AG148" s="154"/>
      <c r="AH148" s="155"/>
      <c r="AI148" s="40" t="n">
        <f aca="false">AI147-AH147</f>
        <v>-14066.251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8" t="s">
        <v>175</v>
      </c>
      <c r="K150" s="28"/>
      <c r="L150" s="28"/>
      <c r="M150" s="28"/>
      <c r="N150" s="28"/>
      <c r="O150" s="28"/>
      <c r="P150" s="28"/>
      <c r="Q150" s="28"/>
      <c r="S150" s="28" t="s">
        <v>175</v>
      </c>
      <c r="T150" s="28"/>
      <c r="U150" s="28"/>
      <c r="V150" s="28"/>
      <c r="W150" s="28"/>
      <c r="X150" s="28"/>
      <c r="Y150" s="28"/>
      <c r="Z150" s="28"/>
      <c r="AB150" s="28" t="s">
        <v>175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176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176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176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177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177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177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178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178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178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179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179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179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180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180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180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67741.996</v>
      </c>
      <c r="H158" s="170"/>
      <c r="J158" s="169" t="s">
        <v>181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181</v>
      </c>
      <c r="T158" s="93"/>
      <c r="U158" s="93"/>
      <c r="V158" s="113"/>
      <c r="W158" s="93"/>
      <c r="X158" s="113"/>
      <c r="Y158" s="170" t="n">
        <f aca="false">Z147-Y154-Y157</f>
        <v>45468.749</v>
      </c>
      <c r="Z158" s="170"/>
      <c r="AB158" s="169" t="s">
        <v>181</v>
      </c>
      <c r="AC158" s="93"/>
      <c r="AD158" s="93"/>
      <c r="AE158" s="113"/>
      <c r="AF158" s="93"/>
      <c r="AG158" s="113"/>
      <c r="AH158" s="170" t="n">
        <f aca="false">AI147-AH154-AH157</f>
        <v>45468.749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8" t="s">
        <v>182</v>
      </c>
      <c r="K162" s="28"/>
      <c r="L162" s="28"/>
      <c r="M162" s="28"/>
      <c r="N162" s="28"/>
      <c r="O162" s="28"/>
      <c r="P162" s="28"/>
      <c r="Q162" s="28"/>
      <c r="S162" s="28" t="s">
        <v>182</v>
      </c>
      <c r="T162" s="28"/>
      <c r="U162" s="28"/>
      <c r="V162" s="28"/>
      <c r="W162" s="28"/>
      <c r="X162" s="28"/>
      <c r="Y162" s="28"/>
      <c r="Z162" s="28"/>
      <c r="AB162" s="28" t="s">
        <v>182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183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183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183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173" t="s">
        <v>184</v>
      </c>
      <c r="K166" s="174" t="s">
        <v>185</v>
      </c>
      <c r="L166" s="174"/>
      <c r="M166" s="174"/>
      <c r="N166" s="174" t="s">
        <v>186</v>
      </c>
      <c r="O166" s="23"/>
      <c r="P166" s="23"/>
      <c r="Q166" s="33"/>
      <c r="S166" s="173" t="s">
        <v>184</v>
      </c>
      <c r="T166" s="174" t="s">
        <v>185</v>
      </c>
      <c r="U166" s="174"/>
      <c r="V166" s="174"/>
      <c r="W166" s="174" t="s">
        <v>186</v>
      </c>
      <c r="X166" s="23"/>
      <c r="Y166" s="23"/>
      <c r="Z166" s="33"/>
      <c r="AB166" s="173" t="s">
        <v>184</v>
      </c>
      <c r="AC166" s="174" t="s">
        <v>185</v>
      </c>
      <c r="AD166" s="174"/>
      <c r="AE166" s="174"/>
      <c r="AF166" s="174" t="s">
        <v>186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2124.02638574387</v>
      </c>
      <c r="B167" s="177" t="n">
        <f aca="false">B94</f>
        <v>89.6483823529412</v>
      </c>
      <c r="C167" s="174"/>
      <c r="D167" s="174"/>
      <c r="E167" s="177" t="n">
        <f aca="false">B96</f>
        <v>2213.67476809681</v>
      </c>
      <c r="F167" s="23"/>
      <c r="G167" s="23" t="n">
        <f aca="false">ROUND(G95, 2)</f>
        <v>1947.69</v>
      </c>
      <c r="H167" s="33"/>
      <c r="J167" s="176" t="n">
        <f aca="false">K95</f>
        <v>1506.2831870777</v>
      </c>
      <c r="K167" s="177" t="n">
        <f aca="false">K94</f>
        <v>104.5044</v>
      </c>
      <c r="L167" s="174"/>
      <c r="M167" s="174"/>
      <c r="N167" s="177" t="n">
        <f aca="false">K96</f>
        <v>1610.7875870777</v>
      </c>
      <c r="O167" s="23"/>
      <c r="P167" s="23"/>
      <c r="Q167" s="33"/>
      <c r="S167" s="176" t="n">
        <f aca="false">T95</f>
        <v>1375.84776365029</v>
      </c>
      <c r="T167" s="177" t="n">
        <f aca="false">T94</f>
        <v>82.7523529411765</v>
      </c>
      <c r="U167" s="174"/>
      <c r="V167" s="174"/>
      <c r="W167" s="177" t="n">
        <f aca="false">T96</f>
        <v>1458.60011659147</v>
      </c>
      <c r="X167" s="23"/>
      <c r="Y167" s="23"/>
      <c r="Z167" s="33"/>
      <c r="AB167" s="176" t="n">
        <f aca="false">AC95</f>
        <v>1375.84776365029</v>
      </c>
      <c r="AC167" s="177" t="n">
        <f aca="false">AC94</f>
        <v>99.3028235294117</v>
      </c>
      <c r="AD167" s="174"/>
      <c r="AE167" s="174"/>
      <c r="AF167" s="177" t="n">
        <f aca="false">AC96</f>
        <v>1475.1505871797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31" t="s">
        <v>83</v>
      </c>
      <c r="K169" s="93" t="s">
        <v>84</v>
      </c>
      <c r="L169" s="93"/>
      <c r="M169" s="23"/>
      <c r="N169" s="93" t="s">
        <v>188</v>
      </c>
      <c r="O169" s="23"/>
      <c r="P169" s="23"/>
      <c r="Q169" s="33"/>
      <c r="S169" s="31" t="s">
        <v>83</v>
      </c>
      <c r="T169" s="93" t="s">
        <v>84</v>
      </c>
      <c r="U169" s="93"/>
      <c r="V169" s="23"/>
      <c r="W169" s="93" t="s">
        <v>188</v>
      </c>
      <c r="X169" s="23"/>
      <c r="Y169" s="23"/>
      <c r="Z169" s="33"/>
      <c r="AB169" s="31" t="s">
        <v>83</v>
      </c>
      <c r="AC169" s="93" t="s">
        <v>84</v>
      </c>
      <c r="AD169" s="93"/>
      <c r="AE169" s="23"/>
      <c r="AF169" s="93" t="s">
        <v>188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9600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9600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9600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9600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31" t="s">
        <v>189</v>
      </c>
      <c r="K172" s="93" t="s">
        <v>190</v>
      </c>
      <c r="L172" s="93"/>
      <c r="M172" s="23"/>
      <c r="N172" s="93" t="s">
        <v>191</v>
      </c>
      <c r="O172" s="23"/>
      <c r="P172" s="23"/>
      <c r="Q172" s="33"/>
      <c r="S172" s="31" t="s">
        <v>189</v>
      </c>
      <c r="T172" s="93" t="s">
        <v>190</v>
      </c>
      <c r="U172" s="93"/>
      <c r="V172" s="23"/>
      <c r="W172" s="93" t="s">
        <v>191</v>
      </c>
      <c r="X172" s="23"/>
      <c r="Y172" s="23"/>
      <c r="Z172" s="33"/>
      <c r="AB172" s="31" t="s">
        <v>189</v>
      </c>
      <c r="AC172" s="93" t="s">
        <v>190</v>
      </c>
      <c r="AD172" s="93"/>
      <c r="AE172" s="23"/>
      <c r="AF172" s="93" t="s">
        <v>191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57993.33</v>
      </c>
      <c r="B173" s="103" t="n">
        <f aca="false">H137</f>
        <v>11598.666</v>
      </c>
      <c r="C173" s="186"/>
      <c r="D173" s="23"/>
      <c r="E173" s="182" t="n">
        <f aca="false">H139+H140</f>
        <v>650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36523.9575</v>
      </c>
      <c r="T173" s="103" t="n">
        <f aca="false">Z137</f>
        <v>7304.7915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31" t="s">
        <v>192</v>
      </c>
      <c r="K175" s="93" t="s">
        <v>138</v>
      </c>
      <c r="L175" s="93"/>
      <c r="M175" s="23"/>
      <c r="N175" s="93" t="s">
        <v>139</v>
      </c>
      <c r="O175" s="23"/>
      <c r="P175" s="23"/>
      <c r="Q175" s="33"/>
      <c r="S175" s="31" t="s">
        <v>192</v>
      </c>
      <c r="T175" s="93" t="s">
        <v>138</v>
      </c>
      <c r="U175" s="93"/>
      <c r="V175" s="23"/>
      <c r="W175" s="93" t="s">
        <v>139</v>
      </c>
      <c r="X175" s="23"/>
      <c r="Y175" s="23"/>
      <c r="Z175" s="33"/>
      <c r="AB175" s="31" t="s">
        <v>192</v>
      </c>
      <c r="AC175" s="93" t="s">
        <v>138</v>
      </c>
      <c r="AD175" s="93"/>
      <c r="AE175" s="23"/>
      <c r="AF175" s="93" t="s">
        <v>139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70241.996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44468.749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44468.749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31" t="s">
        <v>140</v>
      </c>
      <c r="K178" s="93" t="s">
        <v>176</v>
      </c>
      <c r="L178" s="93"/>
      <c r="M178" s="23"/>
      <c r="N178" s="93" t="s">
        <v>181</v>
      </c>
      <c r="O178" s="23"/>
      <c r="P178" s="23"/>
      <c r="Q178" s="33"/>
      <c r="S178" s="31" t="s">
        <v>140</v>
      </c>
      <c r="T178" s="93" t="s">
        <v>176</v>
      </c>
      <c r="U178" s="93"/>
      <c r="V178" s="23"/>
      <c r="W178" s="93" t="s">
        <v>181</v>
      </c>
      <c r="X178" s="23"/>
      <c r="Y178" s="23"/>
      <c r="Z178" s="33"/>
      <c r="AB178" s="31" t="s">
        <v>140</v>
      </c>
      <c r="AC178" s="93" t="s">
        <v>176</v>
      </c>
      <c r="AD178" s="93"/>
      <c r="AE178" s="23"/>
      <c r="AF178" s="93" t="s">
        <v>181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67741.996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45468.749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45468.749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31" t="s">
        <v>193</v>
      </c>
      <c r="K181" s="93" t="s">
        <v>53</v>
      </c>
      <c r="L181" s="93"/>
      <c r="M181" s="23"/>
      <c r="N181" s="93" t="s">
        <v>194</v>
      </c>
      <c r="O181" s="23"/>
      <c r="P181" s="23"/>
      <c r="Q181" s="33"/>
      <c r="S181" s="31" t="s">
        <v>193</v>
      </c>
      <c r="T181" s="93" t="s">
        <v>53</v>
      </c>
      <c r="U181" s="93"/>
      <c r="V181" s="23"/>
      <c r="W181" s="93" t="s">
        <v>194</v>
      </c>
      <c r="X181" s="23"/>
      <c r="Y181" s="23"/>
      <c r="Z181" s="33"/>
      <c r="AB181" s="31" t="s">
        <v>193</v>
      </c>
      <c r="AC181" s="93" t="s">
        <v>53</v>
      </c>
      <c r="AD181" s="93"/>
      <c r="AE181" s="23"/>
      <c r="AF181" s="93" t="s">
        <v>194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14074.9011152916</v>
      </c>
      <c r="B182" s="103" t="str">
        <f aca="false">B114</f>
        <v>199.99</v>
      </c>
      <c r="C182" s="103"/>
      <c r="D182" s="23"/>
      <c r="E182" s="103" t="n">
        <f aca="false">E179+A182+(B182*1.2)+A185</f>
        <v>82066.8851152916</v>
      </c>
      <c r="F182" s="23"/>
      <c r="G182" s="23"/>
      <c r="H182" s="105"/>
      <c r="J182" s="111" t="n">
        <f aca="false">(J167*K59)+N185-N179-J185</f>
        <v>23158.6283606416</v>
      </c>
      <c r="K182" s="103" t="n">
        <f aca="false">K114</f>
        <v>239.99</v>
      </c>
      <c r="L182" s="103"/>
      <c r="M182" s="23"/>
      <c r="N182" s="103" t="n">
        <f aca="false">N179+J182+K182+J185</f>
        <v>61073.6183606416</v>
      </c>
      <c r="O182" s="23"/>
      <c r="P182" s="23"/>
      <c r="Q182" s="105"/>
      <c r="S182" s="111" t="n">
        <f aca="false">(S167*T59)+W185-W179-S185</f>
        <v>10910.0749641099</v>
      </c>
      <c r="T182" s="103" t="n">
        <f aca="false">T114</f>
        <v>199.99</v>
      </c>
      <c r="U182" s="103"/>
      <c r="V182" s="23"/>
      <c r="W182" s="103" t="n">
        <f aca="false">W179+S182+T182+S185</f>
        <v>56588.8139641099</v>
      </c>
      <c r="X182" s="23"/>
      <c r="Y182" s="23"/>
      <c r="Z182" s="105"/>
      <c r="AB182" s="111" t="n">
        <f aca="false">(AB167*AC59)+AF185-AF179-AB185</f>
        <v>10910.0749641099</v>
      </c>
      <c r="AC182" s="103" t="n">
        <f aca="false">AC114</f>
        <v>239.99</v>
      </c>
      <c r="AD182" s="103"/>
      <c r="AE182" s="23"/>
      <c r="AF182" s="103" t="n">
        <f aca="false">AF179+AB182+AC182+AB185</f>
        <v>56628.8139641099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31" t="s">
        <v>195</v>
      </c>
      <c r="K184" s="93" t="s">
        <v>196</v>
      </c>
      <c r="L184" s="93"/>
      <c r="M184" s="23"/>
      <c r="N184" s="93" t="s">
        <v>197</v>
      </c>
      <c r="O184" s="23"/>
      <c r="P184" s="23"/>
      <c r="Q184" s="33"/>
      <c r="S184" s="31" t="s">
        <v>195</v>
      </c>
      <c r="T184" s="93" t="s">
        <v>196</v>
      </c>
      <c r="U184" s="93"/>
      <c r="V184" s="23"/>
      <c r="W184" s="93" t="s">
        <v>197</v>
      </c>
      <c r="X184" s="23"/>
      <c r="Y184" s="23"/>
      <c r="Z184" s="33"/>
      <c r="AB184" s="31" t="s">
        <v>195</v>
      </c>
      <c r="AC184" s="93" t="s">
        <v>196</v>
      </c>
      <c r="AD184" s="93"/>
      <c r="AE184" s="23"/>
      <c r="AF184" s="93" t="s">
        <v>197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E170+A185</f>
        <v>9610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9620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9610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9610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31" t="s">
        <v>198</v>
      </c>
      <c r="K187" s="93" t="s">
        <v>199</v>
      </c>
      <c r="L187" s="93"/>
      <c r="M187" s="93"/>
      <c r="N187" s="166" t="s">
        <v>200</v>
      </c>
      <c r="O187" s="23"/>
      <c r="P187" s="23"/>
      <c r="Q187" s="33"/>
      <c r="S187" s="31" t="s">
        <v>198</v>
      </c>
      <c r="T187" s="93" t="s">
        <v>199</v>
      </c>
      <c r="U187" s="93"/>
      <c r="V187" s="93"/>
      <c r="W187" s="166" t="s">
        <v>200</v>
      </c>
      <c r="X187" s="32"/>
      <c r="Y187" s="32"/>
      <c r="Z187" s="33"/>
      <c r="AB187" s="31" t="s">
        <v>198</v>
      </c>
      <c r="AC187" s="93" t="s">
        <v>199</v>
      </c>
      <c r="AD187" s="93"/>
      <c r="AE187" s="93"/>
      <c r="AF187" s="166" t="s">
        <v>200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11.577</v>
      </c>
      <c r="B188" s="103" t="n">
        <f aca="false">(G158*B67)/1.2</f>
        <v>552.755870138889</v>
      </c>
      <c r="C188" s="93"/>
      <c r="D188" s="93"/>
      <c r="E188" s="103" t="n">
        <f aca="false">(E40*A108)*0.1*(C45/100)</f>
        <v>70.3395</v>
      </c>
      <c r="F188" s="23"/>
      <c r="G188" s="23"/>
      <c r="H188" s="33"/>
      <c r="J188" s="111" t="n">
        <f aca="false">IF(N105="YES", H15*0.000002, 0)</f>
        <v>0.11707</v>
      </c>
      <c r="K188" s="103" t="n">
        <f aca="false">(P158*K67)/1.2</f>
        <v>2320.75086805556</v>
      </c>
      <c r="L188" s="93"/>
      <c r="M188" s="93"/>
      <c r="N188" s="103" t="n">
        <f aca="false">(E40*J108)*0.1</f>
        <v>70.3395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371.012361631944</v>
      </c>
      <c r="U188" s="93"/>
      <c r="V188" s="93"/>
      <c r="W188" s="103" t="n">
        <f aca="false">(E40*S108)*0.1</f>
        <v>46.893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371.012361631944</v>
      </c>
      <c r="AD188" s="93"/>
      <c r="AE188" s="93"/>
      <c r="AF188" s="103" t="n">
        <f aca="false">(E40*AB108)*0.1</f>
        <v>46.893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60" t="s">
        <v>201</v>
      </c>
      <c r="K190" s="166" t="s">
        <v>202</v>
      </c>
      <c r="L190" s="93"/>
      <c r="M190" s="93"/>
      <c r="N190" s="166" t="s">
        <v>203</v>
      </c>
      <c r="O190" s="23"/>
      <c r="P190" s="23"/>
      <c r="Q190" s="33"/>
      <c r="S190" s="60" t="s">
        <v>201</v>
      </c>
      <c r="T190" s="166" t="s">
        <v>202</v>
      </c>
      <c r="U190" s="93"/>
      <c r="V190" s="93"/>
      <c r="W190" s="166" t="s">
        <v>203</v>
      </c>
      <c r="X190" s="32"/>
      <c r="Y190" s="32"/>
      <c r="Z190" s="33"/>
      <c r="AB190" s="60" t="s">
        <v>201</v>
      </c>
      <c r="AC190" s="166" t="s">
        <v>202</v>
      </c>
      <c r="AD190" s="93"/>
      <c r="AE190" s="93"/>
      <c r="AF190" s="166" t="s">
        <v>203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723.085370138889</v>
      </c>
      <c r="C191" s="93"/>
      <c r="D191" s="93"/>
      <c r="E191" s="103" t="n">
        <f aca="false">H148</f>
        <v>9755.83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3531.08036805556</v>
      </c>
      <c r="L191" s="93"/>
      <c r="M191" s="93"/>
      <c r="N191" s="103" t="n">
        <f aca="false">Q148</f>
        <v>-21880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1517.89536163194</v>
      </c>
      <c r="U191" s="93"/>
      <c r="V191" s="93"/>
      <c r="W191" s="103" t="n">
        <f aca="false">Z148</f>
        <v>-14066.251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1557.89536163194</v>
      </c>
      <c r="AD191" s="93"/>
      <c r="AE191" s="93"/>
      <c r="AF191" s="103" t="n">
        <f aca="false">AI148</f>
        <v>-14066.251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66" t="s">
        <v>204</v>
      </c>
      <c r="K193" s="93"/>
      <c r="L193" s="93"/>
      <c r="M193" s="67"/>
      <c r="N193" s="67"/>
      <c r="O193" s="67"/>
      <c r="P193" s="67"/>
      <c r="Q193" s="68"/>
      <c r="S193" s="66" t="s">
        <v>204</v>
      </c>
      <c r="T193" s="93"/>
      <c r="U193" s="93"/>
      <c r="V193" s="67"/>
      <c r="W193" s="67"/>
      <c r="X193" s="67"/>
      <c r="Y193" s="67"/>
      <c r="Z193" s="68"/>
      <c r="AB193" s="66" t="s">
        <v>204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187" t="s">
        <v>83</v>
      </c>
      <c r="K195" s="71" t="s">
        <v>84</v>
      </c>
      <c r="L195" s="71"/>
      <c r="M195" s="71"/>
      <c r="N195" s="23"/>
      <c r="O195" s="23"/>
      <c r="P195" s="23"/>
      <c r="Q195" s="33"/>
      <c r="S195" s="187" t="s">
        <v>83</v>
      </c>
      <c r="T195" s="71" t="s">
        <v>84</v>
      </c>
      <c r="U195" s="71"/>
      <c r="V195" s="71"/>
      <c r="W195" s="23"/>
      <c r="X195" s="23"/>
      <c r="Y195" s="23"/>
      <c r="Z195" s="33"/>
      <c r="AB195" s="187" t="s">
        <v>83</v>
      </c>
      <c r="AC195" s="71" t="s">
        <v>84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2213.67476809681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1610.7875870777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1458.60011659147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1475.1505871797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8079.46400000001</v>
      </c>
      <c r="B201" s="186" t="n">
        <f aca="false">E179+A201+(B182*1.2)+A185</f>
        <v>76071.448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2124.02638574387</v>
      </c>
      <c r="B212" s="177" t="n">
        <f aca="false">B167</f>
        <v>89.6483823529412</v>
      </c>
      <c r="C212" s="174"/>
      <c r="D212" s="174"/>
      <c r="E212" s="177" t="n">
        <f aca="false">E167</f>
        <v>2213.67476809681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57993.33</v>
      </c>
      <c r="B215" s="103" t="n">
        <f aca="false">B173</f>
        <v>11598.666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70241.996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67741.996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14074.9011152916</v>
      </c>
      <c r="B224" s="103" t="str">
        <f aca="false">B182</f>
        <v>199.99</v>
      </c>
      <c r="C224" s="103"/>
      <c r="D224" s="113"/>
      <c r="E224" s="103" t="n">
        <f aca="false">E182</f>
        <v>82066.8851152916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2124.02638574387</v>
      </c>
      <c r="B230" s="103" t="n">
        <f aca="false">B167</f>
        <v>89.6483823529412</v>
      </c>
      <c r="C230" s="186"/>
      <c r="D230" s="186"/>
      <c r="E230" s="103" t="n">
        <f aca="false">E167</f>
        <v>2213.67476809681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188</v>
      </c>
      <c r="B232" s="93" t="s">
        <v>210</v>
      </c>
      <c r="C232" s="93"/>
      <c r="D232" s="93"/>
      <c r="E232" s="93" t="s">
        <v>211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9600</v>
      </c>
      <c r="B233" s="103" t="n">
        <f aca="false">E185</f>
        <v>9610</v>
      </c>
      <c r="C233" s="93"/>
      <c r="D233" s="93"/>
      <c r="E233" s="103" t="n">
        <f aca="false">A188</f>
        <v>11.577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132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9755.83</v>
      </c>
      <c r="B240" s="103" t="n">
        <f aca="false">B68</f>
        <v>552.755870138889</v>
      </c>
      <c r="C240" s="93"/>
      <c r="D240" s="93"/>
      <c r="E240" s="103" t="n">
        <f aca="false">E188</f>
        <v>70.3395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10478.9153701389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K35</f>
        <v>0.07</v>
      </c>
      <c r="C253" s="197"/>
      <c r="D253" s="198" t="s">
        <v>216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6005.43711529161</v>
      </c>
      <c r="C254" s="197"/>
      <c r="D254" s="198" t="s">
        <v>218</v>
      </c>
      <c r="E254" s="198"/>
      <c r="F254" s="200" t="n">
        <f aca="false">F261+F267+F269+B270+B271</f>
        <v>663.307044166667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803.385</v>
      </c>
      <c r="C255" s="197"/>
      <c r="D255" s="198" t="s">
        <v>220</v>
      </c>
      <c r="E255" s="198"/>
      <c r="F255" s="200" t="n">
        <f aca="false">(B254-F254)+B255</f>
        <v>6145.51507112495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0.12</v>
      </c>
      <c r="C260" s="43"/>
      <c r="D260" s="166" t="s">
        <v>217</v>
      </c>
      <c r="E260" s="166"/>
      <c r="F260" s="146" t="n">
        <f aca="false">B254</f>
        <v>6005.43711529161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0.00979166666666667</v>
      </c>
      <c r="C261" s="32"/>
      <c r="D261" s="166" t="s">
        <v>223</v>
      </c>
      <c r="E261" s="166"/>
      <c r="F261" s="151" t="n">
        <f aca="false">B68*1.2</f>
        <v>663.307044166667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0.3</v>
      </c>
      <c r="C262" s="32"/>
      <c r="D262" s="166" t="s">
        <v>224</v>
      </c>
      <c r="E262" s="166"/>
      <c r="F262" s="146" t="n">
        <f aca="false">E240*10</f>
        <v>703.395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</v>
      </c>
      <c r="C263" s="32"/>
      <c r="D263" s="39" t="s">
        <v>220</v>
      </c>
      <c r="E263" s="39"/>
      <c r="F263" s="146" t="n">
        <f aca="false">(B254-F254)+B255</f>
        <v>6145.51507112495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78" colorId="64" zoomScale="85" zoomScaleNormal="85" zoomScalePageLayoutView="100" workbookViewId="0">
      <selection pane="topLeft" activeCell="B189" activeCellId="0" sqref="B18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145</v>
      </c>
      <c r="C2" s="439"/>
      <c r="D2" s="439" t="s">
        <v>146</v>
      </c>
      <c r="E2" s="439"/>
      <c r="F2" s="439" t="s">
        <v>147</v>
      </c>
      <c r="G2" s="439"/>
      <c r="H2" s="440" t="s">
        <v>148</v>
      </c>
      <c r="I2" s="2"/>
      <c r="J2" s="2"/>
    </row>
    <row r="3" customFormat="false" ht="17.35" hidden="false" customHeight="false" outlineLevel="0" collapsed="false">
      <c r="A3" s="31" t="s">
        <v>151</v>
      </c>
      <c r="B3" s="441" t="n">
        <v>17895.0</v>
      </c>
      <c r="C3" s="441" t="n">
        <v>0</v>
      </c>
      <c r="D3" s="441" t="n">
        <v>0.0</v>
      </c>
      <c r="E3" s="441"/>
      <c r="F3" s="441" t="n">
        <v>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152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153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154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155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163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164</v>
      </c>
      <c r="B10" s="154"/>
      <c r="C10" s="154"/>
      <c r="D10" s="154"/>
      <c r="E10" s="154" t="n">
        <v>50</v>
      </c>
      <c r="F10" s="154"/>
      <c r="G10" s="155"/>
      <c r="H10" s="442" t="n">
        <v>695.0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165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166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167</v>
      </c>
      <c r="B13" s="154"/>
      <c r="C13" s="154"/>
      <c r="D13" s="154"/>
      <c r="E13" s="154" t="n">
        <v>585</v>
      </c>
      <c r="F13" s="154"/>
      <c r="G13" s="155"/>
      <c r="H13" s="442" t="n">
        <v>290.0</v>
      </c>
      <c r="I13" s="2"/>
      <c r="J13" s="2"/>
    </row>
    <row r="14" customFormat="false" ht="17.35" hidden="false" customHeight="false" outlineLevel="0" collapsed="false">
      <c r="A14" s="154" t="s">
        <v>168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169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170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171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172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172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172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173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128</v>
      </c>
      <c r="B26" s="40" t="s">
        <v>390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126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183</v>
      </c>
      <c r="B30" s="104" t="s">
        <v>391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2490.0</v>
      </c>
      <c r="P31" s="212"/>
    </row>
    <row r="32" customFormat="false" ht="34.3" hidden="false" customHeight="false" outlineLevel="0" collapsed="false">
      <c r="A32" s="31" t="s">
        <v>83</v>
      </c>
      <c r="B32" s="93" t="s">
        <v>84</v>
      </c>
      <c r="C32" s="93"/>
      <c r="D32" s="93"/>
      <c r="E32" s="93" t="s">
        <v>354</v>
      </c>
      <c r="F32" s="93"/>
      <c r="G32" s="93"/>
      <c r="H32" s="33"/>
      <c r="I32" s="2" t="n">
        <v>0</v>
      </c>
      <c r="J32" s="29" t="s">
        <v>36</v>
      </c>
      <c r="K32" s="449" t="n">
        <v>1975.05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1424.98089256311</v>
      </c>
      <c r="F33" s="232"/>
      <c r="G33" s="232"/>
      <c r="H33" s="47"/>
      <c r="I33" s="2"/>
      <c r="J33" s="34" t="s">
        <v>355</v>
      </c>
      <c r="K33" s="48" t="n">
        <f aca="false">H21-H11+(H16*20%)</f>
        <v>48887.5</v>
      </c>
      <c r="L33" s="1" t="n">
        <f aca="false">H21-H11+(H16*20%)</f>
        <v>48887.5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1424.98089256311</v>
      </c>
      <c r="B36" s="232" t="str">
        <f aca="false">IF(B26="YES", K42, "0.00")</f>
        <v>0.00</v>
      </c>
      <c r="C36" s="232"/>
      <c r="D36" s="232"/>
      <c r="E36" s="232" t="n">
        <f aca="false">K31</f>
        <v>5760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85</v>
      </c>
      <c r="K39" s="2" t="n">
        <f aca="false">K33</f>
        <v>48887.5</v>
      </c>
      <c r="L39" s="2" t="n">
        <f aca="false">(L47*K46)+K44</f>
        <v>29153.4873907684</v>
      </c>
      <c r="N39" s="1" t="n">
        <f aca="false">K39-L39</f>
        <v>19734.0126092316</v>
      </c>
      <c r="P39" s="212"/>
    </row>
    <row r="40" customFormat="false" ht="17.35" hidden="false" customHeight="false" outlineLevel="0" collapsed="false">
      <c r="A40" s="107" t="n">
        <f aca="false">E36*A45/100</f>
        <v>7125.0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107</v>
      </c>
      <c r="K40" s="2" t="n">
        <f aca="false">(A40)/1.2</f>
        <v>4800</v>
      </c>
      <c r="L40" s="2" t="n">
        <f aca="false">K39-L39</f>
        <v>19734.0126092316</v>
      </c>
      <c r="N40" s="1" t="n">
        <f aca="false">N38-N39</f>
        <v>-16822.3326092316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(K32/K36/100)*C45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77</v>
      </c>
      <c r="B44" s="93"/>
      <c r="C44" s="291" t="s">
        <v>78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3893.17899535427</v>
      </c>
      <c r="L44" s="2"/>
      <c r="P44" s="212"/>
    </row>
    <row r="45" customFormat="false" ht="17.35" hidden="false" customHeight="false" outlineLevel="0" collapsed="false">
      <c r="A45" s="505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366</v>
      </c>
      <c r="K45" s="2" t="n">
        <f aca="false">(K39-K44)</f>
        <v>44994.3210046457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31.5753854942677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1424.98089256311</v>
      </c>
      <c r="L47" s="2" t="n">
        <f aca="false">L49-K42</f>
        <v>800</v>
      </c>
      <c r="M47" s="1" t="n">
        <f aca="false">K47-L47</f>
        <v>624.980892563105</v>
      </c>
      <c r="P47" s="212"/>
    </row>
    <row r="48" customFormat="false" ht="31.8" hidden="false" customHeight="false" outlineLevel="0" collapsed="false">
      <c r="A48" s="66" t="s">
        <v>82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1424.98089256311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83</v>
      </c>
      <c r="B50" s="71" t="s">
        <v>84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1424.98089256311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85</v>
      </c>
      <c r="B58" s="93" t="n">
        <v>1</v>
      </c>
      <c r="C58" s="93"/>
      <c r="D58" s="93"/>
      <c r="E58" s="113"/>
      <c r="F58" s="113"/>
      <c r="G58" s="113"/>
      <c r="H58" s="33"/>
      <c r="J58" s="31" t="s">
        <v>85</v>
      </c>
      <c r="K58" s="93" t="n">
        <v>1</v>
      </c>
      <c r="L58" s="93"/>
      <c r="M58" s="93"/>
      <c r="N58" s="113"/>
      <c r="O58" s="113"/>
      <c r="P58" s="113"/>
      <c r="Q58" s="33"/>
      <c r="S58" s="31" t="s">
        <v>85</v>
      </c>
      <c r="T58" s="93" t="n">
        <v>1</v>
      </c>
      <c r="U58" s="93"/>
      <c r="V58" s="93"/>
      <c r="W58" s="113"/>
      <c r="X58" s="113"/>
      <c r="Y58" s="113"/>
      <c r="Z58" s="33"/>
      <c r="AB58" s="31" t="s">
        <v>85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86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86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86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86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87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87</v>
      </c>
      <c r="K60" s="77" t="n">
        <v>20</v>
      </c>
      <c r="L60" s="93"/>
      <c r="M60" s="93"/>
      <c r="N60" s="113"/>
      <c r="O60" s="113"/>
      <c r="P60" s="113"/>
      <c r="Q60" s="33"/>
      <c r="S60" s="76" t="s">
        <v>87</v>
      </c>
      <c r="T60" s="77" t="n">
        <v>10</v>
      </c>
      <c r="U60" s="93"/>
      <c r="V60" s="93"/>
      <c r="W60" s="113"/>
      <c r="X60" s="113"/>
      <c r="Y60" s="113"/>
      <c r="Z60" s="33"/>
      <c r="AB60" s="76" t="s">
        <v>87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88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88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88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88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89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89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89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89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90</v>
      </c>
      <c r="K64" s="258" t="n">
        <v>0.1</v>
      </c>
      <c r="L64" s="93"/>
      <c r="M64" s="93"/>
      <c r="N64" s="113"/>
      <c r="O64" s="113"/>
      <c r="P64" s="113"/>
      <c r="Q64" s="33"/>
      <c r="S64" s="82" t="s">
        <v>90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90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91</v>
      </c>
      <c r="B65" s="65" t="n">
        <f aca="false">(B89*B59)-(K47*K29)</f>
        <v>25553.5623103921</v>
      </c>
      <c r="C65" s="93"/>
      <c r="D65" s="93"/>
      <c r="E65" s="113"/>
      <c r="F65" s="113"/>
      <c r="G65" s="113"/>
      <c r="H65" s="33"/>
      <c r="J65" s="56" t="s">
        <v>91</v>
      </c>
      <c r="K65" s="65" t="n">
        <f aca="false">(K89*K59)-(K47*K29)</f>
        <v>1339.29712093296</v>
      </c>
      <c r="L65" s="93"/>
      <c r="M65" s="93"/>
      <c r="N65" s="113"/>
      <c r="O65" s="113"/>
      <c r="P65" s="113"/>
      <c r="Q65" s="33"/>
      <c r="S65" s="56" t="s">
        <v>91</v>
      </c>
      <c r="T65" s="65" t="n">
        <f aca="false">(T89*T59)-(K47*K29)</f>
        <v>16794.6108050519</v>
      </c>
      <c r="U65" s="93"/>
      <c r="V65" s="93"/>
      <c r="W65" s="113"/>
      <c r="X65" s="113"/>
      <c r="Y65" s="113"/>
      <c r="Z65" s="33"/>
      <c r="AB65" s="56" t="s">
        <v>91</v>
      </c>
      <c r="AC65" s="65" t="n">
        <f aca="false">(AC89*AC59)-(K47*K29)</f>
        <v>62.0513278136423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92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92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92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93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93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93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93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94</v>
      </c>
      <c r="B68" s="65" t="n">
        <f aca="false">(G158*B67)/1.2</f>
        <v>552.755870138889</v>
      </c>
      <c r="C68" s="93"/>
      <c r="D68" s="93"/>
      <c r="E68" s="113"/>
      <c r="F68" s="113"/>
      <c r="G68" s="113"/>
      <c r="H68" s="33"/>
      <c r="J68" s="56" t="s">
        <v>94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94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94</v>
      </c>
      <c r="AC68" s="65" t="n">
        <f aca="false">AH158*AC67</f>
        <v>445.214833958333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95</v>
      </c>
      <c r="B69" s="256" t="n">
        <v>0</v>
      </c>
      <c r="C69" s="93"/>
      <c r="D69" s="93"/>
      <c r="E69" s="113"/>
      <c r="F69" s="113"/>
      <c r="G69" s="113"/>
      <c r="H69" s="33"/>
      <c r="J69" s="78" t="s">
        <v>95</v>
      </c>
      <c r="K69" s="256" t="n">
        <v>0</v>
      </c>
      <c r="L69" s="93"/>
      <c r="M69" s="93"/>
      <c r="N69" s="113"/>
      <c r="O69" s="113"/>
      <c r="P69" s="113"/>
      <c r="Q69" s="33"/>
      <c r="S69" s="78" t="s">
        <v>95</v>
      </c>
      <c r="T69" s="256" t="n">
        <v>0</v>
      </c>
      <c r="U69" s="93"/>
      <c r="V69" s="93"/>
      <c r="W69" s="113"/>
      <c r="X69" s="113"/>
      <c r="Y69" s="113"/>
      <c r="Z69" s="33"/>
      <c r="AB69" s="78" t="s">
        <v>95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96</v>
      </c>
      <c r="B70" s="257" t="n">
        <v>0</v>
      </c>
      <c r="C70" s="93"/>
      <c r="D70" s="93"/>
      <c r="E70" s="113"/>
      <c r="F70" s="113"/>
      <c r="G70" s="113"/>
      <c r="H70" s="33"/>
      <c r="J70" s="80" t="s">
        <v>96</v>
      </c>
      <c r="K70" s="257" t="n">
        <v>0</v>
      </c>
      <c r="L70" s="93"/>
      <c r="M70" s="93"/>
      <c r="N70" s="113"/>
      <c r="O70" s="113"/>
      <c r="P70" s="113"/>
      <c r="Q70" s="33"/>
      <c r="S70" s="80" t="s">
        <v>96</v>
      </c>
      <c r="T70" s="257" t="n">
        <v>0</v>
      </c>
      <c r="U70" s="93"/>
      <c r="V70" s="93"/>
      <c r="W70" s="113"/>
      <c r="X70" s="113"/>
      <c r="Y70" s="113"/>
      <c r="Z70" s="33"/>
      <c r="AB70" s="80" t="s">
        <v>96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97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97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97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98</v>
      </c>
      <c r="B72" s="86" t="n">
        <v>0</v>
      </c>
      <c r="C72" s="93"/>
      <c r="D72" s="93"/>
      <c r="E72" s="113"/>
      <c r="F72" s="113"/>
      <c r="G72" s="113"/>
      <c r="H72" s="33"/>
      <c r="J72" s="78" t="s">
        <v>98</v>
      </c>
      <c r="K72" s="86" t="n">
        <v>0</v>
      </c>
      <c r="L72" s="93"/>
      <c r="M72" s="93"/>
      <c r="N72" s="113"/>
      <c r="O72" s="113"/>
      <c r="P72" s="113"/>
      <c r="Q72" s="33"/>
      <c r="S72" s="78" t="s">
        <v>98</v>
      </c>
      <c r="T72" s="86" t="n">
        <v>0</v>
      </c>
      <c r="U72" s="93"/>
      <c r="V72" s="93"/>
      <c r="W72" s="113"/>
      <c r="X72" s="113"/>
      <c r="Y72" s="113"/>
      <c r="Z72" s="33"/>
      <c r="AB72" s="78" t="s">
        <v>98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99</v>
      </c>
      <c r="B73" s="77" t="n">
        <v>0</v>
      </c>
      <c r="C73" s="93"/>
      <c r="D73" s="93"/>
      <c r="E73" s="113"/>
      <c r="F73" s="113"/>
      <c r="G73" s="113"/>
      <c r="H73" s="33"/>
      <c r="J73" s="80" t="s">
        <v>99</v>
      </c>
      <c r="K73" s="77" t="n">
        <v>0</v>
      </c>
      <c r="L73" s="93"/>
      <c r="M73" s="93"/>
      <c r="N73" s="113"/>
      <c r="O73" s="113"/>
      <c r="P73" s="113"/>
      <c r="Q73" s="33"/>
      <c r="S73" s="80" t="s">
        <v>99</v>
      </c>
      <c r="T73" s="77" t="n">
        <v>0</v>
      </c>
      <c r="U73" s="93"/>
      <c r="V73" s="93"/>
      <c r="W73" s="113"/>
      <c r="X73" s="113"/>
      <c r="Y73" s="113"/>
      <c r="Z73" s="33"/>
      <c r="AB73" s="80" t="s">
        <v>99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100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100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100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100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101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101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101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101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102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102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102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102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103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103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103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104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104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104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104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105</v>
      </c>
      <c r="B79" s="59" t="n">
        <f aca="false">K47</f>
        <v>1424.98089256311</v>
      </c>
      <c r="C79" s="93"/>
      <c r="D79" s="93"/>
      <c r="E79" s="113"/>
      <c r="F79" s="113"/>
      <c r="G79" s="113"/>
      <c r="H79" s="33"/>
      <c r="J79" s="90" t="s">
        <v>105</v>
      </c>
      <c r="K79" s="59" t="n">
        <f aca="false">K47</f>
        <v>1424.98089256311</v>
      </c>
      <c r="L79" s="93"/>
      <c r="M79" s="93"/>
      <c r="N79" s="113"/>
      <c r="O79" s="113"/>
      <c r="P79" s="113"/>
      <c r="Q79" s="33"/>
      <c r="S79" s="90" t="s">
        <v>105</v>
      </c>
      <c r="T79" s="59" t="n">
        <f aca="false">B52</f>
        <v>1424.98089256311</v>
      </c>
      <c r="U79" s="93"/>
      <c r="V79" s="93"/>
      <c r="W79" s="113"/>
      <c r="X79" s="113"/>
      <c r="Y79" s="113"/>
      <c r="Z79" s="33"/>
      <c r="AB79" s="90" t="s">
        <v>105</v>
      </c>
      <c r="AC79" s="59" t="n">
        <f aca="false">B52</f>
        <v>1424.98089256311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106</v>
      </c>
      <c r="B81" s="27" t="n">
        <f aca="false">G158</f>
        <v>67741.996</v>
      </c>
      <c r="C81" s="93"/>
      <c r="D81" s="93"/>
      <c r="E81" s="113"/>
      <c r="F81" s="25" t="s">
        <v>106</v>
      </c>
      <c r="G81" s="27" t="n">
        <f aca="false">G158</f>
        <v>67741.996</v>
      </c>
      <c r="H81" s="33"/>
      <c r="J81" s="25" t="s">
        <v>106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106</v>
      </c>
      <c r="T81" s="27" t="n">
        <f aca="false">Y158</f>
        <v>59384.43749</v>
      </c>
      <c r="U81" s="93"/>
      <c r="V81" s="93"/>
      <c r="W81" s="113"/>
      <c r="X81" s="113"/>
      <c r="Y81" s="113"/>
      <c r="Z81" s="33"/>
      <c r="AB81" s="25" t="s">
        <v>106</v>
      </c>
      <c r="AC81" s="27" t="n">
        <f aca="false">AH158</f>
        <v>45468.749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107</v>
      </c>
      <c r="B82" s="33" t="n">
        <f aca="false">IF(A111="YES",A40,0)</f>
        <v>5760</v>
      </c>
      <c r="C82" s="93"/>
      <c r="D82" s="93"/>
      <c r="E82" s="113"/>
      <c r="F82" s="31" t="s">
        <v>107</v>
      </c>
      <c r="G82" s="33" t="n">
        <f aca="false">IF(A111="YES",A40,0)</f>
        <v>5760</v>
      </c>
      <c r="H82" s="33"/>
      <c r="J82" s="31" t="s">
        <v>107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107</v>
      </c>
      <c r="T82" s="33" t="n">
        <f aca="false">A40</f>
        <v>5760</v>
      </c>
      <c r="U82" s="93"/>
      <c r="V82" s="93"/>
      <c r="W82" s="113"/>
      <c r="X82" s="113"/>
      <c r="Y82" s="113"/>
      <c r="Z82" s="33"/>
      <c r="AB82" s="31" t="s">
        <v>107</v>
      </c>
      <c r="AC82" s="33" t="n">
        <f aca="false">A40</f>
        <v>5760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108</v>
      </c>
      <c r="B83" s="92" t="n">
        <f aca="false">B62+B63+B64</f>
        <v>0.12</v>
      </c>
      <c r="C83" s="93"/>
      <c r="D83" s="93"/>
      <c r="E83" s="113"/>
      <c r="F83" s="31" t="s">
        <v>108</v>
      </c>
      <c r="G83" s="91" t="n">
        <f aca="false">B63</f>
        <v>0.07</v>
      </c>
      <c r="H83" s="33"/>
      <c r="J83" s="31" t="s">
        <v>108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108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108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109</v>
      </c>
      <c r="B84" s="92" t="n">
        <f aca="false">B83/12</f>
        <v>0.01</v>
      </c>
      <c r="C84" s="93"/>
      <c r="D84" s="93"/>
      <c r="E84" s="113"/>
      <c r="F84" s="31" t="s">
        <v>109</v>
      </c>
      <c r="G84" s="92" t="n">
        <f aca="false">G83/12</f>
        <v>0.00583333333333333</v>
      </c>
      <c r="H84" s="33"/>
      <c r="J84" s="31" t="s">
        <v>109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109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109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34</v>
      </c>
      <c r="C85" s="93"/>
      <c r="D85" s="93"/>
      <c r="E85" s="113"/>
      <c r="F85" s="31" t="s">
        <v>110</v>
      </c>
      <c r="G85" s="33" t="n">
        <f aca="false">IF(G82=0, (B59+B58), (B59))</f>
        <v>34</v>
      </c>
      <c r="H85" s="33"/>
      <c r="J85" s="31" t="s">
        <v>110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110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110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4066.06578695154</v>
      </c>
      <c r="C86" s="93"/>
      <c r="D86" s="93"/>
      <c r="E86" s="113"/>
      <c r="F86" s="31" t="s">
        <v>111</v>
      </c>
      <c r="G86" s="33" t="n">
        <f aca="false">(G82/((1+G84)^(G85+1)))</f>
        <v>4699.06704739261</v>
      </c>
      <c r="H86" s="33"/>
      <c r="J86" s="31" t="s">
        <v>111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111</v>
      </c>
      <c r="T86" s="33" t="n">
        <f aca="false">(T82/((1+T84)^(T85+1)))</f>
        <v>3938.9911005945</v>
      </c>
      <c r="U86" s="93"/>
      <c r="V86" s="93"/>
      <c r="W86" s="113"/>
      <c r="X86" s="113"/>
      <c r="Y86" s="113"/>
      <c r="Z86" s="33"/>
      <c r="AB86" s="31" t="s">
        <v>111</v>
      </c>
      <c r="AC86" s="33" t="n">
        <f aca="false">(AC82/((1+AC84)^(AC85+1)))</f>
        <v>3938.9911005945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28.7026658885233</v>
      </c>
      <c r="C87" s="93"/>
      <c r="D87" s="93"/>
      <c r="E87" s="113"/>
      <c r="F87" s="31" t="s">
        <v>112</v>
      </c>
      <c r="G87" s="33" t="n">
        <f aca="false">((1-(1/((1+G84)^G85)))/G84)</f>
        <v>30.7595752429843</v>
      </c>
      <c r="H87" s="33"/>
      <c r="J87" s="31" t="s">
        <v>112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112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112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113</v>
      </c>
      <c r="B88" s="33" t="n">
        <f aca="false">B81-B86</f>
        <v>63675.9302130485</v>
      </c>
      <c r="C88" s="93"/>
      <c r="D88" s="93"/>
      <c r="E88" s="113"/>
      <c r="F88" s="31" t="s">
        <v>113</v>
      </c>
      <c r="G88" s="33" t="n">
        <f aca="false">G81-G86</f>
        <v>63042.9289526074</v>
      </c>
      <c r="H88" s="33"/>
      <c r="J88" s="31" t="s">
        <v>113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113</v>
      </c>
      <c r="T88" s="33" t="n">
        <f aca="false">T81-T86</f>
        <v>55445.4463894055</v>
      </c>
      <c r="U88" s="93"/>
      <c r="V88" s="93"/>
      <c r="W88" s="113"/>
      <c r="X88" s="113"/>
      <c r="Y88" s="113"/>
      <c r="Z88" s="33"/>
      <c r="AB88" s="31" t="s">
        <v>113</v>
      </c>
      <c r="AC88" s="33" t="n">
        <f aca="false">AC81-AC86</f>
        <v>41529.7578994055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114</v>
      </c>
      <c r="B89" s="33" t="n">
        <f aca="false">(B88/B87)</f>
        <v>2218.46745735591</v>
      </c>
      <c r="C89" s="93"/>
      <c r="D89" s="93"/>
      <c r="E89" s="113"/>
      <c r="F89" s="31" t="s">
        <v>114</v>
      </c>
      <c r="G89" s="33" t="n">
        <f aca="false">(G88/G87)</f>
        <v>2049.53834552661</v>
      </c>
      <c r="H89" s="33"/>
      <c r="J89" s="31" t="s">
        <v>114</v>
      </c>
      <c r="K89" s="33" t="n">
        <f aca="false">(K88/K87)</f>
        <v>1506.2831870777</v>
      </c>
      <c r="L89" s="93"/>
      <c r="M89" s="93"/>
      <c r="N89" s="113"/>
      <c r="O89" s="113"/>
      <c r="P89" s="113"/>
      <c r="Q89" s="33"/>
      <c r="S89" s="31" t="s">
        <v>114</v>
      </c>
      <c r="T89" s="33" t="n">
        <f aca="false">(T88/T87)</f>
        <v>1960.8512366106</v>
      </c>
      <c r="U89" s="93"/>
      <c r="V89" s="93"/>
      <c r="W89" s="113"/>
      <c r="X89" s="113"/>
      <c r="Y89" s="113"/>
      <c r="Z89" s="33"/>
      <c r="AB89" s="31" t="s">
        <v>114</v>
      </c>
      <c r="AC89" s="33" t="n">
        <f aca="false">(AC88/AC87)</f>
        <v>1468.71713433889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75427.8935501008</v>
      </c>
      <c r="C90" s="93"/>
      <c r="D90" s="93"/>
      <c r="E90" s="113"/>
      <c r="F90" s="31" t="s">
        <v>115</v>
      </c>
      <c r="G90" s="33" t="n">
        <f aca="false">((G89*(G85))+G77)</f>
        <v>69684.3037479049</v>
      </c>
      <c r="H90" s="33"/>
      <c r="J90" s="31" t="s">
        <v>115</v>
      </c>
      <c r="K90" s="33" t="n">
        <f aca="false">((K89*(K85))+K77)</f>
        <v>52719.9115477193</v>
      </c>
      <c r="L90" s="93"/>
      <c r="M90" s="93"/>
      <c r="N90" s="113"/>
      <c r="O90" s="113"/>
      <c r="P90" s="113"/>
      <c r="Q90" s="33"/>
      <c r="S90" s="31" t="s">
        <v>115</v>
      </c>
      <c r="T90" s="33" t="n">
        <f aca="false">(T89*(T85))+T77</f>
        <v>66668.9420447605</v>
      </c>
      <c r="U90" s="93"/>
      <c r="V90" s="93"/>
      <c r="W90" s="113"/>
      <c r="X90" s="113"/>
      <c r="Y90" s="113"/>
      <c r="Z90" s="33"/>
      <c r="AB90" s="31" t="s">
        <v>115</v>
      </c>
      <c r="AC90" s="33" t="n">
        <f aca="false">(AC89*(AC59))+AC77</f>
        <v>49936.3825675223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116</v>
      </c>
      <c r="B91" s="33" t="n">
        <f aca="false">(B90/(1-B71))*B71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31" t="s">
        <v>116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116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116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117</v>
      </c>
      <c r="B92" s="65" t="n">
        <f aca="false">(B90+B91)</f>
        <v>75427.8935501008</v>
      </c>
      <c r="C92" s="93"/>
      <c r="D92" s="93"/>
      <c r="E92" s="113"/>
      <c r="F92" s="56" t="s">
        <v>117</v>
      </c>
      <c r="G92" s="65" t="n">
        <f aca="false">(G90+G91)</f>
        <v>69684.3037479049</v>
      </c>
      <c r="H92" s="33"/>
      <c r="J92" s="56" t="s">
        <v>117</v>
      </c>
      <c r="K92" s="65" t="n">
        <f aca="false">(K90+K91)</f>
        <v>52719.9115477193</v>
      </c>
      <c r="L92" s="93"/>
      <c r="M92" s="93"/>
      <c r="N92" s="113"/>
      <c r="O92" s="113"/>
      <c r="P92" s="113"/>
      <c r="Q92" s="33"/>
      <c r="S92" s="56" t="s">
        <v>117</v>
      </c>
      <c r="T92" s="65" t="n">
        <f aca="false">(T90+T91)</f>
        <v>66668.9420447605</v>
      </c>
      <c r="U92" s="93"/>
      <c r="V92" s="93"/>
      <c r="W92" s="113"/>
      <c r="X92" s="113"/>
      <c r="Y92" s="113"/>
      <c r="Z92" s="33"/>
      <c r="AB92" s="56" t="s">
        <v>117</v>
      </c>
      <c r="AC92" s="65" t="n">
        <f aca="false">(AC90+AC91)</f>
        <v>49936.3825675223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118</v>
      </c>
      <c r="B94" s="89" t="str">
        <f aca="false">IF(B26="YES",((E40/B85)*(1+A108)*1.2*(C45/100)),"0")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88" t="s">
        <v>118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118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118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119</v>
      </c>
      <c r="B95" s="96" t="n">
        <f aca="false">B92/(B85)</f>
        <v>2218.46745735591</v>
      </c>
      <c r="C95" s="93"/>
      <c r="D95" s="93"/>
      <c r="E95" s="113"/>
      <c r="F95" s="95" t="s">
        <v>119</v>
      </c>
      <c r="G95" s="96" t="n">
        <f aca="false">G92/(G85)</f>
        <v>2049.53834552661</v>
      </c>
      <c r="H95" s="33"/>
      <c r="J95" s="95" t="s">
        <v>119</v>
      </c>
      <c r="K95" s="96" t="n">
        <f aca="false">K92/(K85)</f>
        <v>1506.2831870777</v>
      </c>
      <c r="L95" s="93"/>
      <c r="M95" s="93"/>
      <c r="N95" s="113"/>
      <c r="O95" s="113"/>
      <c r="P95" s="113"/>
      <c r="Q95" s="33"/>
      <c r="S95" s="95" t="s">
        <v>119</v>
      </c>
      <c r="T95" s="96" t="n">
        <f aca="false">T92/(T85)</f>
        <v>1960.8512366106</v>
      </c>
      <c r="U95" s="93"/>
      <c r="V95" s="93"/>
      <c r="W95" s="113"/>
      <c r="X95" s="113"/>
      <c r="Y95" s="113"/>
      <c r="Z95" s="33"/>
      <c r="AB95" s="95" t="s">
        <v>119</v>
      </c>
      <c r="AC95" s="96" t="n">
        <f aca="false">AC92/(AC59)</f>
        <v>1468.71713433889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120</v>
      </c>
      <c r="B96" s="98" t="n">
        <f aca="false">(B94+B95)</f>
        <v>2218.46745735591</v>
      </c>
      <c r="C96" s="93"/>
      <c r="D96" s="93"/>
      <c r="E96" s="113"/>
      <c r="F96" s="97" t="s">
        <v>120</v>
      </c>
      <c r="G96" s="98" t="n">
        <f aca="false">G94+G95</f>
        <v>2049.53834552661</v>
      </c>
      <c r="H96" s="33"/>
      <c r="J96" s="97" t="s">
        <v>120</v>
      </c>
      <c r="K96" s="98" t="n">
        <f aca="false">(K94+K95)</f>
        <v>1506.2831870777</v>
      </c>
      <c r="L96" s="93"/>
      <c r="M96" s="93"/>
      <c r="N96" s="113"/>
      <c r="O96" s="113"/>
      <c r="P96" s="113"/>
      <c r="Q96" s="33"/>
      <c r="S96" s="97" t="s">
        <v>120</v>
      </c>
      <c r="T96" s="98" t="n">
        <f aca="false">T94+T95</f>
        <v>1960.8512366106</v>
      </c>
      <c r="U96" s="93"/>
      <c r="V96" s="93"/>
      <c r="W96" s="113"/>
      <c r="X96" s="113"/>
      <c r="Y96" s="113"/>
      <c r="Z96" s="33"/>
      <c r="AB96" s="97" t="s">
        <v>120</v>
      </c>
      <c r="AC96" s="98" t="n">
        <f aca="false">AC94+AC95</f>
        <v>1468.71713433889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123</v>
      </c>
      <c r="B100" s="100"/>
      <c r="C100" s="100"/>
      <c r="D100" s="100"/>
      <c r="E100" s="100"/>
      <c r="F100" s="100"/>
      <c r="G100" s="100"/>
      <c r="H100" s="100"/>
      <c r="J100" s="100" t="s">
        <v>123</v>
      </c>
      <c r="K100" s="100"/>
      <c r="L100" s="100"/>
      <c r="M100" s="100"/>
      <c r="N100" s="100"/>
      <c r="O100" s="100"/>
      <c r="P100" s="100"/>
      <c r="Q100" s="100"/>
      <c r="S100" s="100" t="s">
        <v>124</v>
      </c>
      <c r="T100" s="100"/>
      <c r="U100" s="100"/>
      <c r="V100" s="100"/>
      <c r="W100" s="100"/>
      <c r="X100" s="100"/>
      <c r="Y100" s="100"/>
      <c r="Z100" s="100"/>
      <c r="AB100" s="100" t="s">
        <v>125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8" t="s">
        <v>126</v>
      </c>
      <c r="K102" s="28"/>
      <c r="L102" s="28"/>
      <c r="M102" s="28"/>
      <c r="N102" s="28"/>
      <c r="O102" s="28"/>
      <c r="P102" s="28"/>
      <c r="Q102" s="28"/>
      <c r="S102" s="28" t="s">
        <v>126</v>
      </c>
      <c r="T102" s="28"/>
      <c r="U102" s="28"/>
      <c r="V102" s="28"/>
      <c r="W102" s="28"/>
      <c r="X102" s="28"/>
      <c r="Y102" s="28"/>
      <c r="Z102" s="28"/>
      <c r="AB102" s="28" t="s">
        <v>126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31" t="s">
        <v>127</v>
      </c>
      <c r="K104" s="93" t="s">
        <v>23</v>
      </c>
      <c r="L104" s="93"/>
      <c r="M104" s="93"/>
      <c r="N104" s="93" t="s">
        <v>128</v>
      </c>
      <c r="O104" s="93"/>
      <c r="P104" s="93"/>
      <c r="Q104" s="33"/>
      <c r="S104" s="31" t="s">
        <v>127</v>
      </c>
      <c r="T104" s="93" t="s">
        <v>23</v>
      </c>
      <c r="U104" s="93"/>
      <c r="V104" s="93"/>
      <c r="W104" s="93" t="s">
        <v>128</v>
      </c>
      <c r="X104" s="93"/>
      <c r="Y104" s="93"/>
      <c r="Z104" s="33"/>
      <c r="AB104" s="31" t="s">
        <v>127</v>
      </c>
      <c r="AC104" s="93" t="s">
        <v>23</v>
      </c>
      <c r="AD104" s="93"/>
      <c r="AE104" s="93"/>
      <c r="AF104" s="93" t="s">
        <v>128</v>
      </c>
      <c r="AG104" s="93"/>
      <c r="AH104" s="93"/>
      <c r="AI104" s="33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390</v>
      </c>
      <c r="F105" s="104"/>
      <c r="G105" s="104"/>
      <c r="H105" s="102"/>
      <c r="J105" s="36" t="s">
        <v>129</v>
      </c>
      <c r="K105" s="103" t="s">
        <v>130</v>
      </c>
      <c r="L105" s="103"/>
      <c r="M105" s="103"/>
      <c r="N105" s="104" t="s">
        <v>18</v>
      </c>
      <c r="O105" s="104"/>
      <c r="P105" s="104"/>
      <c r="Q105" s="102"/>
      <c r="S105" s="36" t="s">
        <v>129</v>
      </c>
      <c r="T105" s="103" t="s">
        <v>130</v>
      </c>
      <c r="U105" s="103"/>
      <c r="V105" s="103"/>
      <c r="W105" s="104" t="s">
        <v>18</v>
      </c>
      <c r="X105" s="104"/>
      <c r="Y105" s="104"/>
      <c r="Z105" s="102"/>
      <c r="AB105" s="36" t="s">
        <v>129</v>
      </c>
      <c r="AC105" s="103" t="s">
        <v>130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31" t="s">
        <v>131</v>
      </c>
      <c r="K107" s="93" t="s">
        <v>132</v>
      </c>
      <c r="L107" s="93"/>
      <c r="M107" s="113"/>
      <c r="N107" s="93" t="s">
        <v>133</v>
      </c>
      <c r="O107" s="93"/>
      <c r="P107" s="113"/>
      <c r="Q107" s="102"/>
      <c r="S107" s="31" t="s">
        <v>131</v>
      </c>
      <c r="T107" s="93" t="s">
        <v>132</v>
      </c>
      <c r="U107" s="93"/>
      <c r="V107" s="113"/>
      <c r="W107" s="93" t="s">
        <v>133</v>
      </c>
      <c r="X107" s="93"/>
      <c r="Y107" s="113"/>
      <c r="Z107" s="102"/>
      <c r="AB107" s="31" t="s">
        <v>131</v>
      </c>
      <c r="AC107" s="93" t="s">
        <v>132</v>
      </c>
      <c r="AD107" s="93"/>
      <c r="AE107" s="113"/>
      <c r="AF107" s="93" t="s">
        <v>133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s">
        <v>406</v>
      </c>
      <c r="C108" s="107"/>
      <c r="D108" s="107"/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134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135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135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31" t="s">
        <v>137</v>
      </c>
      <c r="K110" s="93" t="s">
        <v>138</v>
      </c>
      <c r="L110" s="93"/>
      <c r="M110" s="93"/>
      <c r="N110" s="93" t="s">
        <v>139</v>
      </c>
      <c r="O110" s="93"/>
      <c r="P110" s="93"/>
      <c r="Q110" s="33"/>
      <c r="S110" s="31" t="s">
        <v>137</v>
      </c>
      <c r="T110" s="93" t="s">
        <v>138</v>
      </c>
      <c r="U110" s="93"/>
      <c r="V110" s="93"/>
      <c r="W110" s="93" t="s">
        <v>139</v>
      </c>
      <c r="X110" s="93"/>
      <c r="Y110" s="93"/>
      <c r="Z110" s="33"/>
      <c r="AB110" s="31" t="s">
        <v>137</v>
      </c>
      <c r="AC110" s="93" t="s">
        <v>138</v>
      </c>
      <c r="AD110" s="93"/>
      <c r="AE110" s="93"/>
      <c r="AF110" s="93" t="s">
        <v>139</v>
      </c>
      <c r="AG110" s="93"/>
      <c r="AH110" s="93"/>
      <c r="AI110" s="33"/>
    </row>
    <row r="111" customFormat="false" ht="17.35" hidden="false" customHeight="false" outlineLevel="0" collapsed="false">
      <c r="A111" s="40" t="s">
        <v>390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110" t="s">
        <v>140</v>
      </c>
      <c r="K113" s="93" t="s">
        <v>141</v>
      </c>
      <c r="L113" s="93"/>
      <c r="M113" s="93"/>
      <c r="N113" s="93" t="s">
        <v>142</v>
      </c>
      <c r="O113" s="93"/>
      <c r="P113" s="113"/>
      <c r="Q113" s="102"/>
      <c r="S113" s="110" t="s">
        <v>140</v>
      </c>
      <c r="T113" s="93" t="s">
        <v>141</v>
      </c>
      <c r="U113" s="93"/>
      <c r="V113" s="93"/>
      <c r="W113" s="93" t="s">
        <v>142</v>
      </c>
      <c r="X113" s="93"/>
      <c r="Y113" s="113"/>
      <c r="Z113" s="102"/>
      <c r="AB113" s="110" t="s">
        <v>140</v>
      </c>
      <c r="AC113" s="93" t="s">
        <v>141</v>
      </c>
      <c r="AD113" s="93"/>
      <c r="AE113" s="93"/>
      <c r="AF113" s="93" t="s">
        <v>142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389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8" t="s">
        <v>144</v>
      </c>
      <c r="K117" s="28"/>
      <c r="L117" s="28"/>
      <c r="M117" s="28"/>
      <c r="N117" s="28"/>
      <c r="O117" s="28"/>
      <c r="P117" s="28"/>
      <c r="Q117" s="28"/>
      <c r="S117" s="28" t="s">
        <v>144</v>
      </c>
      <c r="T117" s="28"/>
      <c r="U117" s="28"/>
      <c r="V117" s="28"/>
      <c r="W117" s="28"/>
      <c r="X117" s="28"/>
      <c r="Y117" s="28"/>
      <c r="Z117" s="28"/>
      <c r="AB117" s="28" t="s">
        <v>144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78"/>
      <c r="K119" s="114" t="s">
        <v>145</v>
      </c>
      <c r="L119" s="114"/>
      <c r="M119" s="114" t="s">
        <v>146</v>
      </c>
      <c r="N119" s="114"/>
      <c r="O119" s="114" t="s">
        <v>147</v>
      </c>
      <c r="P119" s="114"/>
      <c r="Q119" s="115" t="s">
        <v>148</v>
      </c>
      <c r="S119" s="78"/>
      <c r="T119" s="114" t="s">
        <v>145</v>
      </c>
      <c r="U119" s="114"/>
      <c r="V119" s="114" t="s">
        <v>146</v>
      </c>
      <c r="W119" s="114"/>
      <c r="X119" s="114" t="s">
        <v>147</v>
      </c>
      <c r="Y119" s="114"/>
      <c r="Z119" s="115" t="s">
        <v>148</v>
      </c>
      <c r="AB119" s="78"/>
      <c r="AC119" s="114" t="s">
        <v>145</v>
      </c>
      <c r="AD119" s="114"/>
      <c r="AE119" s="114" t="s">
        <v>146</v>
      </c>
      <c r="AF119" s="114"/>
      <c r="AG119" s="114" t="s">
        <v>147</v>
      </c>
      <c r="AH119" s="114"/>
      <c r="AI119" s="115" t="s">
        <v>148</v>
      </c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80"/>
      <c r="K120" s="116" t="s">
        <v>149</v>
      </c>
      <c r="L120" s="117" t="s">
        <v>150</v>
      </c>
      <c r="M120" s="116" t="s">
        <v>149</v>
      </c>
      <c r="N120" s="118" t="s">
        <v>150</v>
      </c>
      <c r="O120" s="116" t="s">
        <v>149</v>
      </c>
      <c r="P120" s="118" t="s">
        <v>150</v>
      </c>
      <c r="Q120" s="119"/>
      <c r="S120" s="80"/>
      <c r="T120" s="116" t="s">
        <v>149</v>
      </c>
      <c r="U120" s="117" t="s">
        <v>150</v>
      </c>
      <c r="V120" s="116" t="s">
        <v>149</v>
      </c>
      <c r="W120" s="118" t="s">
        <v>150</v>
      </c>
      <c r="X120" s="116" t="s">
        <v>149</v>
      </c>
      <c r="Y120" s="118" t="s">
        <v>150</v>
      </c>
      <c r="Z120" s="119"/>
      <c r="AB120" s="80"/>
      <c r="AC120" s="116" t="s">
        <v>149</v>
      </c>
      <c r="AD120" s="117" t="s">
        <v>150</v>
      </c>
      <c r="AE120" s="116" t="s">
        <v>149</v>
      </c>
      <c r="AF120" s="118" t="s">
        <v>150</v>
      </c>
      <c r="AG120" s="116" t="s">
        <v>149</v>
      </c>
      <c r="AH120" s="118" t="s">
        <v>150</v>
      </c>
      <c r="AI120" s="119"/>
    </row>
    <row r="121" customFormat="false" ht="17.35" hidden="false" customHeight="false" outlineLevel="0" collapsed="false">
      <c r="A121" s="25" t="s">
        <v>151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151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151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151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152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152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152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152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153</v>
      </c>
      <c r="B123" s="130" t="n">
        <f aca="false">B5</f>
        <v>0</v>
      </c>
      <c r="C123" s="121" t="n">
        <v>-3775.5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153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153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153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-9755.83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154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154</v>
      </c>
      <c r="T124" s="130" t="n">
        <f aca="false">(T121*T122)+T123</f>
        <v>0</v>
      </c>
      <c r="U124" s="131" t="n">
        <f aca="false">(U121*U122/100)+U123</f>
        <v>117.135425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154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155</v>
      </c>
      <c r="B125" s="132" t="n">
        <f aca="false">B121-B124</f>
        <v>46854.17</v>
      </c>
      <c r="C125" s="133" t="n">
        <f aca="false">C121-C124</f>
        <v>56610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155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155</v>
      </c>
      <c r="T125" s="132" t="n">
        <f aca="false">T121-T124</f>
        <v>46854.17</v>
      </c>
      <c r="U125" s="133" t="n">
        <f aca="false">U121-U124</f>
        <v>46737.034575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155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134"/>
      <c r="K127" s="135"/>
      <c r="L127" s="135"/>
      <c r="M127" s="135"/>
      <c r="N127" s="135"/>
      <c r="O127" s="135"/>
      <c r="P127" s="136" t="s">
        <v>149</v>
      </c>
      <c r="Q127" s="137" t="s">
        <v>150</v>
      </c>
      <c r="S127" s="134"/>
      <c r="T127" s="135"/>
      <c r="U127" s="135"/>
      <c r="V127" s="135"/>
      <c r="W127" s="135"/>
      <c r="X127" s="135"/>
      <c r="Y127" s="136" t="s">
        <v>149</v>
      </c>
      <c r="Z127" s="137" t="s">
        <v>150</v>
      </c>
      <c r="AB127" s="134"/>
      <c r="AC127" s="135"/>
      <c r="AD127" s="135"/>
      <c r="AE127" s="135"/>
      <c r="AF127" s="135"/>
      <c r="AG127" s="135"/>
      <c r="AH127" s="136" t="s">
        <v>149</v>
      </c>
      <c r="AI127" s="137" t="s">
        <v>150</v>
      </c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156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156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156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147" t="s">
        <v>157</v>
      </c>
      <c r="K130" s="144" t="s">
        <v>158</v>
      </c>
      <c r="L130" s="144"/>
      <c r="M130" s="144" t="s">
        <v>159</v>
      </c>
      <c r="N130" s="144"/>
      <c r="O130" s="144" t="s">
        <v>153</v>
      </c>
      <c r="P130" s="144"/>
      <c r="Q130" s="145" t="s">
        <v>150</v>
      </c>
      <c r="S130" s="147" t="s">
        <v>157</v>
      </c>
      <c r="T130" s="144" t="s">
        <v>158</v>
      </c>
      <c r="U130" s="144"/>
      <c r="V130" s="144" t="s">
        <v>159</v>
      </c>
      <c r="W130" s="144"/>
      <c r="X130" s="144" t="s">
        <v>153</v>
      </c>
      <c r="Y130" s="144"/>
      <c r="Z130" s="145" t="s">
        <v>150</v>
      </c>
      <c r="AB130" s="147" t="s">
        <v>157</v>
      </c>
      <c r="AC130" s="144" t="s">
        <v>158</v>
      </c>
      <c r="AD130" s="144"/>
      <c r="AE130" s="144" t="s">
        <v>159</v>
      </c>
      <c r="AF130" s="144"/>
      <c r="AG130" s="144" t="s">
        <v>153</v>
      </c>
      <c r="AH130" s="144"/>
      <c r="AI130" s="145" t="s">
        <v>150</v>
      </c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160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160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160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161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161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161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162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162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162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57443.33</v>
      </c>
      <c r="J135" s="152" t="s">
        <v>163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163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47570.364575</v>
      </c>
      <c r="AB135" s="152" t="s">
        <v>163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164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164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164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11598.666</v>
      </c>
      <c r="J137" s="154" t="s">
        <v>165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165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9624.072915</v>
      </c>
      <c r="AB137" s="154" t="s">
        <v>165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166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166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166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167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167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167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168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168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168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70241.996</v>
      </c>
      <c r="J141" s="154" t="s">
        <v>169</v>
      </c>
      <c r="K141" s="154"/>
      <c r="L141" s="154"/>
      <c r="M141" s="154"/>
      <c r="N141" s="154"/>
      <c r="O141" s="154"/>
      <c r="P141" s="453" t="n">
        <f aca="false">H15</f>
        <v>58535</v>
      </c>
      <c r="Q141" s="157" t="n">
        <f aca="false">(Q135+Q136+Q139+Q140+Q137)-Q138</f>
        <v>36655</v>
      </c>
      <c r="S141" s="154" t="s">
        <v>169</v>
      </c>
      <c r="T141" s="154"/>
      <c r="U141" s="154"/>
      <c r="V141" s="154"/>
      <c r="W141" s="154"/>
      <c r="X141" s="154"/>
      <c r="Y141" s="453" t="n">
        <f aca="false">H15</f>
        <v>58535</v>
      </c>
      <c r="Z141" s="157" t="n">
        <f aca="false">(Z135+Z136+Z139+Z140+Z137)-Z138</f>
        <v>58384.43749</v>
      </c>
      <c r="AB141" s="154" t="s">
        <v>169</v>
      </c>
      <c r="AC141" s="154"/>
      <c r="AD141" s="154"/>
      <c r="AE141" s="154"/>
      <c r="AF141" s="154"/>
      <c r="AG141" s="154"/>
      <c r="AH141" s="453" t="n">
        <f aca="false">H15</f>
        <v>58535</v>
      </c>
      <c r="AI141" s="157" t="n">
        <f aca="false">(AI135+AI136+AI139+AI140+AI137)-AI138</f>
        <v>44468.749</v>
      </c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170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170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170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111" t="s">
        <v>171</v>
      </c>
      <c r="K143" s="111"/>
      <c r="L143" s="111"/>
      <c r="M143" s="111"/>
      <c r="N143" s="111"/>
      <c r="O143" s="111"/>
      <c r="P143" s="103"/>
      <c r="Q143" s="33"/>
      <c r="S143" s="111" t="s">
        <v>171</v>
      </c>
      <c r="T143" s="111"/>
      <c r="U143" s="111"/>
      <c r="V143" s="111"/>
      <c r="W143" s="111"/>
      <c r="X143" s="111"/>
      <c r="Y143" s="103"/>
      <c r="Z143" s="33"/>
      <c r="AB143" s="111" t="s">
        <v>171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172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172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172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172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172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172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172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172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172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172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70241.996</v>
      </c>
      <c r="J147" s="154" t="s">
        <v>173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58535</v>
      </c>
      <c r="Q147" s="164" t="n">
        <f aca="false">Q141-((Q144*1.2)+(Q145*1.2)+(Q146*1.2)+(Q142*1.2))</f>
        <v>36655</v>
      </c>
      <c r="S147" s="154" t="s">
        <v>173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58535</v>
      </c>
      <c r="Z147" s="164" t="n">
        <f aca="false">Z141-((Z144*1.2)+(Z145*1.2)+(Z146*1.2)+(Z142*1.2))</f>
        <v>58384.43749</v>
      </c>
      <c r="AB147" s="154" t="s">
        <v>173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58535</v>
      </c>
      <c r="AI147" s="164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9755.83</v>
      </c>
      <c r="I148" s="1" t="n">
        <f aca="false">(H148-G81)/1.2</f>
        <v>-48321.805</v>
      </c>
      <c r="J148" s="154" t="s">
        <v>174</v>
      </c>
      <c r="K148" s="154"/>
      <c r="L148" s="154"/>
      <c r="M148" s="154"/>
      <c r="N148" s="154"/>
      <c r="O148" s="154"/>
      <c r="P148" s="155"/>
      <c r="Q148" s="40" t="n">
        <f aca="false">Q147-P147</f>
        <v>-21880</v>
      </c>
      <c r="S148" s="154" t="s">
        <v>174</v>
      </c>
      <c r="T148" s="154"/>
      <c r="U148" s="154"/>
      <c r="V148" s="154"/>
      <c r="W148" s="154"/>
      <c r="X148" s="154"/>
      <c r="Y148" s="155"/>
      <c r="Z148" s="40" t="n">
        <f aca="false">Z147-Y147</f>
        <v>-150.562510000003</v>
      </c>
      <c r="AB148" s="154" t="s">
        <v>174</v>
      </c>
      <c r="AC148" s="154"/>
      <c r="AD148" s="154"/>
      <c r="AE148" s="154"/>
      <c r="AF148" s="154"/>
      <c r="AG148" s="154"/>
      <c r="AH148" s="155"/>
      <c r="AI148" s="40" t="n">
        <f aca="false">AI147-AH147</f>
        <v>-14066.251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8" t="s">
        <v>175</v>
      </c>
      <c r="K150" s="28"/>
      <c r="L150" s="28"/>
      <c r="M150" s="28"/>
      <c r="N150" s="28"/>
      <c r="O150" s="28"/>
      <c r="P150" s="28"/>
      <c r="Q150" s="28"/>
      <c r="S150" s="28" t="s">
        <v>175</v>
      </c>
      <c r="T150" s="28"/>
      <c r="U150" s="28"/>
      <c r="V150" s="28"/>
      <c r="W150" s="28"/>
      <c r="X150" s="28"/>
      <c r="Y150" s="28"/>
      <c r="Z150" s="28"/>
      <c r="AB150" s="28" t="s">
        <v>175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176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176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176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177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177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177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178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178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178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179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179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179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180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180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180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67741.996</v>
      </c>
      <c r="H158" s="170"/>
      <c r="J158" s="169" t="s">
        <v>181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181</v>
      </c>
      <c r="T158" s="93"/>
      <c r="U158" s="93"/>
      <c r="V158" s="113"/>
      <c r="W158" s="93"/>
      <c r="X158" s="113"/>
      <c r="Y158" s="170" t="n">
        <f aca="false">Z147-Y154-Y157</f>
        <v>59384.43749</v>
      </c>
      <c r="Z158" s="170"/>
      <c r="AB158" s="169" t="s">
        <v>181</v>
      </c>
      <c r="AC158" s="93"/>
      <c r="AD158" s="93"/>
      <c r="AE158" s="113"/>
      <c r="AF158" s="93"/>
      <c r="AG158" s="113"/>
      <c r="AH158" s="170" t="n">
        <f aca="false">AI147-AH154-AH157</f>
        <v>45468.749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8" t="s">
        <v>182</v>
      </c>
      <c r="K162" s="28"/>
      <c r="L162" s="28"/>
      <c r="M162" s="28"/>
      <c r="N162" s="28"/>
      <c r="O162" s="28"/>
      <c r="P162" s="28"/>
      <c r="Q162" s="28"/>
      <c r="S162" s="28" t="s">
        <v>182</v>
      </c>
      <c r="T162" s="28"/>
      <c r="U162" s="28"/>
      <c r="V162" s="28"/>
      <c r="W162" s="28"/>
      <c r="X162" s="28"/>
      <c r="Y162" s="28"/>
      <c r="Z162" s="28"/>
      <c r="AB162" s="28" t="s">
        <v>182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183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183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183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173" t="s">
        <v>184</v>
      </c>
      <c r="K166" s="174" t="s">
        <v>185</v>
      </c>
      <c r="L166" s="174"/>
      <c r="M166" s="174"/>
      <c r="N166" s="174" t="s">
        <v>186</v>
      </c>
      <c r="O166" s="23"/>
      <c r="P166" s="23"/>
      <c r="Q166" s="33"/>
      <c r="S166" s="173" t="s">
        <v>184</v>
      </c>
      <c r="T166" s="174" t="s">
        <v>185</v>
      </c>
      <c r="U166" s="174"/>
      <c r="V166" s="174"/>
      <c r="W166" s="174" t="s">
        <v>186</v>
      </c>
      <c r="X166" s="23"/>
      <c r="Y166" s="23"/>
      <c r="Z166" s="33"/>
      <c r="AB166" s="173" t="s">
        <v>184</v>
      </c>
      <c r="AC166" s="174" t="s">
        <v>185</v>
      </c>
      <c r="AD166" s="174"/>
      <c r="AE166" s="174"/>
      <c r="AF166" s="174" t="s">
        <v>186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2218.46745735591</v>
      </c>
      <c r="B167" s="177" t="str">
        <f aca="false">B94</f>
        <v>0</v>
      </c>
      <c r="C167" s="174"/>
      <c r="D167" s="174"/>
      <c r="E167" s="177" t="n">
        <f aca="false">B96</f>
        <v>2218.46745735591</v>
      </c>
      <c r="F167" s="23"/>
      <c r="G167" s="23" t="n">
        <f aca="false">ROUND(G95, 2)</f>
        <v>2049.54</v>
      </c>
      <c r="H167" s="33"/>
      <c r="J167" s="176" t="n">
        <f aca="false">K95</f>
        <v>1506.2831870777</v>
      </c>
      <c r="K167" s="177" t="n">
        <f aca="false">K94</f>
        <v>0</v>
      </c>
      <c r="L167" s="174"/>
      <c r="M167" s="174"/>
      <c r="N167" s="177" t="n">
        <f aca="false">K96</f>
        <v>1506.2831870777</v>
      </c>
      <c r="O167" s="23"/>
      <c r="P167" s="23"/>
      <c r="Q167" s="33"/>
      <c r="S167" s="176" t="n">
        <f aca="false">T95</f>
        <v>1960.8512366106</v>
      </c>
      <c r="T167" s="177" t="n">
        <f aca="false">T94</f>
        <v>0</v>
      </c>
      <c r="U167" s="174"/>
      <c r="V167" s="174"/>
      <c r="W167" s="177" t="n">
        <f aca="false">T96</f>
        <v>1960.8512366106</v>
      </c>
      <c r="X167" s="23"/>
      <c r="Y167" s="23"/>
      <c r="Z167" s="33"/>
      <c r="AB167" s="176" t="n">
        <f aca="false">AC95</f>
        <v>1468.71713433889</v>
      </c>
      <c r="AC167" s="177" t="n">
        <f aca="false">AC94</f>
        <v>0</v>
      </c>
      <c r="AD167" s="174"/>
      <c r="AE167" s="174"/>
      <c r="AF167" s="177" t="n">
        <f aca="false">AC96</f>
        <v>1468.71713433889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31" t="s">
        <v>83</v>
      </c>
      <c r="K169" s="93" t="s">
        <v>84</v>
      </c>
      <c r="L169" s="93"/>
      <c r="M169" s="23"/>
      <c r="N169" s="93" t="s">
        <v>188</v>
      </c>
      <c r="O169" s="23"/>
      <c r="P169" s="23"/>
      <c r="Q169" s="33"/>
      <c r="S169" s="31" t="s">
        <v>83</v>
      </c>
      <c r="T169" s="93" t="s">
        <v>84</v>
      </c>
      <c r="U169" s="93"/>
      <c r="V169" s="23"/>
      <c r="W169" s="93" t="s">
        <v>188</v>
      </c>
      <c r="X169" s="23"/>
      <c r="Y169" s="23"/>
      <c r="Z169" s="33"/>
      <c r="AB169" s="31" t="s">
        <v>83</v>
      </c>
      <c r="AC169" s="93" t="s">
        <v>84</v>
      </c>
      <c r="AD169" s="93"/>
      <c r="AE169" s="23"/>
      <c r="AF169" s="93" t="s">
        <v>188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5760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5760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5760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5760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31" t="s">
        <v>189</v>
      </c>
      <c r="K172" s="93" t="s">
        <v>190</v>
      </c>
      <c r="L172" s="93"/>
      <c r="M172" s="23"/>
      <c r="N172" s="93" t="s">
        <v>191</v>
      </c>
      <c r="O172" s="23"/>
      <c r="P172" s="23"/>
      <c r="Q172" s="33"/>
      <c r="S172" s="31" t="s">
        <v>189</v>
      </c>
      <c r="T172" s="93" t="s">
        <v>190</v>
      </c>
      <c r="U172" s="93"/>
      <c r="V172" s="23"/>
      <c r="W172" s="93" t="s">
        <v>191</v>
      </c>
      <c r="X172" s="23"/>
      <c r="Y172" s="23"/>
      <c r="Z172" s="33"/>
      <c r="AB172" s="31" t="s">
        <v>189</v>
      </c>
      <c r="AC172" s="93" t="s">
        <v>190</v>
      </c>
      <c r="AD172" s="93"/>
      <c r="AE172" s="23"/>
      <c r="AF172" s="93" t="s">
        <v>191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57993.33</v>
      </c>
      <c r="B173" s="103" t="n">
        <f aca="false">H137</f>
        <v>11598.666</v>
      </c>
      <c r="C173" s="186"/>
      <c r="D173" s="23"/>
      <c r="E173" s="182" t="n">
        <f aca="false">H139+H140</f>
        <v>650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48120.364575</v>
      </c>
      <c r="T173" s="103" t="n">
        <f aca="false">Z137</f>
        <v>9624.072915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31" t="s">
        <v>192</v>
      </c>
      <c r="K175" s="93" t="s">
        <v>138</v>
      </c>
      <c r="L175" s="93"/>
      <c r="M175" s="23"/>
      <c r="N175" s="93" t="s">
        <v>139</v>
      </c>
      <c r="O175" s="23"/>
      <c r="P175" s="23"/>
      <c r="Q175" s="33"/>
      <c r="S175" s="31" t="s">
        <v>192</v>
      </c>
      <c r="T175" s="93" t="s">
        <v>138</v>
      </c>
      <c r="U175" s="93"/>
      <c r="V175" s="23"/>
      <c r="W175" s="93" t="s">
        <v>139</v>
      </c>
      <c r="X175" s="23"/>
      <c r="Y175" s="23"/>
      <c r="Z175" s="33"/>
      <c r="AB175" s="31" t="s">
        <v>192</v>
      </c>
      <c r="AC175" s="93" t="s">
        <v>138</v>
      </c>
      <c r="AD175" s="93"/>
      <c r="AE175" s="23"/>
      <c r="AF175" s="93" t="s">
        <v>139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70241.996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58384.43749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44468.749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31" t="s">
        <v>140</v>
      </c>
      <c r="K178" s="93" t="s">
        <v>176</v>
      </c>
      <c r="L178" s="93"/>
      <c r="M178" s="23"/>
      <c r="N178" s="93" t="s">
        <v>181</v>
      </c>
      <c r="O178" s="23"/>
      <c r="P178" s="23"/>
      <c r="Q178" s="33"/>
      <c r="S178" s="31" t="s">
        <v>140</v>
      </c>
      <c r="T178" s="93" t="s">
        <v>176</v>
      </c>
      <c r="U178" s="93"/>
      <c r="V178" s="23"/>
      <c r="W178" s="93" t="s">
        <v>181</v>
      </c>
      <c r="X178" s="23"/>
      <c r="Y178" s="23"/>
      <c r="Z178" s="33"/>
      <c r="AB178" s="31" t="s">
        <v>140</v>
      </c>
      <c r="AC178" s="93" t="s">
        <v>176</v>
      </c>
      <c r="AD178" s="93"/>
      <c r="AE178" s="23"/>
      <c r="AF178" s="93" t="s">
        <v>181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67741.996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59384.43749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45468.749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31" t="s">
        <v>193</v>
      </c>
      <c r="K181" s="93" t="s">
        <v>53</v>
      </c>
      <c r="L181" s="93"/>
      <c r="M181" s="23"/>
      <c r="N181" s="93" t="s">
        <v>194</v>
      </c>
      <c r="O181" s="23"/>
      <c r="P181" s="23"/>
      <c r="Q181" s="33"/>
      <c r="S181" s="31" t="s">
        <v>193</v>
      </c>
      <c r="T181" s="93" t="s">
        <v>53</v>
      </c>
      <c r="U181" s="93"/>
      <c r="V181" s="23"/>
      <c r="W181" s="93" t="s">
        <v>194</v>
      </c>
      <c r="X181" s="23"/>
      <c r="Y181" s="23"/>
      <c r="Z181" s="33"/>
      <c r="AB181" s="31" t="s">
        <v>193</v>
      </c>
      <c r="AC181" s="93" t="s">
        <v>53</v>
      </c>
      <c r="AD181" s="93"/>
      <c r="AE181" s="23"/>
      <c r="AF181" s="93" t="s">
        <v>194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13445.8975501008</v>
      </c>
      <c r="B182" s="103" t="str">
        <f aca="false">B114</f>
        <v>239.99</v>
      </c>
      <c r="C182" s="103"/>
      <c r="D182" s="23"/>
      <c r="E182" s="103" t="n">
        <f aca="false">E179+A182+B182+A185</f>
        <v>81437.8835501008</v>
      </c>
      <c r="F182" s="23"/>
      <c r="G182" s="23"/>
      <c r="H182" s="105"/>
      <c r="J182" s="111" t="n">
        <f aca="false">(J167*K59)+N185-N179-J185</f>
        <v>19318.6283606416</v>
      </c>
      <c r="K182" s="103" t="n">
        <f aca="false">K114</f>
        <v>239.99</v>
      </c>
      <c r="L182" s="103"/>
      <c r="M182" s="23"/>
      <c r="N182" s="103" t="n">
        <f aca="false">N179+J182+K182+J185</f>
        <v>57233.6183606416</v>
      </c>
      <c r="O182" s="23"/>
      <c r="P182" s="23"/>
      <c r="Q182" s="105"/>
      <c r="S182" s="111" t="n">
        <f aca="false">(S167*T59)+W185-W179-S185</f>
        <v>13044.5045547605</v>
      </c>
      <c r="T182" s="103" t="n">
        <f aca="false">T114</f>
        <v>199.99</v>
      </c>
      <c r="U182" s="103"/>
      <c r="V182" s="23"/>
      <c r="W182" s="103" t="n">
        <f aca="false">W179+S182+T182+S185</f>
        <v>72638.9320447605</v>
      </c>
      <c r="X182" s="23"/>
      <c r="Y182" s="23"/>
      <c r="Z182" s="105"/>
      <c r="AB182" s="111" t="n">
        <f aca="false">(AB167*AC59)+AF185-AF179-AB185</f>
        <v>10227.6335675223</v>
      </c>
      <c r="AC182" s="103" t="n">
        <f aca="false">AC114</f>
        <v>239.99</v>
      </c>
      <c r="AD182" s="103"/>
      <c r="AE182" s="23"/>
      <c r="AF182" s="103" t="n">
        <f aca="false">AF179+AB182+AC182+AB185</f>
        <v>55946.3725675223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31" t="s">
        <v>195</v>
      </c>
      <c r="K184" s="93" t="s">
        <v>196</v>
      </c>
      <c r="L184" s="93"/>
      <c r="M184" s="23"/>
      <c r="N184" s="93" t="s">
        <v>197</v>
      </c>
      <c r="O184" s="23"/>
      <c r="P184" s="23"/>
      <c r="Q184" s="33"/>
      <c r="S184" s="31" t="s">
        <v>195</v>
      </c>
      <c r="T184" s="93" t="s">
        <v>196</v>
      </c>
      <c r="U184" s="93"/>
      <c r="V184" s="23"/>
      <c r="W184" s="93" t="s">
        <v>197</v>
      </c>
      <c r="X184" s="23"/>
      <c r="Y184" s="23"/>
      <c r="Z184" s="33"/>
      <c r="AB184" s="31" t="s">
        <v>195</v>
      </c>
      <c r="AC184" s="93" t="s">
        <v>196</v>
      </c>
      <c r="AD184" s="93"/>
      <c r="AE184" s="23"/>
      <c r="AF184" s="93" t="s">
        <v>197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(IF(E170=0,E167+A185 ,E170+A185))</f>
        <v>5770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5780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5770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5770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31" t="s">
        <v>198</v>
      </c>
      <c r="K187" s="93" t="s">
        <v>199</v>
      </c>
      <c r="L187" s="93"/>
      <c r="M187" s="93"/>
      <c r="N187" s="166" t="s">
        <v>200</v>
      </c>
      <c r="O187" s="23"/>
      <c r="P187" s="23"/>
      <c r="Q187" s="33"/>
      <c r="S187" s="31" t="s">
        <v>198</v>
      </c>
      <c r="T187" s="93" t="s">
        <v>199</v>
      </c>
      <c r="U187" s="93"/>
      <c r="V187" s="93"/>
      <c r="W187" s="166" t="s">
        <v>200</v>
      </c>
      <c r="X187" s="32"/>
      <c r="Y187" s="32"/>
      <c r="Z187" s="33"/>
      <c r="AB187" s="31" t="s">
        <v>198</v>
      </c>
      <c r="AC187" s="93" t="s">
        <v>199</v>
      </c>
      <c r="AD187" s="93"/>
      <c r="AE187" s="93"/>
      <c r="AF187" s="166" t="s">
        <v>200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0</v>
      </c>
      <c r="B188" s="103" t="n">
        <f aca="false">B68</f>
        <v>552.755870138889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0.11707</v>
      </c>
      <c r="K188" s="103" t="n">
        <f aca="false">(P158*K67)/1.2</f>
        <v>2320.75086805556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484.560514241319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371.012361631944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60" t="s">
        <v>201</v>
      </c>
      <c r="K190" s="166" t="s">
        <v>202</v>
      </c>
      <c r="L190" s="93"/>
      <c r="M190" s="93"/>
      <c r="N190" s="166" t="s">
        <v>203</v>
      </c>
      <c r="O190" s="23"/>
      <c r="P190" s="23"/>
      <c r="Q190" s="33"/>
      <c r="S190" s="60" t="s">
        <v>201</v>
      </c>
      <c r="T190" s="166" t="s">
        <v>202</v>
      </c>
      <c r="U190" s="93"/>
      <c r="V190" s="93"/>
      <c r="W190" s="166" t="s">
        <v>203</v>
      </c>
      <c r="X190" s="32"/>
      <c r="Y190" s="32"/>
      <c r="Z190" s="33"/>
      <c r="AB190" s="60" t="s">
        <v>201</v>
      </c>
      <c r="AC190" s="166" t="s">
        <v>202</v>
      </c>
      <c r="AD190" s="93"/>
      <c r="AE190" s="93"/>
      <c r="AF190" s="166" t="s">
        <v>203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652.747536805556</v>
      </c>
      <c r="C191" s="93"/>
      <c r="D191" s="93"/>
      <c r="E191" s="103" t="n">
        <f aca="false">H148</f>
        <v>9755.83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3460.74086805556</v>
      </c>
      <c r="L191" s="93"/>
      <c r="M191" s="93"/>
      <c r="N191" s="103" t="n">
        <f aca="false">Q148</f>
        <v>-21880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1584.55051424132</v>
      </c>
      <c r="U191" s="93"/>
      <c r="V191" s="93"/>
      <c r="W191" s="103" t="n">
        <f aca="false">Z148</f>
        <v>-150.562510000003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1511.00236163194</v>
      </c>
      <c r="AD191" s="93"/>
      <c r="AE191" s="93"/>
      <c r="AF191" s="103" t="n">
        <f aca="false">AI148</f>
        <v>-14066.251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66" t="s">
        <v>204</v>
      </c>
      <c r="K193" s="93"/>
      <c r="L193" s="93"/>
      <c r="M193" s="67"/>
      <c r="N193" s="67"/>
      <c r="O193" s="67"/>
      <c r="P193" s="67"/>
      <c r="Q193" s="68"/>
      <c r="S193" s="66" t="s">
        <v>204</v>
      </c>
      <c r="T193" s="93"/>
      <c r="U193" s="93"/>
      <c r="V193" s="67"/>
      <c r="W193" s="67"/>
      <c r="X193" s="67"/>
      <c r="Y193" s="67"/>
      <c r="Z193" s="68"/>
      <c r="AB193" s="66" t="s">
        <v>204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187" t="s">
        <v>83</v>
      </c>
      <c r="K195" s="71" t="s">
        <v>84</v>
      </c>
      <c r="L195" s="71"/>
      <c r="M195" s="71"/>
      <c r="N195" s="23"/>
      <c r="O195" s="23"/>
      <c r="P195" s="23"/>
      <c r="Q195" s="33"/>
      <c r="S195" s="187" t="s">
        <v>83</v>
      </c>
      <c r="T195" s="71" t="s">
        <v>84</v>
      </c>
      <c r="U195" s="71"/>
      <c r="V195" s="71"/>
      <c r="W195" s="23"/>
      <c r="X195" s="23"/>
      <c r="Y195" s="23"/>
      <c r="Z195" s="33"/>
      <c r="AB195" s="187" t="s">
        <v>83</v>
      </c>
      <c r="AC195" s="71" t="s">
        <v>84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2218.46745735591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1506.2831870777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1960.8512366106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1468.71713433889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7702.364</v>
      </c>
      <c r="B201" s="186" t="n">
        <f aca="false">E179+A201+B182+A185</f>
        <v>75694.35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2218.46745735591</v>
      </c>
      <c r="B212" s="177" t="str">
        <f aca="false">B167</f>
        <v>0</v>
      </c>
      <c r="C212" s="174"/>
      <c r="D212" s="174"/>
      <c r="E212" s="177" t="n">
        <f aca="false">E167</f>
        <v>2218.46745735591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57993.33</v>
      </c>
      <c r="B215" s="103" t="n">
        <f aca="false">B173</f>
        <v>11598.666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70241.996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67741.996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13445.8975501008</v>
      </c>
      <c r="B224" s="103" t="str">
        <f aca="false">B182</f>
        <v>239.99</v>
      </c>
      <c r="C224" s="103"/>
      <c r="D224" s="113"/>
      <c r="E224" s="103" t="n">
        <f aca="false">E182</f>
        <v>81437.8835501008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2218.46745735591</v>
      </c>
      <c r="B230" s="103" t="str">
        <f aca="false">B167</f>
        <v>0</v>
      </c>
      <c r="C230" s="186"/>
      <c r="D230" s="186"/>
      <c r="E230" s="103" t="n">
        <f aca="false">E167</f>
        <v>2218.46745735591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188</v>
      </c>
      <c r="B232" s="93" t="s">
        <v>210</v>
      </c>
      <c r="C232" s="93"/>
      <c r="D232" s="93"/>
      <c r="E232" s="93" t="s">
        <v>211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5760</v>
      </c>
      <c r="B233" s="103" t="n">
        <f aca="false">E185</f>
        <v>5770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132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9755.83</v>
      </c>
      <c r="B240" s="103" t="n">
        <f aca="false">B68</f>
        <v>552.755870138889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10408.5775368056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K35</f>
        <v>0.07</v>
      </c>
      <c r="C253" s="197"/>
      <c r="D253" s="198" t="s">
        <v>216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5753.53355010082</v>
      </c>
      <c r="C254" s="197"/>
      <c r="D254" s="198" t="s">
        <v>218</v>
      </c>
      <c r="E254" s="198"/>
      <c r="F254" s="200" t="n">
        <f aca="false">F261+F267+F269+B270+B271</f>
        <v>663.307044166667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99.9916666666667</v>
      </c>
      <c r="C255" s="197"/>
      <c r="D255" s="198" t="s">
        <v>220</v>
      </c>
      <c r="E255" s="198"/>
      <c r="F255" s="200" t="n">
        <f aca="false">(B254-F254)+B255</f>
        <v>5190.21817260082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0.12</v>
      </c>
      <c r="C260" s="43"/>
      <c r="D260" s="166" t="s">
        <v>217</v>
      </c>
      <c r="E260" s="166"/>
      <c r="F260" s="146" t="n">
        <f aca="false">B254</f>
        <v>5753.53355010082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0.00979166666666667</v>
      </c>
      <c r="C261" s="32"/>
      <c r="D261" s="166" t="s">
        <v>223</v>
      </c>
      <c r="E261" s="166"/>
      <c r="F261" s="151" t="n">
        <f aca="false">B68*1.2</f>
        <v>663.307044166667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99.9916666666667</v>
      </c>
      <c r="C263" s="32"/>
      <c r="D263" s="39" t="s">
        <v>220</v>
      </c>
      <c r="E263" s="39"/>
      <c r="F263" s="146" t="n">
        <f aca="false">(B254-F254)+B255</f>
        <v>5190.21817260082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145</v>
      </c>
      <c r="C2" s="439"/>
      <c r="D2" s="439" t="s">
        <v>146</v>
      </c>
      <c r="E2" s="439"/>
      <c r="F2" s="439" t="s">
        <v>147</v>
      </c>
      <c r="G2" s="439"/>
      <c r="H2" s="440" t="s">
        <v>148</v>
      </c>
      <c r="I2" s="2"/>
      <c r="J2" s="2"/>
    </row>
    <row r="3" customFormat="false" ht="17.35" hidden="false" customHeight="false" outlineLevel="0" collapsed="false">
      <c r="A3" s="31" t="s">
        <v>151</v>
      </c>
      <c r="B3" s="441" t="n">
        <v>17895.0</v>
      </c>
      <c r="C3" s="441" t="n">
        <v>0</v>
      </c>
      <c r="D3" s="441" t="n">
        <v>0.0</v>
      </c>
      <c r="E3" s="441"/>
      <c r="F3" s="441" t="n">
        <v>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152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153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154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155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163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164</v>
      </c>
      <c r="B10" s="154"/>
      <c r="C10" s="154"/>
      <c r="D10" s="154"/>
      <c r="E10" s="154" t="n">
        <v>550</v>
      </c>
      <c r="F10" s="154"/>
      <c r="G10" s="155"/>
      <c r="H10" s="442" t="n">
        <v>695.0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165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166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167</v>
      </c>
      <c r="B13" s="154"/>
      <c r="C13" s="154"/>
      <c r="D13" s="154"/>
      <c r="E13" s="154" t="n">
        <v>555</v>
      </c>
      <c r="F13" s="154"/>
      <c r="G13" s="155"/>
      <c r="H13" s="442" t="n">
        <v>290.0</v>
      </c>
      <c r="I13" s="2"/>
      <c r="J13" s="2"/>
    </row>
    <row r="14" customFormat="false" ht="17.35" hidden="false" customHeight="false" outlineLevel="0" collapsed="false">
      <c r="A14" s="154" t="s">
        <v>168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169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170</v>
      </c>
      <c r="B16" s="154"/>
      <c r="C16" s="154"/>
      <c r="D16" s="154"/>
      <c r="E16" s="154" t="n">
        <v>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171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172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172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172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173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35" hidden="false" customHeight="false" outlineLevel="0" collapsed="false">
      <c r="A26" s="36" t="s">
        <v>128</v>
      </c>
      <c r="B26" s="40" t="s">
        <v>388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126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35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35" hidden="false" customHeight="false" outlineLevel="0" collapsed="false">
      <c r="A30" s="31" t="s">
        <v>183</v>
      </c>
      <c r="B30" s="104" t="s">
        <v>391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35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1494.0</v>
      </c>
      <c r="P31" s="212"/>
    </row>
    <row r="32" customFormat="false" ht="33.25" hidden="false" customHeight="false" outlineLevel="0" collapsed="false">
      <c r="A32" s="31" t="s">
        <v>83</v>
      </c>
      <c r="B32" s="93" t="s">
        <v>84</v>
      </c>
      <c r="C32" s="93"/>
      <c r="D32" s="93"/>
      <c r="E32" s="93" t="s">
        <v>354</v>
      </c>
      <c r="F32" s="93"/>
      <c r="G32" s="93"/>
      <c r="H32" s="33"/>
      <c r="I32" s="2" t="n">
        <v>0</v>
      </c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1464.27158968934</v>
      </c>
      <c r="F33" s="232"/>
      <c r="G33" s="232"/>
      <c r="H33" s="47"/>
      <c r="I33" s="2"/>
      <c r="J33" s="34" t="s">
        <v>355</v>
      </c>
      <c r="K33" s="48" t="n">
        <f aca="false">H21-H11+(H16*20%)</f>
        <v>48887.5</v>
      </c>
      <c r="L33" s="1" t="n">
        <f aca="false">H21-H11+(H16*20%)</f>
        <v>48887.5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0.109</v>
      </c>
      <c r="P35" s="212"/>
    </row>
    <row r="36" customFormat="false" ht="17.35" hidden="false" customHeight="false" outlineLevel="0" collapsed="false">
      <c r="A36" s="185" t="n">
        <f aca="false">K47</f>
        <v>1383.88158968934</v>
      </c>
      <c r="B36" s="232" t="n">
        <f aca="false">IF(B26="YES", K42, "0.00")</f>
        <v>80.39</v>
      </c>
      <c r="C36" s="232"/>
      <c r="D36" s="232"/>
      <c r="E36" s="232" t="n">
        <f aca="false">K31</f>
        <v>7680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85</v>
      </c>
      <c r="K39" s="2" t="n">
        <f aca="false">K33</f>
        <v>48887.5</v>
      </c>
      <c r="L39" s="2" t="n">
        <f aca="false">(L47*K46)+K44</f>
        <v>27912.868482669</v>
      </c>
      <c r="N39" s="1" t="n">
        <f aca="false">K39-L39</f>
        <v>20974.631517331</v>
      </c>
      <c r="P39" s="212"/>
    </row>
    <row r="40" customFormat="false" ht="17.35" hidden="false" customHeight="false" outlineLevel="0" collapsed="false">
      <c r="A40" s="313" t="n">
        <f aca="false">E36*A45/100</f>
        <v>7125.0</v>
      </c>
      <c r="B40" s="107" t="n">
        <f aca="false">IF(B26="YES", K42, "0.00")</f>
        <v>80.39</v>
      </c>
      <c r="C40" s="107"/>
      <c r="D40" s="107"/>
      <c r="E40" s="182" t="n">
        <f aca="false">K32</f>
        <v>2813.65</v>
      </c>
      <c r="F40" s="186"/>
      <c r="G40" s="186"/>
      <c r="H40" s="47"/>
      <c r="J40" s="2" t="s">
        <v>107</v>
      </c>
      <c r="K40" s="2" t="n">
        <f aca="false">(A40)/1.2</f>
        <v>6400</v>
      </c>
      <c r="L40" s="2" t="n">
        <f aca="false">K39-L39</f>
        <v>20974.631517331</v>
      </c>
      <c r="N40" s="1" t="n">
        <f aca="false">N38-N39</f>
        <v>-18062.951517331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(K32/K36/100)*C45</f>
        <v>80.39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77</v>
      </c>
      <c r="B44" s="93"/>
      <c r="C44" s="291" t="s">
        <v>78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5190.90532713903</v>
      </c>
      <c r="L44" s="2"/>
      <c r="P44" s="212"/>
    </row>
    <row r="45" customFormat="false" ht="17.35" hidden="false" customHeight="false" outlineLevel="0" collapsed="false">
      <c r="A45" s="507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366</v>
      </c>
      <c r="K45" s="2" t="n">
        <f aca="false">(K39-K44)</f>
        <v>43696.594672861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31.5753854942677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1383.88158968934</v>
      </c>
      <c r="L47" s="2" t="n">
        <f aca="false">L49-K42</f>
        <v>719.61</v>
      </c>
      <c r="M47" s="1" t="n">
        <f aca="false">K47-L47</f>
        <v>664.271589689341</v>
      </c>
      <c r="P47" s="212"/>
    </row>
    <row r="48" customFormat="false" ht="31.8" hidden="false" customHeight="false" outlineLevel="0" collapsed="false">
      <c r="A48" s="66" t="s">
        <v>82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1464.27158968934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83</v>
      </c>
      <c r="B50" s="71" t="s">
        <v>84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1464.27158968934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85</v>
      </c>
      <c r="B58" s="93" t="n">
        <v>1</v>
      </c>
      <c r="C58" s="93"/>
      <c r="D58" s="93"/>
      <c r="E58" s="113"/>
      <c r="F58" s="113"/>
      <c r="G58" s="113"/>
      <c r="H58" s="33"/>
      <c r="J58" s="31" t="s">
        <v>85</v>
      </c>
      <c r="K58" s="93" t="n">
        <v>1</v>
      </c>
      <c r="L58" s="93"/>
      <c r="M58" s="93"/>
      <c r="N58" s="113"/>
      <c r="O58" s="113"/>
      <c r="P58" s="113"/>
      <c r="Q58" s="33"/>
      <c r="S58" s="31" t="s">
        <v>85</v>
      </c>
      <c r="T58" s="93" t="n">
        <v>1</v>
      </c>
      <c r="U58" s="93"/>
      <c r="V58" s="93"/>
      <c r="W58" s="113"/>
      <c r="X58" s="113"/>
      <c r="Y58" s="113"/>
      <c r="Z58" s="33"/>
      <c r="AB58" s="31" t="s">
        <v>85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86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86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86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86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87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87</v>
      </c>
      <c r="K60" s="77" t="n">
        <v>20</v>
      </c>
      <c r="L60" s="93"/>
      <c r="M60" s="93"/>
      <c r="N60" s="113"/>
      <c r="O60" s="113"/>
      <c r="P60" s="113"/>
      <c r="Q60" s="33"/>
      <c r="S60" s="76" t="s">
        <v>87</v>
      </c>
      <c r="T60" s="77" t="n">
        <v>10</v>
      </c>
      <c r="U60" s="93"/>
      <c r="V60" s="93"/>
      <c r="W60" s="113"/>
      <c r="X60" s="113"/>
      <c r="Y60" s="113"/>
      <c r="Z60" s="33"/>
      <c r="AB60" s="76" t="s">
        <v>87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88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88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88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88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89</v>
      </c>
      <c r="B63" s="257" t="n">
        <v>0.109</v>
      </c>
      <c r="C63" s="93"/>
      <c r="D63" s="93"/>
      <c r="E63" s="113"/>
      <c r="F63" s="113"/>
      <c r="G63" s="113"/>
      <c r="H63" s="33"/>
      <c r="J63" s="80" t="s">
        <v>89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89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89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90</v>
      </c>
      <c r="B64" s="258" t="n">
        <v>0.0725</v>
      </c>
      <c r="C64" s="93"/>
      <c r="D64" s="93"/>
      <c r="E64" s="113"/>
      <c r="F64" s="113"/>
      <c r="G64" s="113"/>
      <c r="H64" s="33"/>
      <c r="J64" s="82" t="s">
        <v>90</v>
      </c>
      <c r="K64" s="258" t="n">
        <v>0.1</v>
      </c>
      <c r="L64" s="93"/>
      <c r="M64" s="93"/>
      <c r="N64" s="113"/>
      <c r="O64" s="113"/>
      <c r="P64" s="113"/>
      <c r="Q64" s="33"/>
      <c r="S64" s="82" t="s">
        <v>90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90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91</v>
      </c>
      <c r="B65" s="65" t="n">
        <f aca="false">(B89*B59)-(K47*K29)</f>
        <v>27281.8340265515</v>
      </c>
      <c r="C65" s="93"/>
      <c r="D65" s="93"/>
      <c r="E65" s="113"/>
      <c r="F65" s="113"/>
      <c r="G65" s="113"/>
      <c r="H65" s="33"/>
      <c r="J65" s="56" t="s">
        <v>91</v>
      </c>
      <c r="K65" s="65" t="n">
        <f aca="false">(K89*K59)-(K47*K29)</f>
        <v>2777.7727215147</v>
      </c>
      <c r="L65" s="93"/>
      <c r="M65" s="93"/>
      <c r="N65" s="113"/>
      <c r="O65" s="113"/>
      <c r="P65" s="113"/>
      <c r="Q65" s="33"/>
      <c r="S65" s="56" t="s">
        <v>91</v>
      </c>
      <c r="T65" s="65" t="n">
        <f aca="false">(T89*T59)-(K47*K29)</f>
        <v>16654.3071039274</v>
      </c>
      <c r="U65" s="93"/>
      <c r="V65" s="93"/>
      <c r="W65" s="113"/>
      <c r="X65" s="113"/>
      <c r="Y65" s="113"/>
      <c r="Z65" s="33"/>
      <c r="AB65" s="56" t="s">
        <v>91</v>
      </c>
      <c r="AC65" s="65" t="n">
        <f aca="false">(AC89*AC59)-(K47*K29)</f>
        <v>-78.2523733108101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92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92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92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93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93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93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93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94</v>
      </c>
      <c r="B68" s="65" t="n">
        <f aca="false">(G158*B67)/1.2</f>
        <v>565.811425694445</v>
      </c>
      <c r="C68" s="93"/>
      <c r="D68" s="93"/>
      <c r="E68" s="113"/>
      <c r="F68" s="113"/>
      <c r="G68" s="113"/>
      <c r="H68" s="33"/>
      <c r="J68" s="56" t="s">
        <v>94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94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94</v>
      </c>
      <c r="AC68" s="65" t="n">
        <f aca="false">AH158*AC67</f>
        <v>445.214833958333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95</v>
      </c>
      <c r="B69" s="256" t="n">
        <v>0</v>
      </c>
      <c r="C69" s="93"/>
      <c r="D69" s="93"/>
      <c r="E69" s="113"/>
      <c r="F69" s="113"/>
      <c r="G69" s="113"/>
      <c r="H69" s="33"/>
      <c r="J69" s="78" t="s">
        <v>95</v>
      </c>
      <c r="K69" s="256" t="n">
        <v>0</v>
      </c>
      <c r="L69" s="93"/>
      <c r="M69" s="93"/>
      <c r="N69" s="113"/>
      <c r="O69" s="113"/>
      <c r="P69" s="113"/>
      <c r="Q69" s="33"/>
      <c r="S69" s="78" t="s">
        <v>95</v>
      </c>
      <c r="T69" s="256" t="n">
        <v>0</v>
      </c>
      <c r="U69" s="93"/>
      <c r="V69" s="93"/>
      <c r="W69" s="113"/>
      <c r="X69" s="113"/>
      <c r="Y69" s="113"/>
      <c r="Z69" s="33"/>
      <c r="AB69" s="78" t="s">
        <v>95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96</v>
      </c>
      <c r="B70" s="257" t="n">
        <v>0</v>
      </c>
      <c r="C70" s="93"/>
      <c r="D70" s="93"/>
      <c r="E70" s="113"/>
      <c r="F70" s="113"/>
      <c r="G70" s="113"/>
      <c r="H70" s="33"/>
      <c r="J70" s="80" t="s">
        <v>96</v>
      </c>
      <c r="K70" s="257" t="n">
        <v>0</v>
      </c>
      <c r="L70" s="93"/>
      <c r="M70" s="93"/>
      <c r="N70" s="113"/>
      <c r="O70" s="113"/>
      <c r="P70" s="113"/>
      <c r="Q70" s="33"/>
      <c r="S70" s="80" t="s">
        <v>96</v>
      </c>
      <c r="T70" s="257" t="n">
        <v>0</v>
      </c>
      <c r="U70" s="93"/>
      <c r="V70" s="93"/>
      <c r="W70" s="113"/>
      <c r="X70" s="113"/>
      <c r="Y70" s="113"/>
      <c r="Z70" s="33"/>
      <c r="AB70" s="80" t="s">
        <v>96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97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97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97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98</v>
      </c>
      <c r="B72" s="86" t="n">
        <v>0</v>
      </c>
      <c r="C72" s="93"/>
      <c r="D72" s="93"/>
      <c r="E72" s="113"/>
      <c r="F72" s="113"/>
      <c r="G72" s="113"/>
      <c r="H72" s="33"/>
      <c r="J72" s="78" t="s">
        <v>98</v>
      </c>
      <c r="K72" s="86" t="n">
        <v>0</v>
      </c>
      <c r="L72" s="93"/>
      <c r="M72" s="93"/>
      <c r="N72" s="113"/>
      <c r="O72" s="113"/>
      <c r="P72" s="113"/>
      <c r="Q72" s="33"/>
      <c r="S72" s="78" t="s">
        <v>98</v>
      </c>
      <c r="T72" s="86" t="n">
        <v>0</v>
      </c>
      <c r="U72" s="93"/>
      <c r="V72" s="93"/>
      <c r="W72" s="113"/>
      <c r="X72" s="113"/>
      <c r="Y72" s="113"/>
      <c r="Z72" s="33"/>
      <c r="AB72" s="78" t="s">
        <v>98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99</v>
      </c>
      <c r="B73" s="77" t="n">
        <v>0.05</v>
      </c>
      <c r="C73" s="93"/>
      <c r="D73" s="93"/>
      <c r="E73" s="113"/>
      <c r="F73" s="113"/>
      <c r="G73" s="113"/>
      <c r="H73" s="33"/>
      <c r="J73" s="80" t="s">
        <v>99</v>
      </c>
      <c r="K73" s="77" t="n">
        <v>0</v>
      </c>
      <c r="L73" s="93"/>
      <c r="M73" s="93"/>
      <c r="N73" s="113"/>
      <c r="O73" s="113"/>
      <c r="P73" s="113"/>
      <c r="Q73" s="33"/>
      <c r="S73" s="80" t="s">
        <v>99</v>
      </c>
      <c r="T73" s="77" t="n">
        <v>0</v>
      </c>
      <c r="U73" s="93"/>
      <c r="V73" s="93"/>
      <c r="W73" s="113"/>
      <c r="X73" s="113"/>
      <c r="Y73" s="113"/>
      <c r="Z73" s="33"/>
      <c r="AB73" s="80" t="s">
        <v>99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100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100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100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100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101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101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101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101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102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102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102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102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103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103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103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104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104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104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104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105</v>
      </c>
      <c r="B79" s="59" t="n">
        <f aca="false">K47</f>
        <v>1383.88158968934</v>
      </c>
      <c r="C79" s="93"/>
      <c r="D79" s="93"/>
      <c r="E79" s="113"/>
      <c r="F79" s="113"/>
      <c r="G79" s="113"/>
      <c r="H79" s="33"/>
      <c r="J79" s="90" t="s">
        <v>105</v>
      </c>
      <c r="K79" s="59" t="n">
        <f aca="false">K47</f>
        <v>1383.88158968934</v>
      </c>
      <c r="L79" s="93"/>
      <c r="M79" s="93"/>
      <c r="N79" s="113"/>
      <c r="O79" s="113"/>
      <c r="P79" s="113"/>
      <c r="Q79" s="33"/>
      <c r="S79" s="90" t="s">
        <v>105</v>
      </c>
      <c r="T79" s="59" t="n">
        <f aca="false">B52</f>
        <v>1464.27158968934</v>
      </c>
      <c r="U79" s="93"/>
      <c r="V79" s="93"/>
      <c r="W79" s="113"/>
      <c r="X79" s="113"/>
      <c r="Y79" s="113"/>
      <c r="Z79" s="33"/>
      <c r="AB79" s="90" t="s">
        <v>105</v>
      </c>
      <c r="AC79" s="59" t="n">
        <f aca="false">B52</f>
        <v>1464.27158968934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106</v>
      </c>
      <c r="B81" s="27" t="n">
        <f aca="false">G158</f>
        <v>69341.996</v>
      </c>
      <c r="C81" s="93"/>
      <c r="D81" s="93"/>
      <c r="E81" s="113"/>
      <c r="F81" s="25" t="s">
        <v>106</v>
      </c>
      <c r="G81" s="27" t="n">
        <f aca="false">G158</f>
        <v>69341.996</v>
      </c>
      <c r="H81" s="33"/>
      <c r="J81" s="25" t="s">
        <v>106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106</v>
      </c>
      <c r="T81" s="27" t="n">
        <f aca="false">Y158</f>
        <v>59384.43749</v>
      </c>
      <c r="U81" s="93"/>
      <c r="V81" s="93"/>
      <c r="W81" s="113"/>
      <c r="X81" s="113"/>
      <c r="Y81" s="113"/>
      <c r="Z81" s="33"/>
      <c r="AB81" s="25" t="s">
        <v>106</v>
      </c>
      <c r="AC81" s="27" t="n">
        <f aca="false">AH158</f>
        <v>45468.749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107</v>
      </c>
      <c r="B82" s="33" t="n">
        <f aca="false">IF(A111="YES",A40,0)</f>
        <v>7680</v>
      </c>
      <c r="C82" s="93"/>
      <c r="D82" s="93"/>
      <c r="E82" s="113"/>
      <c r="F82" s="31" t="s">
        <v>107</v>
      </c>
      <c r="G82" s="33" t="n">
        <f aca="false">IF(A111="YES",A40,0)</f>
        <v>7680</v>
      </c>
      <c r="H82" s="33"/>
      <c r="J82" s="31" t="s">
        <v>107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107</v>
      </c>
      <c r="T82" s="33" t="n">
        <f aca="false">A40</f>
        <v>7680</v>
      </c>
      <c r="U82" s="93"/>
      <c r="V82" s="93"/>
      <c r="W82" s="113"/>
      <c r="X82" s="113"/>
      <c r="Y82" s="113"/>
      <c r="Z82" s="33"/>
      <c r="AB82" s="31" t="s">
        <v>107</v>
      </c>
      <c r="AC82" s="33" t="n">
        <f aca="false">A40</f>
        <v>7680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108</v>
      </c>
      <c r="B83" s="92" t="n">
        <f aca="false">B62+B63+B64</f>
        <v>0.12</v>
      </c>
      <c r="C83" s="93"/>
      <c r="D83" s="93"/>
      <c r="E83" s="113"/>
      <c r="F83" s="31" t="s">
        <v>108</v>
      </c>
      <c r="G83" s="91" t="n">
        <f aca="false">B63</f>
        <v>0.07</v>
      </c>
      <c r="H83" s="33"/>
      <c r="J83" s="31" t="s">
        <v>108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108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108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109</v>
      </c>
      <c r="B84" s="92" t="n">
        <f aca="false">B83/12</f>
        <v>0.01</v>
      </c>
      <c r="C84" s="93"/>
      <c r="D84" s="93"/>
      <c r="E84" s="113"/>
      <c r="F84" s="31" t="s">
        <v>109</v>
      </c>
      <c r="G84" s="92" t="n">
        <f aca="false">G83/12</f>
        <v>0.00583333333333333</v>
      </c>
      <c r="H84" s="33"/>
      <c r="J84" s="31" t="s">
        <v>109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109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109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34</v>
      </c>
      <c r="C85" s="93"/>
      <c r="D85" s="93"/>
      <c r="E85" s="113"/>
      <c r="F85" s="31" t="s">
        <v>110</v>
      </c>
      <c r="G85" s="33" t="n">
        <f aca="false">IF(G82=0, (B59+B58), (B59))</f>
        <v>34</v>
      </c>
      <c r="H85" s="33"/>
      <c r="J85" s="31" t="s">
        <v>110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110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110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5421.42104926872</v>
      </c>
      <c r="C86" s="93"/>
      <c r="D86" s="93"/>
      <c r="E86" s="113"/>
      <c r="F86" s="31" t="s">
        <v>111</v>
      </c>
      <c r="G86" s="33" t="n">
        <f aca="false">(G82/((1+G84)^(G85+1)))</f>
        <v>6265.42272985681</v>
      </c>
      <c r="H86" s="33"/>
      <c r="J86" s="31" t="s">
        <v>111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111</v>
      </c>
      <c r="T86" s="33" t="n">
        <f aca="false">(T82/((1+T84)^(T85+1)))</f>
        <v>5251.988134126</v>
      </c>
      <c r="U86" s="93"/>
      <c r="V86" s="93"/>
      <c r="W86" s="113"/>
      <c r="X86" s="113"/>
      <c r="Y86" s="113"/>
      <c r="Z86" s="33"/>
      <c r="AB86" s="31" t="s">
        <v>111</v>
      </c>
      <c r="AC86" s="33" t="n">
        <f aca="false">(AC82/((1+AC84)^(AC85+1)))</f>
        <v>5251.988134126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28.7026658885233</v>
      </c>
      <c r="C87" s="93"/>
      <c r="D87" s="93"/>
      <c r="E87" s="113"/>
      <c r="F87" s="31" t="s">
        <v>112</v>
      </c>
      <c r="G87" s="33" t="n">
        <f aca="false">((1-(1/((1+G84)^G85)))/G84)</f>
        <v>30.7595752429843</v>
      </c>
      <c r="H87" s="33"/>
      <c r="J87" s="31" t="s">
        <v>112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112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112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113</v>
      </c>
      <c r="B88" s="33" t="n">
        <f aca="false">B81-B86</f>
        <v>63920.5749507313</v>
      </c>
      <c r="C88" s="93"/>
      <c r="D88" s="93"/>
      <c r="E88" s="113"/>
      <c r="F88" s="31" t="s">
        <v>113</v>
      </c>
      <c r="G88" s="33" t="n">
        <f aca="false">G81-G86</f>
        <v>63076.5732701432</v>
      </c>
      <c r="H88" s="33"/>
      <c r="J88" s="31" t="s">
        <v>113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113</v>
      </c>
      <c r="T88" s="33" t="n">
        <f aca="false">T81-T86</f>
        <v>54132.449355874</v>
      </c>
      <c r="U88" s="93"/>
      <c r="V88" s="93"/>
      <c r="W88" s="113"/>
      <c r="X88" s="113"/>
      <c r="Y88" s="113"/>
      <c r="Z88" s="33"/>
      <c r="AB88" s="31" t="s">
        <v>113</v>
      </c>
      <c r="AC88" s="33" t="n">
        <f aca="false">AC81-AC86</f>
        <v>40216.760865874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114</v>
      </c>
      <c r="B89" s="33" t="n">
        <f aca="false">(B88/B87)</f>
        <v>2226.99087251995</v>
      </c>
      <c r="C89" s="93"/>
      <c r="D89" s="93"/>
      <c r="E89" s="113"/>
      <c r="F89" s="31" t="s">
        <v>114</v>
      </c>
      <c r="G89" s="33" t="n">
        <f aca="false">(G88/G87)</f>
        <v>2050.63212908084</v>
      </c>
      <c r="H89" s="33"/>
      <c r="J89" s="31" t="s">
        <v>114</v>
      </c>
      <c r="K89" s="33" t="n">
        <f aca="false">(K88/K87)</f>
        <v>1506.2831870777</v>
      </c>
      <c r="L89" s="93"/>
      <c r="M89" s="93"/>
      <c r="N89" s="113"/>
      <c r="O89" s="113"/>
      <c r="P89" s="113"/>
      <c r="Q89" s="33"/>
      <c r="S89" s="31" t="s">
        <v>114</v>
      </c>
      <c r="T89" s="33" t="n">
        <f aca="false">(T88/T87)</f>
        <v>1914.4165512663</v>
      </c>
      <c r="U89" s="93"/>
      <c r="V89" s="93"/>
      <c r="W89" s="113"/>
      <c r="X89" s="113"/>
      <c r="Y89" s="113"/>
      <c r="Z89" s="33"/>
      <c r="AB89" s="31" t="s">
        <v>114</v>
      </c>
      <c r="AC89" s="33" t="n">
        <f aca="false">(AC88/AC87)</f>
        <v>1422.28244899459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75717.6896656784</v>
      </c>
      <c r="C90" s="93"/>
      <c r="D90" s="93"/>
      <c r="E90" s="113"/>
      <c r="F90" s="31" t="s">
        <v>115</v>
      </c>
      <c r="G90" s="33" t="n">
        <f aca="false">((G89*(G85))+G77)</f>
        <v>69721.4923887486</v>
      </c>
      <c r="H90" s="33"/>
      <c r="J90" s="31" t="s">
        <v>115</v>
      </c>
      <c r="K90" s="33" t="n">
        <f aca="false">((K89*(K85))+K77)</f>
        <v>52719.9115477193</v>
      </c>
      <c r="L90" s="93"/>
      <c r="M90" s="93"/>
      <c r="N90" s="113"/>
      <c r="O90" s="113"/>
      <c r="P90" s="113"/>
      <c r="Q90" s="33"/>
      <c r="S90" s="31" t="s">
        <v>115</v>
      </c>
      <c r="T90" s="33" t="n">
        <f aca="false">(T89*(T85))+T77</f>
        <v>65090.1627430543</v>
      </c>
      <c r="U90" s="93"/>
      <c r="V90" s="93"/>
      <c r="W90" s="113"/>
      <c r="X90" s="113"/>
      <c r="Y90" s="113"/>
      <c r="Z90" s="33"/>
      <c r="AB90" s="31" t="s">
        <v>115</v>
      </c>
      <c r="AC90" s="33" t="n">
        <f aca="false">(AC89*(AC59))+AC77</f>
        <v>48357.6032658161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116</v>
      </c>
      <c r="B91" s="33" t="n">
        <f aca="false">(B90/(1-B71))*B71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31" t="s">
        <v>116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116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116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117</v>
      </c>
      <c r="B92" s="65" t="n">
        <f aca="false">(B90+B91)</f>
        <v>75717.6896656784</v>
      </c>
      <c r="C92" s="93"/>
      <c r="D92" s="93"/>
      <c r="E92" s="113"/>
      <c r="F92" s="56" t="s">
        <v>117</v>
      </c>
      <c r="G92" s="65" t="n">
        <f aca="false">(G90+G91)</f>
        <v>69721.4923887486</v>
      </c>
      <c r="H92" s="33"/>
      <c r="J92" s="56" t="s">
        <v>117</v>
      </c>
      <c r="K92" s="65" t="n">
        <f aca="false">(K90+K91)</f>
        <v>52719.9115477193</v>
      </c>
      <c r="L92" s="93"/>
      <c r="M92" s="93"/>
      <c r="N92" s="113"/>
      <c r="O92" s="113"/>
      <c r="P92" s="113"/>
      <c r="Q92" s="33"/>
      <c r="S92" s="56" t="s">
        <v>117</v>
      </c>
      <c r="T92" s="65" t="n">
        <f aca="false">(T90+T91)</f>
        <v>65090.1627430543</v>
      </c>
      <c r="U92" s="93"/>
      <c r="V92" s="93"/>
      <c r="W92" s="113"/>
      <c r="X92" s="113"/>
      <c r="Y92" s="113"/>
      <c r="Z92" s="33"/>
      <c r="AB92" s="56" t="s">
        <v>117</v>
      </c>
      <c r="AC92" s="65" t="n">
        <f aca="false">(AC90+AC91)</f>
        <v>48357.6032658161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118</v>
      </c>
      <c r="B94" s="89" t="n">
        <f aca="false">IF(B26="YES",((E40/B85)*(1+A108)*1.2*(C45/100)),"0")</f>
        <v>129.096882352941</v>
      </c>
      <c r="C94" s="93"/>
      <c r="D94" s="93"/>
      <c r="E94" s="113"/>
      <c r="F94" s="88" t="s">
        <v>118</v>
      </c>
      <c r="G94" s="94" t="n">
        <f aca="false">IF(B26="YES",((E40/B85)*(1+A108)*(C45/100)),"0")</f>
        <v>107.580735294118</v>
      </c>
      <c r="H94" s="33"/>
      <c r="J94" s="88" t="s">
        <v>118</v>
      </c>
      <c r="K94" s="89" t="n">
        <f aca="false">((E40/K85)*(1+J108))*1.2</f>
        <v>125.4084</v>
      </c>
      <c r="L94" s="93"/>
      <c r="M94" s="93"/>
      <c r="N94" s="113"/>
      <c r="O94" s="113"/>
      <c r="P94" s="113"/>
      <c r="Q94" s="33"/>
      <c r="S94" s="88" t="s">
        <v>118</v>
      </c>
      <c r="T94" s="89" t="n">
        <f aca="false">((E40/T85)*(1+S108))</f>
        <v>99.3052941176471</v>
      </c>
      <c r="U94" s="93"/>
      <c r="V94" s="93"/>
      <c r="W94" s="113"/>
      <c r="X94" s="113"/>
      <c r="Y94" s="113"/>
      <c r="Z94" s="33"/>
      <c r="AB94" s="88" t="s">
        <v>118</v>
      </c>
      <c r="AC94" s="89" t="n">
        <f aca="false">((E40/AC85)*(1+AB108))*1.2</f>
        <v>119.166352941176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119</v>
      </c>
      <c r="B95" s="96" t="n">
        <f aca="false">B92/(B85)</f>
        <v>2226.99087251995</v>
      </c>
      <c r="C95" s="93"/>
      <c r="D95" s="93"/>
      <c r="E95" s="113"/>
      <c r="F95" s="95" t="s">
        <v>119</v>
      </c>
      <c r="G95" s="96" t="n">
        <f aca="false">G92/(G85)</f>
        <v>2050.63212908084</v>
      </c>
      <c r="H95" s="33"/>
      <c r="J95" s="95" t="s">
        <v>119</v>
      </c>
      <c r="K95" s="96" t="n">
        <f aca="false">K92/(K85)</f>
        <v>1506.2831870777</v>
      </c>
      <c r="L95" s="93"/>
      <c r="M95" s="93"/>
      <c r="N95" s="113"/>
      <c r="O95" s="113"/>
      <c r="P95" s="113"/>
      <c r="Q95" s="33"/>
      <c r="S95" s="95" t="s">
        <v>119</v>
      </c>
      <c r="T95" s="96" t="n">
        <f aca="false">T92/(T85)</f>
        <v>1914.4165512663</v>
      </c>
      <c r="U95" s="93"/>
      <c r="V95" s="93"/>
      <c r="W95" s="113"/>
      <c r="X95" s="113"/>
      <c r="Y95" s="113"/>
      <c r="Z95" s="33"/>
      <c r="AB95" s="95" t="s">
        <v>119</v>
      </c>
      <c r="AC95" s="96" t="n">
        <f aca="false">AC92/(AC59)</f>
        <v>1422.28244899459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120</v>
      </c>
      <c r="B96" s="98" t="n">
        <f aca="false">(B94+B95)</f>
        <v>2356.08775487289</v>
      </c>
      <c r="C96" s="93"/>
      <c r="D96" s="93"/>
      <c r="E96" s="113"/>
      <c r="F96" s="97" t="s">
        <v>120</v>
      </c>
      <c r="G96" s="98" t="n">
        <f aca="false">G94+G95</f>
        <v>2158.21286437496</v>
      </c>
      <c r="H96" s="33"/>
      <c r="J96" s="97" t="s">
        <v>120</v>
      </c>
      <c r="K96" s="98" t="n">
        <f aca="false">(K94+K95)</f>
        <v>1631.6915870777</v>
      </c>
      <c r="L96" s="93"/>
      <c r="M96" s="93"/>
      <c r="N96" s="113"/>
      <c r="O96" s="113"/>
      <c r="P96" s="113"/>
      <c r="Q96" s="33"/>
      <c r="S96" s="97" t="s">
        <v>120</v>
      </c>
      <c r="T96" s="98" t="n">
        <f aca="false">T94+T95</f>
        <v>2013.72184538395</v>
      </c>
      <c r="U96" s="93"/>
      <c r="V96" s="93"/>
      <c r="W96" s="113"/>
      <c r="X96" s="113"/>
      <c r="Y96" s="113"/>
      <c r="Z96" s="33"/>
      <c r="AB96" s="97" t="s">
        <v>120</v>
      </c>
      <c r="AC96" s="98" t="n">
        <f aca="false">AC94+AC95</f>
        <v>1541.44880193577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125</v>
      </c>
      <c r="B100" s="100"/>
      <c r="C100" s="100"/>
      <c r="D100" s="100"/>
      <c r="E100" s="100"/>
      <c r="F100" s="100"/>
      <c r="G100" s="100"/>
      <c r="H100" s="100"/>
      <c r="J100" s="100" t="s">
        <v>123</v>
      </c>
      <c r="K100" s="100"/>
      <c r="L100" s="100"/>
      <c r="M100" s="100"/>
      <c r="N100" s="100"/>
      <c r="O100" s="100"/>
      <c r="P100" s="100"/>
      <c r="Q100" s="100"/>
      <c r="S100" s="100" t="s">
        <v>124</v>
      </c>
      <c r="T100" s="100"/>
      <c r="U100" s="100"/>
      <c r="V100" s="100"/>
      <c r="W100" s="100"/>
      <c r="X100" s="100"/>
      <c r="Y100" s="100"/>
      <c r="Z100" s="100"/>
      <c r="AB100" s="100" t="s">
        <v>125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8" t="s">
        <v>126</v>
      </c>
      <c r="K102" s="28"/>
      <c r="L102" s="28"/>
      <c r="M102" s="28"/>
      <c r="N102" s="28"/>
      <c r="O102" s="28"/>
      <c r="P102" s="28"/>
      <c r="Q102" s="28"/>
      <c r="S102" s="28" t="s">
        <v>126</v>
      </c>
      <c r="T102" s="28"/>
      <c r="U102" s="28"/>
      <c r="V102" s="28"/>
      <c r="W102" s="28"/>
      <c r="X102" s="28"/>
      <c r="Y102" s="28"/>
      <c r="Z102" s="28"/>
      <c r="AB102" s="28" t="s">
        <v>126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31" t="s">
        <v>127</v>
      </c>
      <c r="K104" s="93" t="s">
        <v>23</v>
      </c>
      <c r="L104" s="93"/>
      <c r="M104" s="93"/>
      <c r="N104" s="93" t="s">
        <v>128</v>
      </c>
      <c r="O104" s="93"/>
      <c r="P104" s="93"/>
      <c r="Q104" s="33"/>
      <c r="S104" s="31" t="s">
        <v>127</v>
      </c>
      <c r="T104" s="93" t="s">
        <v>23</v>
      </c>
      <c r="U104" s="93"/>
      <c r="V104" s="93"/>
      <c r="W104" s="93" t="s">
        <v>128</v>
      </c>
      <c r="X104" s="93"/>
      <c r="Y104" s="93"/>
      <c r="Z104" s="33"/>
      <c r="AB104" s="31" t="s">
        <v>127</v>
      </c>
      <c r="AC104" s="93" t="s">
        <v>23</v>
      </c>
      <c r="AD104" s="93"/>
      <c r="AE104" s="93"/>
      <c r="AF104" s="93" t="s">
        <v>128</v>
      </c>
      <c r="AG104" s="93"/>
      <c r="AH104" s="93"/>
      <c r="AI104" s="33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388</v>
      </c>
      <c r="F105" s="104"/>
      <c r="G105" s="104"/>
      <c r="H105" s="102"/>
      <c r="J105" s="36" t="s">
        <v>129</v>
      </c>
      <c r="K105" s="103" t="s">
        <v>130</v>
      </c>
      <c r="L105" s="103"/>
      <c r="M105" s="103"/>
      <c r="N105" s="104" t="s">
        <v>18</v>
      </c>
      <c r="O105" s="104"/>
      <c r="P105" s="104"/>
      <c r="Q105" s="102"/>
      <c r="S105" s="36" t="s">
        <v>129</v>
      </c>
      <c r="T105" s="103" t="s">
        <v>130</v>
      </c>
      <c r="U105" s="103"/>
      <c r="V105" s="103"/>
      <c r="W105" s="104" t="s">
        <v>18</v>
      </c>
      <c r="X105" s="104"/>
      <c r="Y105" s="104"/>
      <c r="Z105" s="102"/>
      <c r="AB105" s="36" t="s">
        <v>129</v>
      </c>
      <c r="AC105" s="103" t="s">
        <v>130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31" t="s">
        <v>131</v>
      </c>
      <c r="K107" s="93" t="s">
        <v>132</v>
      </c>
      <c r="L107" s="93"/>
      <c r="M107" s="113"/>
      <c r="N107" s="93" t="s">
        <v>133</v>
      </c>
      <c r="O107" s="93"/>
      <c r="P107" s="113"/>
      <c r="Q107" s="102"/>
      <c r="S107" s="31" t="s">
        <v>131</v>
      </c>
      <c r="T107" s="93" t="s">
        <v>132</v>
      </c>
      <c r="U107" s="93"/>
      <c r="V107" s="113"/>
      <c r="W107" s="93" t="s">
        <v>133</v>
      </c>
      <c r="X107" s="93"/>
      <c r="Y107" s="113"/>
      <c r="Z107" s="102"/>
      <c r="AB107" s="31" t="s">
        <v>131</v>
      </c>
      <c r="AC107" s="93" t="s">
        <v>132</v>
      </c>
      <c r="AD107" s="93"/>
      <c r="AE107" s="113"/>
      <c r="AF107" s="93" t="s">
        <v>133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396</v>
      </c>
      <c r="C108" s="107"/>
      <c r="D108" s="107"/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134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135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135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31" t="s">
        <v>137</v>
      </c>
      <c r="K110" s="93" t="s">
        <v>138</v>
      </c>
      <c r="L110" s="93"/>
      <c r="M110" s="93"/>
      <c r="N110" s="93" t="s">
        <v>139</v>
      </c>
      <c r="O110" s="93"/>
      <c r="P110" s="93"/>
      <c r="Q110" s="33"/>
      <c r="S110" s="31" t="s">
        <v>137</v>
      </c>
      <c r="T110" s="93" t="s">
        <v>138</v>
      </c>
      <c r="U110" s="93"/>
      <c r="V110" s="93"/>
      <c r="W110" s="93" t="s">
        <v>139</v>
      </c>
      <c r="X110" s="93"/>
      <c r="Y110" s="93"/>
      <c r="Z110" s="33"/>
      <c r="AB110" s="31" t="s">
        <v>137</v>
      </c>
      <c r="AC110" s="93" t="s">
        <v>138</v>
      </c>
      <c r="AD110" s="93"/>
      <c r="AE110" s="93"/>
      <c r="AF110" s="93" t="s">
        <v>139</v>
      </c>
      <c r="AG110" s="93"/>
      <c r="AH110" s="93"/>
      <c r="AI110" s="33"/>
    </row>
    <row r="111" customFormat="false" ht="17.35" hidden="false" customHeight="false" outlineLevel="0" collapsed="false">
      <c r="A111" s="40" t="s">
        <v>390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110" t="s">
        <v>140</v>
      </c>
      <c r="K113" s="93" t="s">
        <v>141</v>
      </c>
      <c r="L113" s="93"/>
      <c r="M113" s="93"/>
      <c r="N113" s="93" t="s">
        <v>142</v>
      </c>
      <c r="O113" s="93"/>
      <c r="P113" s="113"/>
      <c r="Q113" s="102"/>
      <c r="S113" s="110" t="s">
        <v>140</v>
      </c>
      <c r="T113" s="93" t="s">
        <v>141</v>
      </c>
      <c r="U113" s="93"/>
      <c r="V113" s="93"/>
      <c r="W113" s="93" t="s">
        <v>142</v>
      </c>
      <c r="X113" s="93"/>
      <c r="Y113" s="113"/>
      <c r="Z113" s="102"/>
      <c r="AB113" s="110" t="s">
        <v>140</v>
      </c>
      <c r="AC113" s="93" t="s">
        <v>141</v>
      </c>
      <c r="AD113" s="93"/>
      <c r="AE113" s="93"/>
      <c r="AF113" s="93" t="s">
        <v>142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400</v>
      </c>
      <c r="B114" s="107" t="s">
        <v>389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8" t="s">
        <v>144</v>
      </c>
      <c r="K117" s="28"/>
      <c r="L117" s="28"/>
      <c r="M117" s="28"/>
      <c r="N117" s="28"/>
      <c r="O117" s="28"/>
      <c r="P117" s="28"/>
      <c r="Q117" s="28"/>
      <c r="S117" s="28" t="s">
        <v>144</v>
      </c>
      <c r="T117" s="28"/>
      <c r="U117" s="28"/>
      <c r="V117" s="28"/>
      <c r="W117" s="28"/>
      <c r="X117" s="28"/>
      <c r="Y117" s="28"/>
      <c r="Z117" s="28"/>
      <c r="AB117" s="28" t="s">
        <v>144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78"/>
      <c r="K119" s="114" t="s">
        <v>145</v>
      </c>
      <c r="L119" s="114"/>
      <c r="M119" s="114" t="s">
        <v>146</v>
      </c>
      <c r="N119" s="114"/>
      <c r="O119" s="114" t="s">
        <v>147</v>
      </c>
      <c r="P119" s="114"/>
      <c r="Q119" s="115" t="s">
        <v>148</v>
      </c>
      <c r="S119" s="78"/>
      <c r="T119" s="114" t="s">
        <v>145</v>
      </c>
      <c r="U119" s="114"/>
      <c r="V119" s="114" t="s">
        <v>146</v>
      </c>
      <c r="W119" s="114"/>
      <c r="X119" s="114" t="s">
        <v>147</v>
      </c>
      <c r="Y119" s="114"/>
      <c r="Z119" s="115" t="s">
        <v>148</v>
      </c>
      <c r="AB119" s="78"/>
      <c r="AC119" s="114" t="s">
        <v>145</v>
      </c>
      <c r="AD119" s="114"/>
      <c r="AE119" s="114" t="s">
        <v>146</v>
      </c>
      <c r="AF119" s="114"/>
      <c r="AG119" s="114" t="s">
        <v>147</v>
      </c>
      <c r="AH119" s="114"/>
      <c r="AI119" s="115" t="s">
        <v>148</v>
      </c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80"/>
      <c r="K120" s="116" t="s">
        <v>149</v>
      </c>
      <c r="L120" s="117" t="s">
        <v>150</v>
      </c>
      <c r="M120" s="116" t="s">
        <v>149</v>
      </c>
      <c r="N120" s="118" t="s">
        <v>150</v>
      </c>
      <c r="O120" s="116" t="s">
        <v>149</v>
      </c>
      <c r="P120" s="118" t="s">
        <v>150</v>
      </c>
      <c r="Q120" s="119"/>
      <c r="S120" s="80"/>
      <c r="T120" s="116" t="s">
        <v>149</v>
      </c>
      <c r="U120" s="117" t="s">
        <v>150</v>
      </c>
      <c r="V120" s="116" t="s">
        <v>149</v>
      </c>
      <c r="W120" s="118" t="s">
        <v>150</v>
      </c>
      <c r="X120" s="116" t="s">
        <v>149</v>
      </c>
      <c r="Y120" s="118" t="s">
        <v>150</v>
      </c>
      <c r="Z120" s="119"/>
      <c r="AB120" s="80"/>
      <c r="AC120" s="116" t="s">
        <v>149</v>
      </c>
      <c r="AD120" s="117" t="s">
        <v>150</v>
      </c>
      <c r="AE120" s="116" t="s">
        <v>149</v>
      </c>
      <c r="AF120" s="118" t="s">
        <v>150</v>
      </c>
      <c r="AG120" s="116" t="s">
        <v>149</v>
      </c>
      <c r="AH120" s="118" t="s">
        <v>150</v>
      </c>
      <c r="AI120" s="119"/>
    </row>
    <row r="121" customFormat="false" ht="17.35" hidden="false" customHeight="false" outlineLevel="0" collapsed="false">
      <c r="A121" s="25" t="s">
        <v>151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151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151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151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152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152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152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152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153</v>
      </c>
      <c r="B123" s="130" t="n">
        <f aca="false">B5</f>
        <v>0</v>
      </c>
      <c r="C123" s="121" t="n">
        <v>0.0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153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153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153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-9755.83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154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154</v>
      </c>
      <c r="T124" s="130" t="n">
        <f aca="false">(T121*T122)+T123</f>
        <v>0</v>
      </c>
      <c r="U124" s="131" t="n">
        <f aca="false">(U121*U122/100)+U123</f>
        <v>117.135425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154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155</v>
      </c>
      <c r="B125" s="132" t="n">
        <f aca="false">B121-B124</f>
        <v>46854.17</v>
      </c>
      <c r="C125" s="133" t="n">
        <f aca="false">C121-C124</f>
        <v>56610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155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155</v>
      </c>
      <c r="T125" s="132" t="n">
        <f aca="false">T121-T124</f>
        <v>46854.17</v>
      </c>
      <c r="U125" s="133" t="n">
        <f aca="false">U121-U124</f>
        <v>46737.034575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155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134"/>
      <c r="K127" s="135"/>
      <c r="L127" s="135"/>
      <c r="M127" s="135"/>
      <c r="N127" s="135"/>
      <c r="O127" s="135"/>
      <c r="P127" s="136" t="s">
        <v>149</v>
      </c>
      <c r="Q127" s="137" t="s">
        <v>150</v>
      </c>
      <c r="S127" s="134"/>
      <c r="T127" s="135"/>
      <c r="U127" s="135"/>
      <c r="V127" s="135"/>
      <c r="W127" s="135"/>
      <c r="X127" s="135"/>
      <c r="Y127" s="136" t="s">
        <v>149</v>
      </c>
      <c r="Z127" s="137" t="s">
        <v>150</v>
      </c>
      <c r="AB127" s="134"/>
      <c r="AC127" s="135"/>
      <c r="AD127" s="135"/>
      <c r="AE127" s="135"/>
      <c r="AF127" s="135"/>
      <c r="AG127" s="135"/>
      <c r="AH127" s="136" t="s">
        <v>149</v>
      </c>
      <c r="AI127" s="137" t="s">
        <v>150</v>
      </c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156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156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156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147" t="s">
        <v>157</v>
      </c>
      <c r="K130" s="144" t="s">
        <v>158</v>
      </c>
      <c r="L130" s="144"/>
      <c r="M130" s="144" t="s">
        <v>159</v>
      </c>
      <c r="N130" s="144"/>
      <c r="O130" s="144" t="s">
        <v>153</v>
      </c>
      <c r="P130" s="144"/>
      <c r="Q130" s="145" t="s">
        <v>150</v>
      </c>
      <c r="S130" s="147" t="s">
        <v>157</v>
      </c>
      <c r="T130" s="144" t="s">
        <v>158</v>
      </c>
      <c r="U130" s="144"/>
      <c r="V130" s="144" t="s">
        <v>159</v>
      </c>
      <c r="W130" s="144"/>
      <c r="X130" s="144" t="s">
        <v>153</v>
      </c>
      <c r="Y130" s="144"/>
      <c r="Z130" s="145" t="s">
        <v>150</v>
      </c>
      <c r="AB130" s="147" t="s">
        <v>157</v>
      </c>
      <c r="AC130" s="144" t="s">
        <v>158</v>
      </c>
      <c r="AD130" s="144"/>
      <c r="AE130" s="144" t="s">
        <v>159</v>
      </c>
      <c r="AF130" s="144"/>
      <c r="AG130" s="144" t="s">
        <v>153</v>
      </c>
      <c r="AH130" s="144"/>
      <c r="AI130" s="145" t="s">
        <v>150</v>
      </c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160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160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160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161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161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161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162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162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162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57443.33</v>
      </c>
      <c r="J135" s="152" t="s">
        <v>163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163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47570.364575</v>
      </c>
      <c r="AB135" s="152" t="s">
        <v>163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164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164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164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11598.666</v>
      </c>
      <c r="J137" s="154" t="s">
        <v>165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165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9624.072915</v>
      </c>
      <c r="AB137" s="154" t="s">
        <v>165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166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166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166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167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167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167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168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168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168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70241.996</v>
      </c>
      <c r="J141" s="154" t="s">
        <v>169</v>
      </c>
      <c r="K141" s="154"/>
      <c r="L141" s="154"/>
      <c r="M141" s="154"/>
      <c r="N141" s="154"/>
      <c r="O141" s="154"/>
      <c r="P141" s="453" t="n">
        <f aca="false">H15</f>
        <v>58535</v>
      </c>
      <c r="Q141" s="157" t="n">
        <f aca="false">(Q135+Q136+Q139+Q140+Q137)-Q138</f>
        <v>36655</v>
      </c>
      <c r="S141" s="154" t="s">
        <v>169</v>
      </c>
      <c r="T141" s="154"/>
      <c r="U141" s="154"/>
      <c r="V141" s="154"/>
      <c r="W141" s="154"/>
      <c r="X141" s="154"/>
      <c r="Y141" s="453" t="n">
        <f aca="false">H15</f>
        <v>58535</v>
      </c>
      <c r="Z141" s="157" t="n">
        <f aca="false">(Z135+Z136+Z139+Z140+Z137)-Z138</f>
        <v>58384.43749</v>
      </c>
      <c r="AB141" s="154" t="s">
        <v>169</v>
      </c>
      <c r="AC141" s="154"/>
      <c r="AD141" s="154"/>
      <c r="AE141" s="154"/>
      <c r="AF141" s="154"/>
      <c r="AG141" s="154"/>
      <c r="AH141" s="453" t="n">
        <f aca="false">H15</f>
        <v>58535</v>
      </c>
      <c r="AI141" s="157" t="n">
        <f aca="false">(AI135+AI136+AI139+AI140+AI137)-AI138</f>
        <v>44468.749</v>
      </c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170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170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170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111" t="s">
        <v>171</v>
      </c>
      <c r="K143" s="111"/>
      <c r="L143" s="111"/>
      <c r="M143" s="111"/>
      <c r="N143" s="111"/>
      <c r="O143" s="111"/>
      <c r="P143" s="103"/>
      <c r="Q143" s="33"/>
      <c r="S143" s="111" t="s">
        <v>171</v>
      </c>
      <c r="T143" s="111"/>
      <c r="U143" s="111"/>
      <c r="V143" s="111"/>
      <c r="W143" s="111"/>
      <c r="X143" s="111"/>
      <c r="Y143" s="103"/>
      <c r="Z143" s="33"/>
      <c r="AB143" s="111" t="s">
        <v>171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172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172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172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172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172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172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172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172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172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172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70241.996</v>
      </c>
      <c r="J147" s="154" t="s">
        <v>173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58535</v>
      </c>
      <c r="Q147" s="164" t="n">
        <f aca="false">Q141-((Q144*1.2)+(Q145*1.2)+(Q146*1.2)+(Q142*1.2))</f>
        <v>36655</v>
      </c>
      <c r="S147" s="154" t="s">
        <v>173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58535</v>
      </c>
      <c r="Z147" s="164" t="n">
        <f aca="false">Z141-((Z144*1.2)+(Z145*1.2)+(Z146*1.2)+(Z142*1.2))</f>
        <v>58384.43749</v>
      </c>
      <c r="AB147" s="154" t="s">
        <v>173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58535</v>
      </c>
      <c r="AI147" s="164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9755.83</v>
      </c>
      <c r="I148" s="1" t="n">
        <f aca="false">(H148-G81)/1.2</f>
        <v>-49655.1383333333</v>
      </c>
      <c r="J148" s="154" t="s">
        <v>174</v>
      </c>
      <c r="K148" s="154"/>
      <c r="L148" s="154"/>
      <c r="M148" s="154"/>
      <c r="N148" s="154"/>
      <c r="O148" s="154"/>
      <c r="P148" s="155"/>
      <c r="Q148" s="40" t="n">
        <f aca="false">Q147-P147</f>
        <v>-21880</v>
      </c>
      <c r="S148" s="154" t="s">
        <v>174</v>
      </c>
      <c r="T148" s="154"/>
      <c r="U148" s="154"/>
      <c r="V148" s="154"/>
      <c r="W148" s="154"/>
      <c r="X148" s="154"/>
      <c r="Y148" s="155"/>
      <c r="Z148" s="40" t="n">
        <f aca="false">Z147-Y147</f>
        <v>-150.562510000003</v>
      </c>
      <c r="AB148" s="154" t="s">
        <v>174</v>
      </c>
      <c r="AC148" s="154"/>
      <c r="AD148" s="154"/>
      <c r="AE148" s="154"/>
      <c r="AF148" s="154"/>
      <c r="AG148" s="154"/>
      <c r="AH148" s="155"/>
      <c r="AI148" s="40" t="n">
        <f aca="false">AI147-AH147</f>
        <v>-14066.251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8" t="s">
        <v>175</v>
      </c>
      <c r="K150" s="28"/>
      <c r="L150" s="28"/>
      <c r="M150" s="28"/>
      <c r="N150" s="28"/>
      <c r="O150" s="28"/>
      <c r="P150" s="28"/>
      <c r="Q150" s="28"/>
      <c r="S150" s="28" t="s">
        <v>175</v>
      </c>
      <c r="T150" s="28"/>
      <c r="U150" s="28"/>
      <c r="V150" s="28"/>
      <c r="W150" s="28"/>
      <c r="X150" s="28"/>
      <c r="Y150" s="28"/>
      <c r="Z150" s="28"/>
      <c r="AB150" s="28" t="s">
        <v>175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31" t="s">
        <v>176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176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176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500</v>
      </c>
      <c r="F153" s="166"/>
      <c r="G153" s="107" t="n">
        <v>0.0</v>
      </c>
      <c r="H153" s="107"/>
      <c r="J153" s="31" t="s">
        <v>177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177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177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178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178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178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179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179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179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400</v>
      </c>
      <c r="H157" s="168"/>
      <c r="J157" s="25" t="s">
        <v>180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180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180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69341.996</v>
      </c>
      <c r="H158" s="170"/>
      <c r="J158" s="169" t="s">
        <v>181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181</v>
      </c>
      <c r="T158" s="93"/>
      <c r="U158" s="93"/>
      <c r="V158" s="113"/>
      <c r="W158" s="93"/>
      <c r="X158" s="113"/>
      <c r="Y158" s="170" t="n">
        <f aca="false">Z147-Y154-Y157</f>
        <v>59384.43749</v>
      </c>
      <c r="Z158" s="170"/>
      <c r="AB158" s="169" t="s">
        <v>181</v>
      </c>
      <c r="AC158" s="93"/>
      <c r="AD158" s="93"/>
      <c r="AE158" s="113"/>
      <c r="AF158" s="93"/>
      <c r="AG158" s="113"/>
      <c r="AH158" s="170" t="n">
        <f aca="false">AI147-AH154-AH157</f>
        <v>45468.749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8" t="s">
        <v>182</v>
      </c>
      <c r="K162" s="28"/>
      <c r="L162" s="28"/>
      <c r="M162" s="28"/>
      <c r="N162" s="28"/>
      <c r="O162" s="28"/>
      <c r="P162" s="28"/>
      <c r="Q162" s="28"/>
      <c r="S162" s="28" t="s">
        <v>182</v>
      </c>
      <c r="T162" s="28"/>
      <c r="U162" s="28"/>
      <c r="V162" s="28"/>
      <c r="W162" s="28"/>
      <c r="X162" s="28"/>
      <c r="Y162" s="28"/>
      <c r="Z162" s="28"/>
      <c r="AB162" s="28" t="s">
        <v>182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183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183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183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173" t="s">
        <v>184</v>
      </c>
      <c r="K166" s="174" t="s">
        <v>185</v>
      </c>
      <c r="L166" s="174"/>
      <c r="M166" s="174"/>
      <c r="N166" s="174" t="s">
        <v>186</v>
      </c>
      <c r="O166" s="23"/>
      <c r="P166" s="23"/>
      <c r="Q166" s="33"/>
      <c r="S166" s="173" t="s">
        <v>184</v>
      </c>
      <c r="T166" s="174" t="s">
        <v>185</v>
      </c>
      <c r="U166" s="174"/>
      <c r="V166" s="174"/>
      <c r="W166" s="174" t="s">
        <v>186</v>
      </c>
      <c r="X166" s="23"/>
      <c r="Y166" s="23"/>
      <c r="Z166" s="33"/>
      <c r="AB166" s="173" t="s">
        <v>184</v>
      </c>
      <c r="AC166" s="174" t="s">
        <v>185</v>
      </c>
      <c r="AD166" s="174"/>
      <c r="AE166" s="174"/>
      <c r="AF166" s="174" t="s">
        <v>186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2226.99087251995</v>
      </c>
      <c r="B167" s="177" t="n">
        <f aca="false">B94</f>
        <v>129.096882352941</v>
      </c>
      <c r="C167" s="174"/>
      <c r="D167" s="174"/>
      <c r="E167" s="177" t="n">
        <f aca="false">B96</f>
        <v>2356.08775487289</v>
      </c>
      <c r="F167" s="23"/>
      <c r="G167" s="23" t="n">
        <f aca="false">ROUND(G95, 2)</f>
        <v>2050.63</v>
      </c>
      <c r="H167" s="33"/>
      <c r="J167" s="176" t="n">
        <f aca="false">K95</f>
        <v>1506.2831870777</v>
      </c>
      <c r="K167" s="177" t="n">
        <f aca="false">K94</f>
        <v>125.4084</v>
      </c>
      <c r="L167" s="174"/>
      <c r="M167" s="174"/>
      <c r="N167" s="177" t="n">
        <f aca="false">K96</f>
        <v>1631.6915870777</v>
      </c>
      <c r="O167" s="23"/>
      <c r="P167" s="23"/>
      <c r="Q167" s="33"/>
      <c r="S167" s="176" t="n">
        <f aca="false">T95</f>
        <v>1914.4165512663</v>
      </c>
      <c r="T167" s="177" t="n">
        <f aca="false">T94</f>
        <v>99.3052941176471</v>
      </c>
      <c r="U167" s="174"/>
      <c r="V167" s="174"/>
      <c r="W167" s="177" t="n">
        <f aca="false">T96</f>
        <v>2013.72184538395</v>
      </c>
      <c r="X167" s="23"/>
      <c r="Y167" s="23"/>
      <c r="Z167" s="33"/>
      <c r="AB167" s="176" t="n">
        <f aca="false">AC95</f>
        <v>1422.28244899459</v>
      </c>
      <c r="AC167" s="177" t="n">
        <f aca="false">AC94</f>
        <v>119.166352941176</v>
      </c>
      <c r="AD167" s="174"/>
      <c r="AE167" s="174"/>
      <c r="AF167" s="177" t="n">
        <f aca="false">AC96</f>
        <v>1541.44880193577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31" t="s">
        <v>83</v>
      </c>
      <c r="K169" s="93" t="s">
        <v>84</v>
      </c>
      <c r="L169" s="93"/>
      <c r="M169" s="23"/>
      <c r="N169" s="93" t="s">
        <v>188</v>
      </c>
      <c r="O169" s="23"/>
      <c r="P169" s="23"/>
      <c r="Q169" s="33"/>
      <c r="S169" s="31" t="s">
        <v>83</v>
      </c>
      <c r="T169" s="93" t="s">
        <v>84</v>
      </c>
      <c r="U169" s="93"/>
      <c r="V169" s="23"/>
      <c r="W169" s="93" t="s">
        <v>188</v>
      </c>
      <c r="X169" s="23"/>
      <c r="Y169" s="23"/>
      <c r="Z169" s="33"/>
      <c r="AB169" s="31" t="s">
        <v>83</v>
      </c>
      <c r="AC169" s="93" t="s">
        <v>84</v>
      </c>
      <c r="AD169" s="93"/>
      <c r="AE169" s="23"/>
      <c r="AF169" s="93" t="s">
        <v>188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7680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7680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7680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7680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31" t="s">
        <v>189</v>
      </c>
      <c r="K172" s="93" t="s">
        <v>190</v>
      </c>
      <c r="L172" s="93"/>
      <c r="M172" s="23"/>
      <c r="N172" s="93" t="s">
        <v>191</v>
      </c>
      <c r="O172" s="23"/>
      <c r="P172" s="23"/>
      <c r="Q172" s="33"/>
      <c r="S172" s="31" t="s">
        <v>189</v>
      </c>
      <c r="T172" s="93" t="s">
        <v>190</v>
      </c>
      <c r="U172" s="93"/>
      <c r="V172" s="23"/>
      <c r="W172" s="93" t="s">
        <v>191</v>
      </c>
      <c r="X172" s="23"/>
      <c r="Y172" s="23"/>
      <c r="Z172" s="33"/>
      <c r="AB172" s="31" t="s">
        <v>189</v>
      </c>
      <c r="AC172" s="93" t="s">
        <v>190</v>
      </c>
      <c r="AD172" s="93"/>
      <c r="AE172" s="23"/>
      <c r="AF172" s="93" t="s">
        <v>191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57993.33</v>
      </c>
      <c r="B173" s="103" t="n">
        <f aca="false">H137</f>
        <v>11598.666</v>
      </c>
      <c r="C173" s="186"/>
      <c r="D173" s="23"/>
      <c r="E173" s="182" t="n">
        <f aca="false">H139+H140</f>
        <v>650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48120.364575</v>
      </c>
      <c r="T173" s="103" t="n">
        <f aca="false">Z137</f>
        <v>9624.072915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31" t="s">
        <v>192</v>
      </c>
      <c r="K175" s="93" t="s">
        <v>138</v>
      </c>
      <c r="L175" s="93"/>
      <c r="M175" s="23"/>
      <c r="N175" s="93" t="s">
        <v>139</v>
      </c>
      <c r="O175" s="23"/>
      <c r="P175" s="23"/>
      <c r="Q175" s="33"/>
      <c r="S175" s="31" t="s">
        <v>192</v>
      </c>
      <c r="T175" s="93" t="s">
        <v>138</v>
      </c>
      <c r="U175" s="93"/>
      <c r="V175" s="23"/>
      <c r="W175" s="93" t="s">
        <v>139</v>
      </c>
      <c r="X175" s="23"/>
      <c r="Y175" s="23"/>
      <c r="Z175" s="33"/>
      <c r="AB175" s="31" t="s">
        <v>192</v>
      </c>
      <c r="AC175" s="93" t="s">
        <v>138</v>
      </c>
      <c r="AD175" s="93"/>
      <c r="AE175" s="23"/>
      <c r="AF175" s="93" t="s">
        <v>139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70241.996</v>
      </c>
      <c r="B176" s="103" t="n">
        <f aca="false">B111</f>
        <v>200</v>
      </c>
      <c r="C176" s="103"/>
      <c r="D176" s="23"/>
      <c r="E176" s="103" t="n">
        <f aca="false">E111</f>
        <v>200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58384.43749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44468.749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31" t="s">
        <v>140</v>
      </c>
      <c r="K178" s="93" t="s">
        <v>176</v>
      </c>
      <c r="L178" s="93"/>
      <c r="M178" s="23"/>
      <c r="N178" s="93" t="s">
        <v>181</v>
      </c>
      <c r="O178" s="23"/>
      <c r="P178" s="23"/>
      <c r="Q178" s="33"/>
      <c r="S178" s="31" t="s">
        <v>140</v>
      </c>
      <c r="T178" s="93" t="s">
        <v>176</v>
      </c>
      <c r="U178" s="93"/>
      <c r="V178" s="23"/>
      <c r="W178" s="93" t="s">
        <v>181</v>
      </c>
      <c r="X178" s="23"/>
      <c r="Y178" s="23"/>
      <c r="Z178" s="33"/>
      <c r="AB178" s="31" t="s">
        <v>140</v>
      </c>
      <c r="AC178" s="93" t="s">
        <v>176</v>
      </c>
      <c r="AD178" s="93"/>
      <c r="AE178" s="23"/>
      <c r="AF178" s="93" t="s">
        <v>181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400</v>
      </c>
      <c r="B179" s="103" t="n">
        <f aca="false">G154</f>
        <v>500</v>
      </c>
      <c r="C179" s="103"/>
      <c r="D179" s="23"/>
      <c r="E179" s="103" t="n">
        <f aca="false">A176-A179-B179</f>
        <v>69341.996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59384.43749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45468.749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31" t="s">
        <v>193</v>
      </c>
      <c r="K181" s="93" t="s">
        <v>53</v>
      </c>
      <c r="L181" s="93"/>
      <c r="M181" s="23"/>
      <c r="N181" s="93" t="s">
        <v>194</v>
      </c>
      <c r="O181" s="23"/>
      <c r="P181" s="23"/>
      <c r="Q181" s="33"/>
      <c r="S181" s="31" t="s">
        <v>193</v>
      </c>
      <c r="T181" s="93" t="s">
        <v>53</v>
      </c>
      <c r="U181" s="93"/>
      <c r="V181" s="23"/>
      <c r="W181" s="93" t="s">
        <v>194</v>
      </c>
      <c r="X181" s="23"/>
      <c r="Y181" s="23"/>
      <c r="Z181" s="33"/>
      <c r="AB181" s="31" t="s">
        <v>193</v>
      </c>
      <c r="AC181" s="93" t="s">
        <v>53</v>
      </c>
      <c r="AD181" s="93"/>
      <c r="AE181" s="23"/>
      <c r="AF181" s="93" t="s">
        <v>194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14055.6936656784</v>
      </c>
      <c r="B182" s="103" t="str">
        <f aca="false">B114</f>
        <v>239.99</v>
      </c>
      <c r="C182" s="103"/>
      <c r="D182" s="23"/>
      <c r="E182" s="103" t="n">
        <f aca="false">E179+A182+B182+A185</f>
        <v>83647.6796656785</v>
      </c>
      <c r="F182" s="23"/>
      <c r="G182" s="23"/>
      <c r="H182" s="105"/>
      <c r="J182" s="111" t="n">
        <f aca="false">(J167*K59)+N185-N179-J185</f>
        <v>21238.6283606416</v>
      </c>
      <c r="K182" s="103" t="n">
        <f aca="false">K114</f>
        <v>239.99</v>
      </c>
      <c r="L182" s="103"/>
      <c r="M182" s="23"/>
      <c r="N182" s="103" t="n">
        <f aca="false">N179+J182+K182+J185</f>
        <v>59153.6183606416</v>
      </c>
      <c r="O182" s="23"/>
      <c r="P182" s="23"/>
      <c r="Q182" s="105"/>
      <c r="S182" s="111" t="n">
        <f aca="false">(S167*T59)+W185-W179-S185</f>
        <v>13385.7252530543</v>
      </c>
      <c r="T182" s="103" t="n">
        <f aca="false">T114</f>
        <v>199.99</v>
      </c>
      <c r="U182" s="103"/>
      <c r="V182" s="23"/>
      <c r="W182" s="103" t="n">
        <f aca="false">W179+S182+T182+S185</f>
        <v>72980.1527430544</v>
      </c>
      <c r="X182" s="23"/>
      <c r="Y182" s="23"/>
      <c r="Z182" s="105"/>
      <c r="AB182" s="111" t="n">
        <f aca="false">(AB167*AC59)+AF185-AF179-AB185</f>
        <v>10568.8542658161</v>
      </c>
      <c r="AC182" s="103" t="n">
        <f aca="false">AC114</f>
        <v>239.99</v>
      </c>
      <c r="AD182" s="103"/>
      <c r="AE182" s="23"/>
      <c r="AF182" s="103" t="n">
        <f aca="false">AF179+AB182+AC182+AB185</f>
        <v>56287.5932658161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31" t="s">
        <v>195</v>
      </c>
      <c r="K184" s="93" t="s">
        <v>196</v>
      </c>
      <c r="L184" s="93"/>
      <c r="M184" s="23"/>
      <c r="N184" s="93" t="s">
        <v>197</v>
      </c>
      <c r="O184" s="23"/>
      <c r="P184" s="23"/>
      <c r="Q184" s="33"/>
      <c r="S184" s="31" t="s">
        <v>195</v>
      </c>
      <c r="T184" s="93" t="s">
        <v>196</v>
      </c>
      <c r="U184" s="93"/>
      <c r="V184" s="23"/>
      <c r="W184" s="93" t="s">
        <v>197</v>
      </c>
      <c r="X184" s="23"/>
      <c r="Y184" s="23"/>
      <c r="Z184" s="33"/>
      <c r="AB184" s="31" t="s">
        <v>195</v>
      </c>
      <c r="AC184" s="93" t="s">
        <v>196</v>
      </c>
      <c r="AD184" s="93"/>
      <c r="AE184" s="23"/>
      <c r="AF184" s="93" t="s">
        <v>197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639.99</v>
      </c>
      <c r="C185" s="103"/>
      <c r="D185" s="23"/>
      <c r="E185" s="103" t="n">
        <f aca="false">IF(A40=0,(E167),(E170+A185))</f>
        <v>7690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7700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7690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7690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31" t="s">
        <v>198</v>
      </c>
      <c r="K187" s="93" t="s">
        <v>199</v>
      </c>
      <c r="L187" s="93"/>
      <c r="M187" s="93"/>
      <c r="N187" s="166" t="s">
        <v>200</v>
      </c>
      <c r="O187" s="23"/>
      <c r="P187" s="23"/>
      <c r="Q187" s="33"/>
      <c r="S187" s="31" t="s">
        <v>198</v>
      </c>
      <c r="T187" s="93" t="s">
        <v>199</v>
      </c>
      <c r="U187" s="93"/>
      <c r="V187" s="93"/>
      <c r="W187" s="166" t="s">
        <v>200</v>
      </c>
      <c r="X187" s="32"/>
      <c r="Y187" s="32"/>
      <c r="Z187" s="33"/>
      <c r="AB187" s="31" t="s">
        <v>198</v>
      </c>
      <c r="AC187" s="93" t="s">
        <v>199</v>
      </c>
      <c r="AD187" s="93"/>
      <c r="AE187" s="93"/>
      <c r="AF187" s="166" t="s">
        <v>200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0.11577</v>
      </c>
      <c r="B188" s="103" t="n">
        <f aca="false">(G158*B67)/1.2</f>
        <v>565.811425694445</v>
      </c>
      <c r="C188" s="93"/>
      <c r="D188" s="93"/>
      <c r="E188" s="103" t="n">
        <f aca="false">(E40*A108)*0.1*C45/100</f>
        <v>84.4095</v>
      </c>
      <c r="F188" s="23"/>
      <c r="G188" s="23"/>
      <c r="H188" s="33"/>
      <c r="J188" s="111" t="n">
        <f aca="false">IF(N105="YES", H15*0.000002, 0)</f>
        <v>0.11707</v>
      </c>
      <c r="K188" s="103" t="n">
        <f aca="false">(P158*K67)/1.2</f>
        <v>2320.75086805556</v>
      </c>
      <c r="L188" s="93"/>
      <c r="M188" s="93"/>
      <c r="N188" s="103" t="n">
        <f aca="false">(E40*J108)*0.1</f>
        <v>84.4095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484.560514241319</v>
      </c>
      <c r="U188" s="93"/>
      <c r="V188" s="93"/>
      <c r="W188" s="103" t="n">
        <f aca="false">(E40*S108)*0.1</f>
        <v>56.273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371.012361631944</v>
      </c>
      <c r="AD188" s="93"/>
      <c r="AE188" s="93"/>
      <c r="AF188" s="103" t="n">
        <f aca="false">(E40*AB108)*0.1</f>
        <v>56.273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60" t="s">
        <v>201</v>
      </c>
      <c r="K190" s="166" t="s">
        <v>202</v>
      </c>
      <c r="L190" s="93"/>
      <c r="M190" s="93"/>
      <c r="N190" s="166" t="s">
        <v>203</v>
      </c>
      <c r="O190" s="23"/>
      <c r="P190" s="23"/>
      <c r="Q190" s="33"/>
      <c r="S190" s="60" t="s">
        <v>201</v>
      </c>
      <c r="T190" s="166" t="s">
        <v>202</v>
      </c>
      <c r="U190" s="93"/>
      <c r="V190" s="93"/>
      <c r="W190" s="166" t="s">
        <v>203</v>
      </c>
      <c r="X190" s="32"/>
      <c r="Y190" s="32"/>
      <c r="Z190" s="33"/>
      <c r="AB190" s="60" t="s">
        <v>201</v>
      </c>
      <c r="AC190" s="166" t="s">
        <v>202</v>
      </c>
      <c r="AD190" s="93"/>
      <c r="AE190" s="93"/>
      <c r="AF190" s="166" t="s">
        <v>203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750.212592361111</v>
      </c>
      <c r="C191" s="93"/>
      <c r="D191" s="93"/>
      <c r="E191" s="103" t="n">
        <f aca="false">H148</f>
        <v>9755.83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3545.15036805556</v>
      </c>
      <c r="L191" s="93"/>
      <c r="M191" s="93"/>
      <c r="N191" s="103" t="n">
        <f aca="false">Q148</f>
        <v>-21880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1640.82351424132</v>
      </c>
      <c r="U191" s="93"/>
      <c r="V191" s="93"/>
      <c r="W191" s="103" t="n">
        <f aca="false">Z148</f>
        <v>-150.562510000003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1567.27536163194</v>
      </c>
      <c r="AD191" s="93"/>
      <c r="AE191" s="93"/>
      <c r="AF191" s="103" t="n">
        <f aca="false">AI148</f>
        <v>-14066.251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66" t="s">
        <v>204</v>
      </c>
      <c r="K193" s="93"/>
      <c r="L193" s="93"/>
      <c r="M193" s="67"/>
      <c r="N193" s="67"/>
      <c r="O193" s="67"/>
      <c r="P193" s="67"/>
      <c r="Q193" s="68"/>
      <c r="S193" s="66" t="s">
        <v>204</v>
      </c>
      <c r="T193" s="93"/>
      <c r="U193" s="93"/>
      <c r="V193" s="67"/>
      <c r="W193" s="67"/>
      <c r="X193" s="67"/>
      <c r="Y193" s="67"/>
      <c r="Z193" s="68"/>
      <c r="AB193" s="66" t="s">
        <v>204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187" t="s">
        <v>83</v>
      </c>
      <c r="K195" s="71" t="s">
        <v>84</v>
      </c>
      <c r="L195" s="71"/>
      <c r="M195" s="71"/>
      <c r="N195" s="23"/>
      <c r="O195" s="23"/>
      <c r="P195" s="23"/>
      <c r="Q195" s="33"/>
      <c r="S195" s="187" t="s">
        <v>83</v>
      </c>
      <c r="T195" s="71" t="s">
        <v>84</v>
      </c>
      <c r="U195" s="71"/>
      <c r="V195" s="71"/>
      <c r="W195" s="23"/>
      <c r="X195" s="23"/>
      <c r="Y195" s="23"/>
      <c r="Z195" s="33"/>
      <c r="AB195" s="187" t="s">
        <v>83</v>
      </c>
      <c r="AC195" s="71" t="s">
        <v>84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2356.08775487289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1631.6915870777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2013.72184538395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1541.44880193577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8059.424</v>
      </c>
      <c r="B201" s="186" t="n">
        <f aca="false">E179+A201+B182+A185</f>
        <v>77651.41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207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2226.99087251995</v>
      </c>
      <c r="B212" s="177" t="n">
        <f aca="false">B167</f>
        <v>129.096882352941</v>
      </c>
      <c r="C212" s="174"/>
      <c r="D212" s="174"/>
      <c r="E212" s="177" t="n">
        <f aca="false">E167</f>
        <v>2356.08775487289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57993.33</v>
      </c>
      <c r="B215" s="103" t="n">
        <f aca="false">B173</f>
        <v>11598.666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70241.996</v>
      </c>
      <c r="B218" s="103" t="n">
        <f aca="false">B176</f>
        <v>200</v>
      </c>
      <c r="C218" s="103"/>
      <c r="D218" s="113"/>
      <c r="E218" s="103" t="n">
        <f aca="false">E176</f>
        <v>200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400</v>
      </c>
      <c r="B221" s="103" t="n">
        <f aca="false">B179</f>
        <v>500</v>
      </c>
      <c r="C221" s="103"/>
      <c r="D221" s="113"/>
      <c r="E221" s="103" t="n">
        <f aca="false">E179</f>
        <v>69341.996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14055.6936656784</v>
      </c>
      <c r="B224" s="103" t="str">
        <f aca="false">B182</f>
        <v>239.99</v>
      </c>
      <c r="C224" s="103"/>
      <c r="D224" s="113"/>
      <c r="E224" s="103" t="n">
        <f aca="false">E182</f>
        <v>83647.6796656785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639.99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2226.99087251995</v>
      </c>
      <c r="B230" s="103" t="n">
        <f aca="false">B167</f>
        <v>129.096882352941</v>
      </c>
      <c r="C230" s="186"/>
      <c r="D230" s="186"/>
      <c r="E230" s="103" t="n">
        <f aca="false">E167</f>
        <v>2356.08775487289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209</v>
      </c>
      <c r="B232" s="93" t="s">
        <v>210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7680</v>
      </c>
      <c r="B233" s="103" t="n">
        <f aca="false">E185</f>
        <v>7690</v>
      </c>
      <c r="C233" s="93"/>
      <c r="D233" s="93"/>
      <c r="E233" s="103" t="n">
        <f aca="false">J18*0.000006*100*1.2</f>
        <v>41.6772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211</v>
      </c>
      <c r="B235" s="166" t="s">
        <v>73</v>
      </c>
      <c r="C235" s="93"/>
      <c r="D235" s="93"/>
      <c r="E235" s="166" t="s">
        <v>132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13.8924</v>
      </c>
      <c r="B236" s="103" t="n">
        <f aca="false">E233+A236</f>
        <v>55.5696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9755.83</v>
      </c>
      <c r="B240" s="103" t="n">
        <f aca="false">B68</f>
        <v>565.811425694445</v>
      </c>
      <c r="C240" s="93"/>
      <c r="D240" s="93"/>
      <c r="E240" s="103" t="n">
        <f aca="false">E188</f>
        <v>84.4095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10506.0425923611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K35</f>
        <v>0.07</v>
      </c>
      <c r="C253" s="197"/>
      <c r="D253" s="198" t="s">
        <v>216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6006.26966567844</v>
      </c>
      <c r="C254" s="197"/>
      <c r="D254" s="198" t="s">
        <v>218</v>
      </c>
      <c r="E254" s="198"/>
      <c r="F254" s="200" t="n">
        <f aca="false">F261+F267+F269+B270+B271</f>
        <v>678.973710833334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944.086666666667</v>
      </c>
      <c r="C255" s="197"/>
      <c r="D255" s="198" t="s">
        <v>220</v>
      </c>
      <c r="E255" s="198"/>
      <c r="F255" s="200" t="n">
        <f aca="false">(B254-F254)+B255</f>
        <v>6271.38262151177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0.12</v>
      </c>
      <c r="C260" s="43"/>
      <c r="D260" s="166" t="s">
        <v>217</v>
      </c>
      <c r="E260" s="166"/>
      <c r="F260" s="146" t="n">
        <f aca="false">B254</f>
        <v>6006.26966567844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0.00979166666666667</v>
      </c>
      <c r="C261" s="32"/>
      <c r="D261" s="166" t="s">
        <v>223</v>
      </c>
      <c r="E261" s="166"/>
      <c r="F261" s="151" t="n">
        <f aca="false">B68*1.2</f>
        <v>678.973710833334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0.3</v>
      </c>
      <c r="C262" s="32"/>
      <c r="D262" s="166" t="s">
        <v>224</v>
      </c>
      <c r="E262" s="166"/>
      <c r="F262" s="146" t="n">
        <f aca="false">E240*10</f>
        <v>844.095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99.9916666666667</v>
      </c>
      <c r="C263" s="32"/>
      <c r="D263" s="39" t="s">
        <v>220</v>
      </c>
      <c r="E263" s="39"/>
      <c r="F263" s="146" t="n">
        <f aca="false">(B254-F254)+B255</f>
        <v>6271.38262151177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145</v>
      </c>
      <c r="C2" s="439"/>
      <c r="D2" s="439" t="s">
        <v>146</v>
      </c>
      <c r="E2" s="439"/>
      <c r="F2" s="439" t="s">
        <v>147</v>
      </c>
      <c r="G2" s="439"/>
      <c r="H2" s="440" t="s">
        <v>148</v>
      </c>
      <c r="I2" s="2"/>
      <c r="J2" s="2"/>
    </row>
    <row r="3" customFormat="false" ht="17.35" hidden="false" customHeight="false" outlineLevel="0" collapsed="false">
      <c r="A3" s="31" t="s">
        <v>151</v>
      </c>
      <c r="B3" s="441" t="n">
        <v>17895.0</v>
      </c>
      <c r="C3" s="441" t="n">
        <v>0</v>
      </c>
      <c r="D3" s="441" t="n">
        <v>0.0</v>
      </c>
      <c r="E3" s="441"/>
      <c r="F3" s="441" t="n">
        <v>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152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153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154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155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163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164</v>
      </c>
      <c r="B10" s="154"/>
      <c r="C10" s="154"/>
      <c r="D10" s="154"/>
      <c r="E10" s="154" t="n">
        <v>50</v>
      </c>
      <c r="F10" s="154"/>
      <c r="G10" s="155"/>
      <c r="H10" s="442" t="n">
        <v>695.0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165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166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167</v>
      </c>
      <c r="B13" s="154"/>
      <c r="C13" s="154"/>
      <c r="D13" s="154"/>
      <c r="E13" s="154" t="n">
        <v>585</v>
      </c>
      <c r="F13" s="154"/>
      <c r="G13" s="155"/>
      <c r="H13" s="442" t="n">
        <v>290.0</v>
      </c>
      <c r="I13" s="2"/>
      <c r="J13" s="2"/>
    </row>
    <row r="14" customFormat="false" ht="17.35" hidden="false" customHeight="false" outlineLevel="0" collapsed="false">
      <c r="A14" s="154" t="s">
        <v>168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169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170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171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172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172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172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173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128</v>
      </c>
      <c r="B26" s="40" t="s">
        <v>390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126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183</v>
      </c>
      <c r="B30" s="104" t="s">
        <v>391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4980.0</v>
      </c>
      <c r="P31" s="212"/>
    </row>
    <row r="32" customFormat="false" ht="34.8" hidden="false" customHeight="false" outlineLevel="0" collapsed="false">
      <c r="A32" s="31" t="s">
        <v>83</v>
      </c>
      <c r="B32" s="93" t="s">
        <v>84</v>
      </c>
      <c r="C32" s="93"/>
      <c r="D32" s="93"/>
      <c r="E32" s="93" t="s">
        <v>354</v>
      </c>
      <c r="F32" s="93"/>
      <c r="G32" s="93"/>
      <c r="H32" s="33"/>
      <c r="I32" s="2" t="n">
        <v>0</v>
      </c>
      <c r="J32" s="29" t="s">
        <v>36</v>
      </c>
      <c r="K32" s="449" t="n">
        <v>1975.05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1412.88838918093</v>
      </c>
      <c r="F33" s="232"/>
      <c r="G33" s="232"/>
      <c r="H33" s="47"/>
      <c r="I33" s="2"/>
      <c r="J33" s="34" t="s">
        <v>355</v>
      </c>
      <c r="K33" s="48" t="n">
        <f aca="false">H21-H11+(H16*20%)</f>
        <v>48887.5</v>
      </c>
      <c r="L33" s="1" t="n">
        <f aca="false">H21-H11+(H16*20%)</f>
        <v>48887.5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0.109</v>
      </c>
      <c r="P35" s="212"/>
    </row>
    <row r="36" customFormat="false" ht="17.35" hidden="false" customHeight="false" outlineLevel="0" collapsed="false">
      <c r="A36" s="185" t="n">
        <f aca="false">K47</f>
        <v>1412.88838918093</v>
      </c>
      <c r="B36" s="232" t="str">
        <f aca="false">IF(B26="YES", K42, "0.00")</f>
        <v>0.00</v>
      </c>
      <c r="C36" s="232"/>
      <c r="D36" s="232"/>
      <c r="E36" s="232" t="n">
        <f aca="false">K31</f>
        <v>5760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85</v>
      </c>
      <c r="K39" s="2" t="n">
        <f aca="false">K33</f>
        <v>48887.5</v>
      </c>
      <c r="L39" s="2" t="n">
        <f aca="false">(L47*K46)+K44</f>
        <v>29395.0621646443</v>
      </c>
      <c r="N39" s="1" t="n">
        <f aca="false">K39-L39</f>
        <v>19492.4378353557</v>
      </c>
      <c r="P39" s="212"/>
    </row>
    <row r="40" customFormat="false" ht="17.35" hidden="false" customHeight="false" outlineLevel="0" collapsed="false">
      <c r="A40" s="313" t="n">
        <f aca="false">E36*A45/100</f>
        <v>6100.0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107</v>
      </c>
      <c r="K40" s="2" t="n">
        <f aca="false">(A40)/1.2</f>
        <v>4800</v>
      </c>
      <c r="L40" s="2" t="n">
        <f aca="false">K39-L39</f>
        <v>19492.4378353557</v>
      </c>
      <c r="N40" s="1" t="n">
        <f aca="false">N38-N39</f>
        <v>-16580.7578353557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(K32/K36/100)*C45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77</v>
      </c>
      <c r="B44" s="93"/>
      <c r="C44" s="291" t="s">
        <v>78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3951.68528957505</v>
      </c>
      <c r="L44" s="2"/>
      <c r="P44" s="212"/>
    </row>
    <row r="45" customFormat="false" ht="17.35" hidden="false" customHeight="false" outlineLevel="0" collapsed="false">
      <c r="A45" s="507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366</v>
      </c>
      <c r="K45" s="2" t="n">
        <f aca="false">(K39-K44)</f>
        <v>44935.814710425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1412.88838918093</v>
      </c>
      <c r="L47" s="2" t="n">
        <f aca="false">L49-K42</f>
        <v>800</v>
      </c>
      <c r="M47" s="1" t="n">
        <f aca="false">K47-L47</f>
        <v>612.888389180932</v>
      </c>
      <c r="P47" s="212"/>
    </row>
    <row r="48" customFormat="false" ht="31.8" hidden="false" customHeight="false" outlineLevel="0" collapsed="false">
      <c r="A48" s="66" t="s">
        <v>82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1412.88838918093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83</v>
      </c>
      <c r="B50" s="71" t="s">
        <v>84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1412.88838918093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85</v>
      </c>
      <c r="B58" s="93" t="n">
        <v>1</v>
      </c>
      <c r="C58" s="93"/>
      <c r="D58" s="93"/>
      <c r="E58" s="113"/>
      <c r="F58" s="113"/>
      <c r="G58" s="113"/>
      <c r="H58" s="33"/>
      <c r="J58" s="31" t="s">
        <v>85</v>
      </c>
      <c r="K58" s="93" t="n">
        <v>1</v>
      </c>
      <c r="L58" s="93"/>
      <c r="M58" s="93"/>
      <c r="N58" s="113"/>
      <c r="O58" s="113"/>
      <c r="P58" s="113"/>
      <c r="Q58" s="33"/>
      <c r="S58" s="31" t="s">
        <v>85</v>
      </c>
      <c r="T58" s="93" t="n">
        <v>1</v>
      </c>
      <c r="U58" s="93"/>
      <c r="V58" s="93"/>
      <c r="W58" s="113"/>
      <c r="X58" s="113"/>
      <c r="Y58" s="113"/>
      <c r="Z58" s="33"/>
      <c r="AB58" s="31" t="s">
        <v>85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86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86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86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86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87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87</v>
      </c>
      <c r="K60" s="77" t="n">
        <v>20</v>
      </c>
      <c r="L60" s="93"/>
      <c r="M60" s="93"/>
      <c r="N60" s="113"/>
      <c r="O60" s="113"/>
      <c r="P60" s="113"/>
      <c r="Q60" s="33"/>
      <c r="S60" s="76" t="s">
        <v>87</v>
      </c>
      <c r="T60" s="77" t="n">
        <v>10</v>
      </c>
      <c r="U60" s="93"/>
      <c r="V60" s="93"/>
      <c r="W60" s="113"/>
      <c r="X60" s="113"/>
      <c r="Y60" s="113"/>
      <c r="Z60" s="33"/>
      <c r="AB60" s="76" t="s">
        <v>87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88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88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88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88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89</v>
      </c>
      <c r="B63" s="257" t="n">
        <v>0.109</v>
      </c>
      <c r="C63" s="93"/>
      <c r="D63" s="93"/>
      <c r="E63" s="113"/>
      <c r="F63" s="113"/>
      <c r="G63" s="113"/>
      <c r="H63" s="33"/>
      <c r="J63" s="80" t="s">
        <v>89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89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89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90</v>
      </c>
      <c r="B64" s="258" t="n">
        <v>0.0425</v>
      </c>
      <c r="C64" s="93"/>
      <c r="D64" s="93"/>
      <c r="E64" s="113"/>
      <c r="F64" s="113"/>
      <c r="G64" s="113"/>
      <c r="H64" s="33"/>
      <c r="J64" s="82" t="s">
        <v>90</v>
      </c>
      <c r="K64" s="258" t="n">
        <v>0.1</v>
      </c>
      <c r="L64" s="93"/>
      <c r="M64" s="93"/>
      <c r="N64" s="113"/>
      <c r="O64" s="113"/>
      <c r="P64" s="113"/>
      <c r="Q64" s="33"/>
      <c r="S64" s="82" t="s">
        <v>90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90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91</v>
      </c>
      <c r="B65" s="65" t="n">
        <f aca="false">(B89*B59)-(K47*K29)</f>
        <v>25393.4450551006</v>
      </c>
      <c r="C65" s="93"/>
      <c r="D65" s="93"/>
      <c r="E65" s="113"/>
      <c r="F65" s="113"/>
      <c r="G65" s="113"/>
      <c r="H65" s="33"/>
      <c r="J65" s="56" t="s">
        <v>91</v>
      </c>
      <c r="K65" s="65" t="n">
        <f aca="false">(K89*K59)-(K47*K29)</f>
        <v>1762.53473930903</v>
      </c>
      <c r="L65" s="93"/>
      <c r="M65" s="93"/>
      <c r="N65" s="113"/>
      <c r="O65" s="113"/>
      <c r="P65" s="113"/>
      <c r="Q65" s="33"/>
      <c r="S65" s="56" t="s">
        <v>91</v>
      </c>
      <c r="T65" s="65" t="n">
        <f aca="false">(T89*T59)-(K47*K29)</f>
        <v>17217.8484234279</v>
      </c>
      <c r="U65" s="93"/>
      <c r="V65" s="93"/>
      <c r="W65" s="113"/>
      <c r="X65" s="113"/>
      <c r="Y65" s="113"/>
      <c r="Z65" s="33"/>
      <c r="AB65" s="56" t="s">
        <v>91</v>
      </c>
      <c r="AC65" s="65" t="n">
        <f aca="false">(AC89*AC59)-(K47*K29)</f>
        <v>485.288946189707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92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92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92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93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93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93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93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94</v>
      </c>
      <c r="B68" s="65" t="n">
        <f aca="false">(G158*B67)/1.2</f>
        <v>552.755870138889</v>
      </c>
      <c r="C68" s="93"/>
      <c r="D68" s="93"/>
      <c r="E68" s="113"/>
      <c r="F68" s="113"/>
      <c r="G68" s="113"/>
      <c r="H68" s="33"/>
      <c r="J68" s="56" t="s">
        <v>94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94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94</v>
      </c>
      <c r="AC68" s="65" t="n">
        <f aca="false">AH158*AC67</f>
        <v>445.214833958333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95</v>
      </c>
      <c r="B69" s="256" t="n">
        <v>0</v>
      </c>
      <c r="C69" s="93"/>
      <c r="D69" s="93"/>
      <c r="E69" s="113"/>
      <c r="F69" s="113"/>
      <c r="G69" s="113"/>
      <c r="H69" s="33"/>
      <c r="J69" s="78" t="s">
        <v>95</v>
      </c>
      <c r="K69" s="256" t="n">
        <v>0</v>
      </c>
      <c r="L69" s="93"/>
      <c r="M69" s="93"/>
      <c r="N69" s="113"/>
      <c r="O69" s="113"/>
      <c r="P69" s="113"/>
      <c r="Q69" s="33"/>
      <c r="S69" s="78" t="s">
        <v>95</v>
      </c>
      <c r="T69" s="256" t="n">
        <v>0</v>
      </c>
      <c r="U69" s="93"/>
      <c r="V69" s="93"/>
      <c r="W69" s="113"/>
      <c r="X69" s="113"/>
      <c r="Y69" s="113"/>
      <c r="Z69" s="33"/>
      <c r="AB69" s="78" t="s">
        <v>95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96</v>
      </c>
      <c r="B70" s="257" t="n">
        <v>0</v>
      </c>
      <c r="C70" s="93"/>
      <c r="D70" s="93"/>
      <c r="E70" s="113"/>
      <c r="F70" s="113"/>
      <c r="G70" s="113"/>
      <c r="H70" s="33"/>
      <c r="J70" s="80" t="s">
        <v>96</v>
      </c>
      <c r="K70" s="257" t="n">
        <v>0</v>
      </c>
      <c r="L70" s="93"/>
      <c r="M70" s="93"/>
      <c r="N70" s="113"/>
      <c r="O70" s="113"/>
      <c r="P70" s="113"/>
      <c r="Q70" s="33"/>
      <c r="S70" s="80" t="s">
        <v>96</v>
      </c>
      <c r="T70" s="257" t="n">
        <v>0</v>
      </c>
      <c r="U70" s="93"/>
      <c r="V70" s="93"/>
      <c r="W70" s="113"/>
      <c r="X70" s="113"/>
      <c r="Y70" s="113"/>
      <c r="Z70" s="33"/>
      <c r="AB70" s="80" t="s">
        <v>96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97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97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97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98</v>
      </c>
      <c r="B72" s="86" t="n">
        <v>0</v>
      </c>
      <c r="C72" s="93"/>
      <c r="D72" s="93"/>
      <c r="E72" s="113"/>
      <c r="F72" s="113"/>
      <c r="G72" s="113"/>
      <c r="H72" s="33"/>
      <c r="J72" s="78" t="s">
        <v>98</v>
      </c>
      <c r="K72" s="86" t="n">
        <v>0</v>
      </c>
      <c r="L72" s="93"/>
      <c r="M72" s="93"/>
      <c r="N72" s="113"/>
      <c r="O72" s="113"/>
      <c r="P72" s="113"/>
      <c r="Q72" s="33"/>
      <c r="S72" s="78" t="s">
        <v>98</v>
      </c>
      <c r="T72" s="86" t="n">
        <v>0</v>
      </c>
      <c r="U72" s="93"/>
      <c r="V72" s="93"/>
      <c r="W72" s="113"/>
      <c r="X72" s="113"/>
      <c r="Y72" s="113"/>
      <c r="Z72" s="33"/>
      <c r="AB72" s="78" t="s">
        <v>98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99</v>
      </c>
      <c r="B73" s="77" t="n">
        <v>0</v>
      </c>
      <c r="C73" s="93"/>
      <c r="D73" s="93"/>
      <c r="E73" s="113"/>
      <c r="F73" s="113"/>
      <c r="G73" s="113"/>
      <c r="H73" s="33"/>
      <c r="J73" s="80" t="s">
        <v>99</v>
      </c>
      <c r="K73" s="77" t="n">
        <v>0</v>
      </c>
      <c r="L73" s="93"/>
      <c r="M73" s="93"/>
      <c r="N73" s="113"/>
      <c r="O73" s="113"/>
      <c r="P73" s="113"/>
      <c r="Q73" s="33"/>
      <c r="S73" s="80" t="s">
        <v>99</v>
      </c>
      <c r="T73" s="77" t="n">
        <v>0</v>
      </c>
      <c r="U73" s="93"/>
      <c r="V73" s="93"/>
      <c r="W73" s="113"/>
      <c r="X73" s="113"/>
      <c r="Y73" s="113"/>
      <c r="Z73" s="33"/>
      <c r="AB73" s="80" t="s">
        <v>99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100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100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100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100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101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101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101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101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102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102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102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102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103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103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103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104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104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104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104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105</v>
      </c>
      <c r="B79" s="59" t="n">
        <f aca="false">K47</f>
        <v>1412.88838918093</v>
      </c>
      <c r="C79" s="93"/>
      <c r="D79" s="93"/>
      <c r="E79" s="113"/>
      <c r="F79" s="113"/>
      <c r="G79" s="113"/>
      <c r="H79" s="33"/>
      <c r="J79" s="90" t="s">
        <v>105</v>
      </c>
      <c r="K79" s="59" t="n">
        <f aca="false">K47</f>
        <v>1412.88838918093</v>
      </c>
      <c r="L79" s="93"/>
      <c r="M79" s="93"/>
      <c r="N79" s="113"/>
      <c r="O79" s="113"/>
      <c r="P79" s="113"/>
      <c r="Q79" s="33"/>
      <c r="S79" s="90" t="s">
        <v>105</v>
      </c>
      <c r="T79" s="59" t="n">
        <f aca="false">B52</f>
        <v>1412.88838918093</v>
      </c>
      <c r="U79" s="93"/>
      <c r="V79" s="93"/>
      <c r="W79" s="113"/>
      <c r="X79" s="113"/>
      <c r="Y79" s="113"/>
      <c r="Z79" s="33"/>
      <c r="AB79" s="90" t="s">
        <v>105</v>
      </c>
      <c r="AC79" s="59" t="n">
        <f aca="false">B52</f>
        <v>1412.88838918093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106</v>
      </c>
      <c r="B81" s="27" t="n">
        <f aca="false">G158</f>
        <v>67741.996</v>
      </c>
      <c r="C81" s="93"/>
      <c r="D81" s="93"/>
      <c r="E81" s="113"/>
      <c r="F81" s="25" t="s">
        <v>106</v>
      </c>
      <c r="G81" s="27" t="n">
        <f aca="false">G158</f>
        <v>67741.996</v>
      </c>
      <c r="H81" s="33"/>
      <c r="J81" s="25" t="s">
        <v>106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106</v>
      </c>
      <c r="T81" s="27" t="n">
        <f aca="false">Y158</f>
        <v>59384.43749</v>
      </c>
      <c r="U81" s="93"/>
      <c r="V81" s="93"/>
      <c r="W81" s="113"/>
      <c r="X81" s="113"/>
      <c r="Y81" s="113"/>
      <c r="Z81" s="33"/>
      <c r="AB81" s="25" t="s">
        <v>106</v>
      </c>
      <c r="AC81" s="27" t="n">
        <f aca="false">AH158</f>
        <v>45468.749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107</v>
      </c>
      <c r="B82" s="33" t="n">
        <f aca="false">IF(A111="YES",A40,0)</f>
        <v>5760</v>
      </c>
      <c r="C82" s="93"/>
      <c r="D82" s="93"/>
      <c r="E82" s="113"/>
      <c r="F82" s="31" t="s">
        <v>107</v>
      </c>
      <c r="G82" s="33" t="n">
        <f aca="false">IF(A111="YES",A40,0)</f>
        <v>5760</v>
      </c>
      <c r="H82" s="33"/>
      <c r="J82" s="31" t="s">
        <v>107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107</v>
      </c>
      <c r="T82" s="33" t="n">
        <f aca="false">A40</f>
        <v>5760</v>
      </c>
      <c r="U82" s="93"/>
      <c r="V82" s="93"/>
      <c r="W82" s="113"/>
      <c r="X82" s="113"/>
      <c r="Y82" s="113"/>
      <c r="Z82" s="33"/>
      <c r="AB82" s="31" t="s">
        <v>107</v>
      </c>
      <c r="AC82" s="33" t="n">
        <f aca="false">A40</f>
        <v>5760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108</v>
      </c>
      <c r="B83" s="92" t="n">
        <f aca="false">B62+B63+B64</f>
        <v>0.115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31" t="s">
        <v>108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108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108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109</v>
      </c>
      <c r="B84" s="92" t="n">
        <f aca="false">B83/12</f>
        <v>0.00958333333333333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31" t="s">
        <v>109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109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109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34</v>
      </c>
      <c r="C85" s="93"/>
      <c r="D85" s="93"/>
      <c r="E85" s="113"/>
      <c r="F85" s="31" t="s">
        <v>110</v>
      </c>
      <c r="G85" s="33" t="n">
        <f aca="false">IF(G82=0, (B59+B58), (B59))</f>
        <v>34</v>
      </c>
      <c r="H85" s="33"/>
      <c r="J85" s="31" t="s">
        <v>110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110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110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4125.21367271309</v>
      </c>
      <c r="C86" s="93"/>
      <c r="D86" s="93"/>
      <c r="E86" s="113"/>
      <c r="F86" s="31" t="s">
        <v>111</v>
      </c>
      <c r="G86" s="33" t="n">
        <f aca="false">(G82/((1+G84)^(G85+1)))</f>
        <v>4767.7083018723</v>
      </c>
      <c r="H86" s="33"/>
      <c r="J86" s="31" t="s">
        <v>111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111</v>
      </c>
      <c r="T86" s="33" t="n">
        <f aca="false">(T82/((1+T84)^(T85+1)))</f>
        <v>3938.9911005945</v>
      </c>
      <c r="U86" s="93"/>
      <c r="V86" s="93"/>
      <c r="W86" s="113"/>
      <c r="X86" s="113"/>
      <c r="Y86" s="113"/>
      <c r="Z86" s="33"/>
      <c r="AB86" s="31" t="s">
        <v>111</v>
      </c>
      <c r="AC86" s="33" t="n">
        <f aca="false">(AC82/((1+AC84)^(AC85+1)))</f>
        <v>3938.9911005945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28.8995114056174</v>
      </c>
      <c r="C87" s="93"/>
      <c r="D87" s="93"/>
      <c r="E87" s="113"/>
      <c r="F87" s="31" t="s">
        <v>112</v>
      </c>
      <c r="G87" s="33" t="n">
        <f aca="false">((1-(1/((1+G84)^G85)))/G84)</f>
        <v>30.9764939580949</v>
      </c>
      <c r="H87" s="33"/>
      <c r="J87" s="31" t="s">
        <v>112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112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112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113</v>
      </c>
      <c r="B88" s="33" t="n">
        <f aca="false">B81-B86</f>
        <v>63616.7823272869</v>
      </c>
      <c r="C88" s="93"/>
      <c r="D88" s="93"/>
      <c r="E88" s="113"/>
      <c r="F88" s="31" t="s">
        <v>113</v>
      </c>
      <c r="G88" s="33" t="n">
        <f aca="false">G81-G86</f>
        <v>62974.2876981277</v>
      </c>
      <c r="H88" s="33"/>
      <c r="J88" s="31" t="s">
        <v>113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113</v>
      </c>
      <c r="T88" s="33" t="n">
        <f aca="false">T81-T86</f>
        <v>55445.4463894055</v>
      </c>
      <c r="U88" s="93"/>
      <c r="V88" s="93"/>
      <c r="W88" s="113"/>
      <c r="X88" s="113"/>
      <c r="Y88" s="113"/>
      <c r="Z88" s="33"/>
      <c r="AB88" s="31" t="s">
        <v>113</v>
      </c>
      <c r="AC88" s="33" t="n">
        <f aca="false">AC81-AC86</f>
        <v>41529.7578994055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114</v>
      </c>
      <c r="B89" s="33" t="n">
        <f aca="false">(B88/B87)</f>
        <v>2201.30996107156</v>
      </c>
      <c r="C89" s="93"/>
      <c r="D89" s="93"/>
      <c r="E89" s="113"/>
      <c r="F89" s="31" t="s">
        <v>114</v>
      </c>
      <c r="G89" s="33" t="n">
        <f aca="false">(G88/G87)</f>
        <v>2032.97015418593</v>
      </c>
      <c r="H89" s="33"/>
      <c r="J89" s="31" t="s">
        <v>114</v>
      </c>
      <c r="K89" s="33" t="n">
        <f aca="false">(K88/K87)</f>
        <v>1506.2831870777</v>
      </c>
      <c r="L89" s="93"/>
      <c r="M89" s="93"/>
      <c r="N89" s="113"/>
      <c r="O89" s="113"/>
      <c r="P89" s="113"/>
      <c r="Q89" s="33"/>
      <c r="S89" s="31" t="s">
        <v>114</v>
      </c>
      <c r="T89" s="33" t="n">
        <f aca="false">(T88/T87)</f>
        <v>1960.8512366106</v>
      </c>
      <c r="U89" s="93"/>
      <c r="V89" s="93"/>
      <c r="W89" s="113"/>
      <c r="X89" s="113"/>
      <c r="Y89" s="113"/>
      <c r="Z89" s="33"/>
      <c r="AB89" s="31" t="s">
        <v>114</v>
      </c>
      <c r="AC89" s="33" t="n">
        <f aca="false">(AC88/AC87)</f>
        <v>1468.71713433889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74844.5386764332</v>
      </c>
      <c r="C90" s="93"/>
      <c r="D90" s="93"/>
      <c r="E90" s="113"/>
      <c r="F90" s="31" t="s">
        <v>115</v>
      </c>
      <c r="G90" s="33" t="n">
        <f aca="false">((G89*(G85))+G77)</f>
        <v>69120.9852423217</v>
      </c>
      <c r="H90" s="33"/>
      <c r="J90" s="31" t="s">
        <v>115</v>
      </c>
      <c r="K90" s="33" t="n">
        <f aca="false">((K89*(K85))+K77)</f>
        <v>52719.9115477193</v>
      </c>
      <c r="L90" s="93"/>
      <c r="M90" s="93"/>
      <c r="N90" s="113"/>
      <c r="O90" s="113"/>
      <c r="P90" s="113"/>
      <c r="Q90" s="33"/>
      <c r="S90" s="31" t="s">
        <v>115</v>
      </c>
      <c r="T90" s="33" t="n">
        <f aca="false">(T89*(T85))+T77</f>
        <v>66668.9420447605</v>
      </c>
      <c r="U90" s="93"/>
      <c r="V90" s="93"/>
      <c r="W90" s="113"/>
      <c r="X90" s="113"/>
      <c r="Y90" s="113"/>
      <c r="Z90" s="33"/>
      <c r="AB90" s="31" t="s">
        <v>115</v>
      </c>
      <c r="AC90" s="33" t="n">
        <f aca="false">(AC89*(AC59))+AC77</f>
        <v>49936.3825675223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116</v>
      </c>
      <c r="B91" s="33" t="n">
        <f aca="false">(B90/(1-B71))*B71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31" t="s">
        <v>116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116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116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117</v>
      </c>
      <c r="B92" s="65" t="n">
        <f aca="false">(B90+B91)</f>
        <v>74844.5386764332</v>
      </c>
      <c r="C92" s="93"/>
      <c r="D92" s="93"/>
      <c r="E92" s="113"/>
      <c r="F92" s="56" t="s">
        <v>117</v>
      </c>
      <c r="G92" s="65" t="n">
        <f aca="false">(G90+G91)</f>
        <v>69120.9852423217</v>
      </c>
      <c r="H92" s="33"/>
      <c r="J92" s="56" t="s">
        <v>117</v>
      </c>
      <c r="K92" s="65" t="n">
        <f aca="false">(K90+K91)</f>
        <v>52719.9115477193</v>
      </c>
      <c r="L92" s="93"/>
      <c r="M92" s="93"/>
      <c r="N92" s="113"/>
      <c r="O92" s="113"/>
      <c r="P92" s="113"/>
      <c r="Q92" s="33"/>
      <c r="S92" s="56" t="s">
        <v>117</v>
      </c>
      <c r="T92" s="65" t="n">
        <f aca="false">(T90+T91)</f>
        <v>66668.9420447605</v>
      </c>
      <c r="U92" s="93"/>
      <c r="V92" s="93"/>
      <c r="W92" s="113"/>
      <c r="X92" s="113"/>
      <c r="Y92" s="113"/>
      <c r="Z92" s="33"/>
      <c r="AB92" s="56" t="s">
        <v>117</v>
      </c>
      <c r="AC92" s="65" t="n">
        <f aca="false">(AC90+AC91)</f>
        <v>49936.3825675223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118</v>
      </c>
      <c r="B94" s="89" t="str">
        <f aca="false">IF(B26="YES",((E40/B85)*(1+A108)*(C45/100)),"0")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88" t="s">
        <v>118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118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118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119</v>
      </c>
      <c r="B95" s="96" t="n">
        <f aca="false">B92/(B85)</f>
        <v>2201.30996107156</v>
      </c>
      <c r="C95" s="93"/>
      <c r="D95" s="93"/>
      <c r="E95" s="113"/>
      <c r="F95" s="95" t="s">
        <v>119</v>
      </c>
      <c r="G95" s="96" t="n">
        <f aca="false">G92/(G85)</f>
        <v>2032.97015418593</v>
      </c>
      <c r="H95" s="33"/>
      <c r="J95" s="95" t="s">
        <v>119</v>
      </c>
      <c r="K95" s="96" t="n">
        <f aca="false">K92/(K85)</f>
        <v>1506.2831870777</v>
      </c>
      <c r="L95" s="93"/>
      <c r="M95" s="93"/>
      <c r="N95" s="113"/>
      <c r="O95" s="113"/>
      <c r="P95" s="113"/>
      <c r="Q95" s="33"/>
      <c r="S95" s="95" t="s">
        <v>119</v>
      </c>
      <c r="T95" s="96" t="n">
        <f aca="false">T92/(T85)</f>
        <v>1960.8512366106</v>
      </c>
      <c r="U95" s="93"/>
      <c r="V95" s="93"/>
      <c r="W95" s="113"/>
      <c r="X95" s="113"/>
      <c r="Y95" s="113"/>
      <c r="Z95" s="33"/>
      <c r="AB95" s="95" t="s">
        <v>119</v>
      </c>
      <c r="AC95" s="96" t="n">
        <f aca="false">AC92/(AC59)</f>
        <v>1468.71713433889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120</v>
      </c>
      <c r="B96" s="98" t="n">
        <f aca="false">(B94+B95)</f>
        <v>2201.30996107156</v>
      </c>
      <c r="C96" s="93"/>
      <c r="D96" s="93"/>
      <c r="E96" s="113"/>
      <c r="F96" s="97" t="s">
        <v>120</v>
      </c>
      <c r="G96" s="98" t="n">
        <f aca="false">G94+G95</f>
        <v>2032.97015418593</v>
      </c>
      <c r="H96" s="33"/>
      <c r="J96" s="97" t="s">
        <v>120</v>
      </c>
      <c r="K96" s="98" t="n">
        <f aca="false">(K94+K95)</f>
        <v>1506.2831870777</v>
      </c>
      <c r="L96" s="93"/>
      <c r="M96" s="93"/>
      <c r="N96" s="113"/>
      <c r="O96" s="113"/>
      <c r="P96" s="113"/>
      <c r="Q96" s="33"/>
      <c r="S96" s="97" t="s">
        <v>120</v>
      </c>
      <c r="T96" s="98" t="n">
        <f aca="false">T94+T95</f>
        <v>1960.8512366106</v>
      </c>
      <c r="U96" s="93"/>
      <c r="V96" s="93"/>
      <c r="W96" s="113"/>
      <c r="X96" s="113"/>
      <c r="Y96" s="113"/>
      <c r="Z96" s="33"/>
      <c r="AB96" s="97" t="s">
        <v>120</v>
      </c>
      <c r="AC96" s="98" t="n">
        <f aca="false">AC94+AC95</f>
        <v>1468.71713433889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124</v>
      </c>
      <c r="B100" s="100"/>
      <c r="C100" s="100"/>
      <c r="D100" s="100"/>
      <c r="E100" s="100"/>
      <c r="F100" s="100"/>
      <c r="G100" s="100"/>
      <c r="H100" s="100"/>
      <c r="J100" s="100" t="s">
        <v>123</v>
      </c>
      <c r="K100" s="100"/>
      <c r="L100" s="100"/>
      <c r="M100" s="100"/>
      <c r="N100" s="100"/>
      <c r="O100" s="100"/>
      <c r="P100" s="100"/>
      <c r="Q100" s="100"/>
      <c r="S100" s="100" t="s">
        <v>124</v>
      </c>
      <c r="T100" s="100"/>
      <c r="U100" s="100"/>
      <c r="V100" s="100"/>
      <c r="W100" s="100"/>
      <c r="X100" s="100"/>
      <c r="Y100" s="100"/>
      <c r="Z100" s="100"/>
      <c r="AB100" s="100" t="s">
        <v>125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8" t="s">
        <v>126</v>
      </c>
      <c r="K102" s="28"/>
      <c r="L102" s="28"/>
      <c r="M102" s="28"/>
      <c r="N102" s="28"/>
      <c r="O102" s="28"/>
      <c r="P102" s="28"/>
      <c r="Q102" s="28"/>
      <c r="S102" s="28" t="s">
        <v>126</v>
      </c>
      <c r="T102" s="28"/>
      <c r="U102" s="28"/>
      <c r="V102" s="28"/>
      <c r="W102" s="28"/>
      <c r="X102" s="28"/>
      <c r="Y102" s="28"/>
      <c r="Z102" s="28"/>
      <c r="AB102" s="28" t="s">
        <v>126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31" t="s">
        <v>127</v>
      </c>
      <c r="K104" s="93" t="s">
        <v>23</v>
      </c>
      <c r="L104" s="93"/>
      <c r="M104" s="93"/>
      <c r="N104" s="93" t="s">
        <v>128</v>
      </c>
      <c r="O104" s="93"/>
      <c r="P104" s="93"/>
      <c r="Q104" s="33"/>
      <c r="S104" s="31" t="s">
        <v>127</v>
      </c>
      <c r="T104" s="93" t="s">
        <v>23</v>
      </c>
      <c r="U104" s="93"/>
      <c r="V104" s="93"/>
      <c r="W104" s="93" t="s">
        <v>128</v>
      </c>
      <c r="X104" s="93"/>
      <c r="Y104" s="93"/>
      <c r="Z104" s="33"/>
      <c r="AB104" s="31" t="s">
        <v>127</v>
      </c>
      <c r="AC104" s="93" t="s">
        <v>23</v>
      </c>
      <c r="AD104" s="93"/>
      <c r="AE104" s="93"/>
      <c r="AF104" s="93" t="s">
        <v>128</v>
      </c>
      <c r="AG104" s="93"/>
      <c r="AH104" s="93"/>
      <c r="AI104" s="33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390</v>
      </c>
      <c r="F105" s="104"/>
      <c r="G105" s="104"/>
      <c r="H105" s="102"/>
      <c r="J105" s="36" t="s">
        <v>129</v>
      </c>
      <c r="K105" s="103" t="s">
        <v>130</v>
      </c>
      <c r="L105" s="103"/>
      <c r="M105" s="103"/>
      <c r="N105" s="104" t="s">
        <v>18</v>
      </c>
      <c r="O105" s="104"/>
      <c r="P105" s="104"/>
      <c r="Q105" s="102"/>
      <c r="S105" s="36" t="s">
        <v>129</v>
      </c>
      <c r="T105" s="103" t="s">
        <v>130</v>
      </c>
      <c r="U105" s="103"/>
      <c r="V105" s="103"/>
      <c r="W105" s="104" t="s">
        <v>18</v>
      </c>
      <c r="X105" s="104"/>
      <c r="Y105" s="104"/>
      <c r="Z105" s="102"/>
      <c r="AB105" s="36" t="s">
        <v>129</v>
      </c>
      <c r="AC105" s="103" t="s">
        <v>130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31" t="s">
        <v>131</v>
      </c>
      <c r="K107" s="93" t="s">
        <v>132</v>
      </c>
      <c r="L107" s="93"/>
      <c r="M107" s="113"/>
      <c r="N107" s="93" t="s">
        <v>133</v>
      </c>
      <c r="O107" s="93"/>
      <c r="P107" s="113"/>
      <c r="Q107" s="102"/>
      <c r="S107" s="31" t="s">
        <v>131</v>
      </c>
      <c r="T107" s="93" t="s">
        <v>132</v>
      </c>
      <c r="U107" s="93"/>
      <c r="V107" s="113"/>
      <c r="W107" s="93" t="s">
        <v>133</v>
      </c>
      <c r="X107" s="93"/>
      <c r="Y107" s="113"/>
      <c r="Z107" s="102"/>
      <c r="AB107" s="31" t="s">
        <v>131</v>
      </c>
      <c r="AC107" s="93" t="s">
        <v>132</v>
      </c>
      <c r="AD107" s="93"/>
      <c r="AE107" s="113"/>
      <c r="AF107" s="93" t="s">
        <v>133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406</v>
      </c>
      <c r="C108" s="107"/>
      <c r="D108" s="107"/>
      <c r="E108" s="108" t="n">
        <f aca="false">B83</f>
        <v>0.115</v>
      </c>
      <c r="F108" s="108"/>
      <c r="G108" s="108"/>
      <c r="H108" s="47"/>
      <c r="J108" s="106" t="n">
        <v>0.3</v>
      </c>
      <c r="K108" s="107" t="s">
        <v>134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135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135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31" t="s">
        <v>137</v>
      </c>
      <c r="K110" s="93" t="s">
        <v>138</v>
      </c>
      <c r="L110" s="93"/>
      <c r="M110" s="93"/>
      <c r="N110" s="93" t="s">
        <v>139</v>
      </c>
      <c r="O110" s="93"/>
      <c r="P110" s="93"/>
      <c r="Q110" s="33"/>
      <c r="S110" s="31" t="s">
        <v>137</v>
      </c>
      <c r="T110" s="93" t="s">
        <v>138</v>
      </c>
      <c r="U110" s="93"/>
      <c r="V110" s="93"/>
      <c r="W110" s="93" t="s">
        <v>139</v>
      </c>
      <c r="X110" s="93"/>
      <c r="Y110" s="93"/>
      <c r="Z110" s="33"/>
      <c r="AB110" s="31" t="s">
        <v>137</v>
      </c>
      <c r="AC110" s="93" t="s">
        <v>138</v>
      </c>
      <c r="AD110" s="93"/>
      <c r="AE110" s="93"/>
      <c r="AF110" s="93" t="s">
        <v>139</v>
      </c>
      <c r="AG110" s="93"/>
      <c r="AH110" s="93"/>
      <c r="AI110" s="33"/>
    </row>
    <row r="111" customFormat="false" ht="17.35" hidden="false" customHeight="false" outlineLevel="0" collapsed="false">
      <c r="A111" s="40" t="s">
        <v>390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110" t="s">
        <v>140</v>
      </c>
      <c r="K113" s="93" t="s">
        <v>141</v>
      </c>
      <c r="L113" s="93"/>
      <c r="M113" s="93"/>
      <c r="N113" s="93" t="s">
        <v>142</v>
      </c>
      <c r="O113" s="93"/>
      <c r="P113" s="113"/>
      <c r="Q113" s="102"/>
      <c r="S113" s="110" t="s">
        <v>140</v>
      </c>
      <c r="T113" s="93" t="s">
        <v>141</v>
      </c>
      <c r="U113" s="93"/>
      <c r="V113" s="93"/>
      <c r="W113" s="93" t="s">
        <v>142</v>
      </c>
      <c r="X113" s="93"/>
      <c r="Y113" s="113"/>
      <c r="Z113" s="102"/>
      <c r="AB113" s="110" t="s">
        <v>140</v>
      </c>
      <c r="AC113" s="93" t="s">
        <v>141</v>
      </c>
      <c r="AD113" s="93"/>
      <c r="AE113" s="93"/>
      <c r="AF113" s="93" t="s">
        <v>142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397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144</v>
      </c>
      <c r="K117" s="28"/>
      <c r="L117" s="28"/>
      <c r="M117" s="28"/>
      <c r="N117" s="28"/>
      <c r="O117" s="28"/>
      <c r="P117" s="28"/>
      <c r="Q117" s="28"/>
      <c r="S117" s="28" t="s">
        <v>144</v>
      </c>
      <c r="T117" s="28"/>
      <c r="U117" s="28"/>
      <c r="V117" s="28"/>
      <c r="W117" s="28"/>
      <c r="X117" s="28"/>
      <c r="Y117" s="28"/>
      <c r="Z117" s="28"/>
      <c r="AB117" s="28" t="s">
        <v>144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78"/>
      <c r="K119" s="114" t="s">
        <v>145</v>
      </c>
      <c r="L119" s="114"/>
      <c r="M119" s="114" t="s">
        <v>146</v>
      </c>
      <c r="N119" s="114"/>
      <c r="O119" s="114" t="s">
        <v>147</v>
      </c>
      <c r="P119" s="114"/>
      <c r="Q119" s="115" t="s">
        <v>148</v>
      </c>
      <c r="S119" s="78"/>
      <c r="T119" s="114" t="s">
        <v>145</v>
      </c>
      <c r="U119" s="114"/>
      <c r="V119" s="114" t="s">
        <v>146</v>
      </c>
      <c r="W119" s="114"/>
      <c r="X119" s="114" t="s">
        <v>147</v>
      </c>
      <c r="Y119" s="114"/>
      <c r="Z119" s="115" t="s">
        <v>148</v>
      </c>
      <c r="AB119" s="78"/>
      <c r="AC119" s="114" t="s">
        <v>145</v>
      </c>
      <c r="AD119" s="114"/>
      <c r="AE119" s="114" t="s">
        <v>146</v>
      </c>
      <c r="AF119" s="114"/>
      <c r="AG119" s="114" t="s">
        <v>147</v>
      </c>
      <c r="AH119" s="114"/>
      <c r="AI119" s="115" t="s">
        <v>148</v>
      </c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80"/>
      <c r="K120" s="116" t="s">
        <v>149</v>
      </c>
      <c r="L120" s="117" t="s">
        <v>150</v>
      </c>
      <c r="M120" s="116" t="s">
        <v>149</v>
      </c>
      <c r="N120" s="118" t="s">
        <v>150</v>
      </c>
      <c r="O120" s="116" t="s">
        <v>149</v>
      </c>
      <c r="P120" s="118" t="s">
        <v>150</v>
      </c>
      <c r="Q120" s="119"/>
      <c r="S120" s="80"/>
      <c r="T120" s="116" t="s">
        <v>149</v>
      </c>
      <c r="U120" s="117" t="s">
        <v>150</v>
      </c>
      <c r="V120" s="116" t="s">
        <v>149</v>
      </c>
      <c r="W120" s="118" t="s">
        <v>150</v>
      </c>
      <c r="X120" s="116" t="s">
        <v>149</v>
      </c>
      <c r="Y120" s="118" t="s">
        <v>150</v>
      </c>
      <c r="Z120" s="119"/>
      <c r="AB120" s="80"/>
      <c r="AC120" s="116" t="s">
        <v>149</v>
      </c>
      <c r="AD120" s="117" t="s">
        <v>150</v>
      </c>
      <c r="AE120" s="116" t="s">
        <v>149</v>
      </c>
      <c r="AF120" s="118" t="s">
        <v>150</v>
      </c>
      <c r="AG120" s="116" t="s">
        <v>149</v>
      </c>
      <c r="AH120" s="118" t="s">
        <v>150</v>
      </c>
      <c r="AI120" s="119"/>
    </row>
    <row r="121" customFormat="false" ht="17.35" hidden="false" customHeight="false" outlineLevel="0" collapsed="false">
      <c r="A121" s="25" t="s">
        <v>151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151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151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151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152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152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152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152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153</v>
      </c>
      <c r="B123" s="130" t="n">
        <f aca="false">B5</f>
        <v>0</v>
      </c>
      <c r="C123" s="121" t="n">
        <v>-3775.5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153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153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153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-9755.83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154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154</v>
      </c>
      <c r="T124" s="130" t="n">
        <f aca="false">(T121*T122)+T123</f>
        <v>0</v>
      </c>
      <c r="U124" s="131" t="n">
        <f aca="false">(U121*U122/100)+U123</f>
        <v>117.135425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154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155</v>
      </c>
      <c r="B125" s="132" t="n">
        <f aca="false">B121-B124</f>
        <v>46854.17</v>
      </c>
      <c r="C125" s="133" t="n">
        <f aca="false">C121-C124</f>
        <v>56610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155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155</v>
      </c>
      <c r="T125" s="132" t="n">
        <f aca="false">T121-T124</f>
        <v>46854.17</v>
      </c>
      <c r="U125" s="133" t="n">
        <f aca="false">U121-U124</f>
        <v>46737.034575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155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134"/>
      <c r="K127" s="135"/>
      <c r="L127" s="135"/>
      <c r="M127" s="135"/>
      <c r="N127" s="135"/>
      <c r="O127" s="135"/>
      <c r="P127" s="136" t="s">
        <v>149</v>
      </c>
      <c r="Q127" s="137" t="s">
        <v>150</v>
      </c>
      <c r="S127" s="134"/>
      <c r="T127" s="135"/>
      <c r="U127" s="135"/>
      <c r="V127" s="135"/>
      <c r="W127" s="135"/>
      <c r="X127" s="135"/>
      <c r="Y127" s="136" t="s">
        <v>149</v>
      </c>
      <c r="Z127" s="137" t="s">
        <v>150</v>
      </c>
      <c r="AB127" s="134"/>
      <c r="AC127" s="135"/>
      <c r="AD127" s="135"/>
      <c r="AE127" s="135"/>
      <c r="AF127" s="135"/>
      <c r="AG127" s="135"/>
      <c r="AH127" s="136" t="s">
        <v>149</v>
      </c>
      <c r="AI127" s="137" t="s">
        <v>150</v>
      </c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156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156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156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147" t="s">
        <v>157</v>
      </c>
      <c r="K130" s="144" t="s">
        <v>158</v>
      </c>
      <c r="L130" s="144"/>
      <c r="M130" s="144" t="s">
        <v>159</v>
      </c>
      <c r="N130" s="144"/>
      <c r="O130" s="144" t="s">
        <v>153</v>
      </c>
      <c r="P130" s="144"/>
      <c r="Q130" s="145" t="s">
        <v>150</v>
      </c>
      <c r="S130" s="147" t="s">
        <v>157</v>
      </c>
      <c r="T130" s="144" t="s">
        <v>158</v>
      </c>
      <c r="U130" s="144"/>
      <c r="V130" s="144" t="s">
        <v>159</v>
      </c>
      <c r="W130" s="144"/>
      <c r="X130" s="144" t="s">
        <v>153</v>
      </c>
      <c r="Y130" s="144"/>
      <c r="Z130" s="145" t="s">
        <v>150</v>
      </c>
      <c r="AB130" s="147" t="s">
        <v>157</v>
      </c>
      <c r="AC130" s="144" t="s">
        <v>158</v>
      </c>
      <c r="AD130" s="144"/>
      <c r="AE130" s="144" t="s">
        <v>159</v>
      </c>
      <c r="AF130" s="144"/>
      <c r="AG130" s="144" t="s">
        <v>153</v>
      </c>
      <c r="AH130" s="144"/>
      <c r="AI130" s="145" t="s">
        <v>150</v>
      </c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160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160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160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161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161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161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162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162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162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57443.33</v>
      </c>
      <c r="J135" s="152" t="s">
        <v>163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163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47570.364575</v>
      </c>
      <c r="AB135" s="152" t="s">
        <v>163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164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164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164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11598.666</v>
      </c>
      <c r="J137" s="154" t="s">
        <v>165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165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9624.072915</v>
      </c>
      <c r="AB137" s="154" t="s">
        <v>165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166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166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166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167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167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167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168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168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168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70241.996</v>
      </c>
      <c r="J141" s="154" t="s">
        <v>169</v>
      </c>
      <c r="K141" s="154"/>
      <c r="L141" s="154"/>
      <c r="M141" s="154"/>
      <c r="N141" s="154"/>
      <c r="O141" s="154"/>
      <c r="P141" s="453" t="n">
        <f aca="false">H15</f>
        <v>58535</v>
      </c>
      <c r="Q141" s="157" t="n">
        <f aca="false">(Q135+Q136+Q139+Q140+Q137)-Q138</f>
        <v>36655</v>
      </c>
      <c r="S141" s="154" t="s">
        <v>169</v>
      </c>
      <c r="T141" s="154"/>
      <c r="U141" s="154"/>
      <c r="V141" s="154"/>
      <c r="W141" s="154"/>
      <c r="X141" s="154"/>
      <c r="Y141" s="453" t="n">
        <f aca="false">H15</f>
        <v>58535</v>
      </c>
      <c r="Z141" s="157" t="n">
        <f aca="false">(Z135+Z136+Z139+Z140+Z137)-Z138</f>
        <v>58384.43749</v>
      </c>
      <c r="AB141" s="154" t="s">
        <v>169</v>
      </c>
      <c r="AC141" s="154"/>
      <c r="AD141" s="154"/>
      <c r="AE141" s="154"/>
      <c r="AF141" s="154"/>
      <c r="AG141" s="154"/>
      <c r="AH141" s="453" t="n">
        <f aca="false">H15</f>
        <v>58535</v>
      </c>
      <c r="AI141" s="157" t="n">
        <f aca="false">(AI135+AI136+AI139+AI140+AI137)-AI138</f>
        <v>44468.749</v>
      </c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170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170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170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111" t="s">
        <v>171</v>
      </c>
      <c r="K143" s="111"/>
      <c r="L143" s="111"/>
      <c r="M143" s="111"/>
      <c r="N143" s="111"/>
      <c r="O143" s="111"/>
      <c r="P143" s="103"/>
      <c r="Q143" s="33"/>
      <c r="S143" s="111" t="s">
        <v>171</v>
      </c>
      <c r="T143" s="111"/>
      <c r="U143" s="111"/>
      <c r="V143" s="111"/>
      <c r="W143" s="111"/>
      <c r="X143" s="111"/>
      <c r="Y143" s="103"/>
      <c r="Z143" s="33"/>
      <c r="AB143" s="111" t="s">
        <v>171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172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172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172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172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172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172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172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172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172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172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70241.996</v>
      </c>
      <c r="J147" s="154" t="s">
        <v>173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58535</v>
      </c>
      <c r="Q147" s="164" t="n">
        <f aca="false">Q141-((Q144*1.2)+(Q145*1.2)+(Q146*1.2)+(Q142*1.2))</f>
        <v>36655</v>
      </c>
      <c r="S147" s="154" t="s">
        <v>173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58535</v>
      </c>
      <c r="Z147" s="164" t="n">
        <f aca="false">Z141-((Z144*1.2)+(Z145*1.2)+(Z146*1.2)+(Z142*1.2))</f>
        <v>58384.43749</v>
      </c>
      <c r="AB147" s="154" t="s">
        <v>173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58535</v>
      </c>
      <c r="AI147" s="164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9755.83</v>
      </c>
      <c r="I148" s="1" t="n">
        <f aca="false">(H148-G81)/1.2</f>
        <v>-48321.805</v>
      </c>
      <c r="J148" s="154" t="s">
        <v>174</v>
      </c>
      <c r="K148" s="154"/>
      <c r="L148" s="154"/>
      <c r="M148" s="154"/>
      <c r="N148" s="154"/>
      <c r="O148" s="154"/>
      <c r="P148" s="155"/>
      <c r="Q148" s="40" t="n">
        <f aca="false">Q147-P147</f>
        <v>-21880</v>
      </c>
      <c r="S148" s="154" t="s">
        <v>174</v>
      </c>
      <c r="T148" s="154"/>
      <c r="U148" s="154"/>
      <c r="V148" s="154"/>
      <c r="W148" s="154"/>
      <c r="X148" s="154"/>
      <c r="Y148" s="155"/>
      <c r="Z148" s="40" t="n">
        <f aca="false">Z147-Y147</f>
        <v>-150.562510000003</v>
      </c>
      <c r="AB148" s="154" t="s">
        <v>174</v>
      </c>
      <c r="AC148" s="154"/>
      <c r="AD148" s="154"/>
      <c r="AE148" s="154"/>
      <c r="AF148" s="154"/>
      <c r="AG148" s="154"/>
      <c r="AH148" s="155"/>
      <c r="AI148" s="40" t="n">
        <f aca="false">AI147-AH147</f>
        <v>-14066.251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8" t="s">
        <v>175</v>
      </c>
      <c r="K150" s="28"/>
      <c r="L150" s="28"/>
      <c r="M150" s="28"/>
      <c r="N150" s="28"/>
      <c r="O150" s="28"/>
      <c r="P150" s="28"/>
      <c r="Q150" s="28"/>
      <c r="S150" s="28" t="s">
        <v>175</v>
      </c>
      <c r="T150" s="28"/>
      <c r="U150" s="28"/>
      <c r="V150" s="28"/>
      <c r="W150" s="28"/>
      <c r="X150" s="28"/>
      <c r="Y150" s="28"/>
      <c r="Z150" s="28"/>
      <c r="AB150" s="28" t="s">
        <v>175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176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176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176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177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177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177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178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178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178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179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179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179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180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180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180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67741.996</v>
      </c>
      <c r="H158" s="170"/>
      <c r="J158" s="169" t="s">
        <v>181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181</v>
      </c>
      <c r="T158" s="93"/>
      <c r="U158" s="93"/>
      <c r="V158" s="113"/>
      <c r="W158" s="93"/>
      <c r="X158" s="113"/>
      <c r="Y158" s="170" t="n">
        <f aca="false">Z147-Y154-Y157</f>
        <v>59384.43749</v>
      </c>
      <c r="Z158" s="170"/>
      <c r="AB158" s="169" t="s">
        <v>181</v>
      </c>
      <c r="AC158" s="93"/>
      <c r="AD158" s="93"/>
      <c r="AE158" s="113"/>
      <c r="AF158" s="93"/>
      <c r="AG158" s="113"/>
      <c r="AH158" s="170" t="n">
        <f aca="false">AI147-AH154-AH157</f>
        <v>45468.749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8" t="s">
        <v>182</v>
      </c>
      <c r="K162" s="28"/>
      <c r="L162" s="28"/>
      <c r="M162" s="28"/>
      <c r="N162" s="28"/>
      <c r="O162" s="28"/>
      <c r="P162" s="28"/>
      <c r="Q162" s="28"/>
      <c r="S162" s="28" t="s">
        <v>182</v>
      </c>
      <c r="T162" s="28"/>
      <c r="U162" s="28"/>
      <c r="V162" s="28"/>
      <c r="W162" s="28"/>
      <c r="X162" s="28"/>
      <c r="Y162" s="28"/>
      <c r="Z162" s="28"/>
      <c r="AB162" s="28" t="s">
        <v>182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183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183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183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173" t="s">
        <v>184</v>
      </c>
      <c r="K166" s="174" t="s">
        <v>185</v>
      </c>
      <c r="L166" s="174"/>
      <c r="M166" s="174"/>
      <c r="N166" s="174" t="s">
        <v>186</v>
      </c>
      <c r="O166" s="23"/>
      <c r="P166" s="23"/>
      <c r="Q166" s="33"/>
      <c r="S166" s="173" t="s">
        <v>184</v>
      </c>
      <c r="T166" s="174" t="s">
        <v>185</v>
      </c>
      <c r="U166" s="174"/>
      <c r="V166" s="174"/>
      <c r="W166" s="174" t="s">
        <v>186</v>
      </c>
      <c r="X166" s="23"/>
      <c r="Y166" s="23"/>
      <c r="Z166" s="33"/>
      <c r="AB166" s="173" t="s">
        <v>184</v>
      </c>
      <c r="AC166" s="174" t="s">
        <v>185</v>
      </c>
      <c r="AD166" s="174"/>
      <c r="AE166" s="174"/>
      <c r="AF166" s="174" t="s">
        <v>186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2201.30996107156</v>
      </c>
      <c r="B167" s="177" t="str">
        <f aca="false">B94</f>
        <v>0</v>
      </c>
      <c r="C167" s="174"/>
      <c r="D167" s="174"/>
      <c r="E167" s="177" t="n">
        <f aca="false">B96</f>
        <v>2201.30996107156</v>
      </c>
      <c r="F167" s="23"/>
      <c r="G167" s="23" t="n">
        <f aca="false">ROUND(G95, 2)</f>
        <v>2032.97</v>
      </c>
      <c r="H167" s="33"/>
      <c r="J167" s="176" t="n">
        <f aca="false">K95</f>
        <v>1506.2831870777</v>
      </c>
      <c r="K167" s="177" t="n">
        <f aca="false">K94</f>
        <v>0</v>
      </c>
      <c r="L167" s="174"/>
      <c r="M167" s="174"/>
      <c r="N167" s="177" t="n">
        <f aca="false">K96</f>
        <v>1506.2831870777</v>
      </c>
      <c r="O167" s="23"/>
      <c r="P167" s="23"/>
      <c r="Q167" s="33"/>
      <c r="S167" s="176" t="n">
        <f aca="false">T95</f>
        <v>1960.8512366106</v>
      </c>
      <c r="T167" s="177" t="n">
        <f aca="false">T94</f>
        <v>0</v>
      </c>
      <c r="U167" s="174"/>
      <c r="V167" s="174"/>
      <c r="W167" s="177" t="n">
        <f aca="false">T96</f>
        <v>1960.8512366106</v>
      </c>
      <c r="X167" s="23"/>
      <c r="Y167" s="23"/>
      <c r="Z167" s="33"/>
      <c r="AB167" s="176" t="n">
        <f aca="false">AC95</f>
        <v>1468.71713433889</v>
      </c>
      <c r="AC167" s="177" t="n">
        <f aca="false">AC94</f>
        <v>0</v>
      </c>
      <c r="AD167" s="174"/>
      <c r="AE167" s="174"/>
      <c r="AF167" s="177" t="n">
        <f aca="false">AC96</f>
        <v>1468.71713433889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31" t="s">
        <v>83</v>
      </c>
      <c r="K169" s="93" t="s">
        <v>84</v>
      </c>
      <c r="L169" s="93"/>
      <c r="M169" s="23"/>
      <c r="N169" s="93" t="s">
        <v>188</v>
      </c>
      <c r="O169" s="23"/>
      <c r="P169" s="23"/>
      <c r="Q169" s="33"/>
      <c r="S169" s="31" t="s">
        <v>83</v>
      </c>
      <c r="T169" s="93" t="s">
        <v>84</v>
      </c>
      <c r="U169" s="93"/>
      <c r="V169" s="23"/>
      <c r="W169" s="93" t="s">
        <v>188</v>
      </c>
      <c r="X169" s="23"/>
      <c r="Y169" s="23"/>
      <c r="Z169" s="33"/>
      <c r="AB169" s="31" t="s">
        <v>83</v>
      </c>
      <c r="AC169" s="93" t="s">
        <v>84</v>
      </c>
      <c r="AD169" s="93"/>
      <c r="AE169" s="23"/>
      <c r="AF169" s="93" t="s">
        <v>188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5760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5760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5760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5760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31" t="s">
        <v>189</v>
      </c>
      <c r="K172" s="93" t="s">
        <v>190</v>
      </c>
      <c r="L172" s="93"/>
      <c r="M172" s="23"/>
      <c r="N172" s="93" t="s">
        <v>191</v>
      </c>
      <c r="O172" s="23"/>
      <c r="P172" s="23"/>
      <c r="Q172" s="33"/>
      <c r="S172" s="31" t="s">
        <v>189</v>
      </c>
      <c r="T172" s="93" t="s">
        <v>190</v>
      </c>
      <c r="U172" s="93"/>
      <c r="V172" s="23"/>
      <c r="W172" s="93" t="s">
        <v>191</v>
      </c>
      <c r="X172" s="23"/>
      <c r="Y172" s="23"/>
      <c r="Z172" s="33"/>
      <c r="AB172" s="31" t="s">
        <v>189</v>
      </c>
      <c r="AC172" s="93" t="s">
        <v>190</v>
      </c>
      <c r="AD172" s="93"/>
      <c r="AE172" s="23"/>
      <c r="AF172" s="93" t="s">
        <v>191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57993.33</v>
      </c>
      <c r="B173" s="103" t="n">
        <f aca="false">H137</f>
        <v>11598.666</v>
      </c>
      <c r="C173" s="186"/>
      <c r="D173" s="23"/>
      <c r="E173" s="182" t="n">
        <f aca="false">H139+H140</f>
        <v>650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48120.364575</v>
      </c>
      <c r="T173" s="103" t="n">
        <f aca="false">Z137</f>
        <v>9624.072915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31" t="s">
        <v>192</v>
      </c>
      <c r="K175" s="93" t="s">
        <v>138</v>
      </c>
      <c r="L175" s="93"/>
      <c r="M175" s="23"/>
      <c r="N175" s="93" t="s">
        <v>139</v>
      </c>
      <c r="O175" s="23"/>
      <c r="P175" s="23"/>
      <c r="Q175" s="33"/>
      <c r="S175" s="31" t="s">
        <v>192</v>
      </c>
      <c r="T175" s="93" t="s">
        <v>138</v>
      </c>
      <c r="U175" s="93"/>
      <c r="V175" s="23"/>
      <c r="W175" s="93" t="s">
        <v>139</v>
      </c>
      <c r="X175" s="23"/>
      <c r="Y175" s="23"/>
      <c r="Z175" s="33"/>
      <c r="AB175" s="31" t="s">
        <v>192</v>
      </c>
      <c r="AC175" s="93" t="s">
        <v>138</v>
      </c>
      <c r="AD175" s="93"/>
      <c r="AE175" s="23"/>
      <c r="AF175" s="93" t="s">
        <v>139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70241.996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58384.43749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44468.749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31" t="s">
        <v>140</v>
      </c>
      <c r="K178" s="93" t="s">
        <v>176</v>
      </c>
      <c r="L178" s="93"/>
      <c r="M178" s="23"/>
      <c r="N178" s="93" t="s">
        <v>181</v>
      </c>
      <c r="O178" s="23"/>
      <c r="P178" s="23"/>
      <c r="Q178" s="33"/>
      <c r="S178" s="31" t="s">
        <v>140</v>
      </c>
      <c r="T178" s="93" t="s">
        <v>176</v>
      </c>
      <c r="U178" s="93"/>
      <c r="V178" s="23"/>
      <c r="W178" s="93" t="s">
        <v>181</v>
      </c>
      <c r="X178" s="23"/>
      <c r="Y178" s="23"/>
      <c r="Z178" s="33"/>
      <c r="AB178" s="31" t="s">
        <v>140</v>
      </c>
      <c r="AC178" s="93" t="s">
        <v>176</v>
      </c>
      <c r="AD178" s="93"/>
      <c r="AE178" s="23"/>
      <c r="AF178" s="93" t="s">
        <v>181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67741.996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59384.43749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45468.749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31" t="s">
        <v>193</v>
      </c>
      <c r="K181" s="93" t="s">
        <v>53</v>
      </c>
      <c r="L181" s="93"/>
      <c r="M181" s="23"/>
      <c r="N181" s="93" t="s">
        <v>194</v>
      </c>
      <c r="O181" s="23"/>
      <c r="P181" s="23"/>
      <c r="Q181" s="33"/>
      <c r="S181" s="31" t="s">
        <v>193</v>
      </c>
      <c r="T181" s="93" t="s">
        <v>53</v>
      </c>
      <c r="U181" s="93"/>
      <c r="V181" s="23"/>
      <c r="W181" s="93" t="s">
        <v>194</v>
      </c>
      <c r="X181" s="23"/>
      <c r="Y181" s="23"/>
      <c r="Z181" s="33"/>
      <c r="AB181" s="31" t="s">
        <v>193</v>
      </c>
      <c r="AC181" s="93" t="s">
        <v>53</v>
      </c>
      <c r="AD181" s="93"/>
      <c r="AE181" s="23"/>
      <c r="AF181" s="93" t="s">
        <v>194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12862.5426764332</v>
      </c>
      <c r="B182" s="103" t="str">
        <f aca="false">B114</f>
        <v>199.99</v>
      </c>
      <c r="C182" s="103"/>
      <c r="D182" s="23"/>
      <c r="E182" s="103" t="n">
        <f aca="false">E179+A182+(B182*1.2)+A185</f>
        <v>80854.5266764332</v>
      </c>
      <c r="F182" s="23"/>
      <c r="G182" s="23"/>
      <c r="H182" s="105"/>
      <c r="J182" s="111" t="n">
        <f aca="false">(J167*K59)+N185-N179-J185</f>
        <v>19318.6283606416</v>
      </c>
      <c r="K182" s="103" t="n">
        <f aca="false">K114</f>
        <v>239.99</v>
      </c>
      <c r="L182" s="103"/>
      <c r="M182" s="23"/>
      <c r="N182" s="103" t="n">
        <f aca="false">N179+J182+K182+J185</f>
        <v>57233.6183606416</v>
      </c>
      <c r="O182" s="23"/>
      <c r="P182" s="23"/>
      <c r="Q182" s="105"/>
      <c r="S182" s="111" t="n">
        <f aca="false">(S167*T59)+W185-W179-S185</f>
        <v>13044.5045547605</v>
      </c>
      <c r="T182" s="103" t="n">
        <f aca="false">T114</f>
        <v>199.99</v>
      </c>
      <c r="U182" s="103"/>
      <c r="V182" s="23"/>
      <c r="W182" s="103" t="n">
        <f aca="false">W179+S182+T182+S185</f>
        <v>72638.9320447605</v>
      </c>
      <c r="X182" s="23"/>
      <c r="Y182" s="23"/>
      <c r="Z182" s="105"/>
      <c r="AB182" s="111" t="n">
        <f aca="false">(AB167*AC59)+AF185-AF179-AB185</f>
        <v>10227.6335675223</v>
      </c>
      <c r="AC182" s="103" t="n">
        <f aca="false">AC114</f>
        <v>239.99</v>
      </c>
      <c r="AD182" s="103"/>
      <c r="AE182" s="23"/>
      <c r="AF182" s="103" t="n">
        <f aca="false">AF179+AB182+AC182+AB185</f>
        <v>55946.3725675223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31" t="s">
        <v>195</v>
      </c>
      <c r="K184" s="93" t="s">
        <v>196</v>
      </c>
      <c r="L184" s="93"/>
      <c r="M184" s="23"/>
      <c r="N184" s="93" t="s">
        <v>197</v>
      </c>
      <c r="O184" s="23"/>
      <c r="P184" s="23"/>
      <c r="Q184" s="33"/>
      <c r="S184" s="31" t="s">
        <v>195</v>
      </c>
      <c r="T184" s="93" t="s">
        <v>196</v>
      </c>
      <c r="U184" s="93"/>
      <c r="V184" s="23"/>
      <c r="W184" s="93" t="s">
        <v>197</v>
      </c>
      <c r="X184" s="23"/>
      <c r="Y184" s="23"/>
      <c r="Z184" s="33"/>
      <c r="AB184" s="31" t="s">
        <v>195</v>
      </c>
      <c r="AC184" s="93" t="s">
        <v>196</v>
      </c>
      <c r="AD184" s="93"/>
      <c r="AE184" s="23"/>
      <c r="AF184" s="93" t="s">
        <v>197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2239.988</v>
      </c>
      <c r="C185" s="103"/>
      <c r="D185" s="23"/>
      <c r="E185" s="103" t="n">
        <f aca="false">IF(A40=0,(E167),(E170+A185))</f>
        <v>5770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5780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5770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5770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31" t="s">
        <v>198</v>
      </c>
      <c r="K187" s="93" t="s">
        <v>199</v>
      </c>
      <c r="L187" s="93"/>
      <c r="M187" s="93"/>
      <c r="N187" s="166" t="s">
        <v>200</v>
      </c>
      <c r="O187" s="23"/>
      <c r="P187" s="23"/>
      <c r="Q187" s="33"/>
      <c r="S187" s="31" t="s">
        <v>198</v>
      </c>
      <c r="T187" s="93" t="s">
        <v>199</v>
      </c>
      <c r="U187" s="93"/>
      <c r="V187" s="93"/>
      <c r="W187" s="166" t="s">
        <v>200</v>
      </c>
      <c r="X187" s="32"/>
      <c r="Y187" s="32"/>
      <c r="Z187" s="33"/>
      <c r="AB187" s="31" t="s">
        <v>198</v>
      </c>
      <c r="AC187" s="93" t="s">
        <v>199</v>
      </c>
      <c r="AD187" s="93"/>
      <c r="AE187" s="93"/>
      <c r="AF187" s="166" t="s">
        <v>200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0</v>
      </c>
      <c r="B188" s="103" t="n">
        <f aca="false">(G158*B67)/1.2</f>
        <v>552.755870138889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0.11707</v>
      </c>
      <c r="K188" s="103" t="n">
        <f aca="false">(P158*K67)/1.2</f>
        <v>2320.75086805556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484.560514241319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371.012361631944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60" t="s">
        <v>201</v>
      </c>
      <c r="K190" s="166" t="s">
        <v>202</v>
      </c>
      <c r="L190" s="93"/>
      <c r="M190" s="93"/>
      <c r="N190" s="166" t="s">
        <v>203</v>
      </c>
      <c r="O190" s="23"/>
      <c r="P190" s="23"/>
      <c r="Q190" s="33"/>
      <c r="S190" s="60" t="s">
        <v>201</v>
      </c>
      <c r="T190" s="166" t="s">
        <v>202</v>
      </c>
      <c r="U190" s="93"/>
      <c r="V190" s="93"/>
      <c r="W190" s="166" t="s">
        <v>203</v>
      </c>
      <c r="X190" s="32"/>
      <c r="Y190" s="32"/>
      <c r="Z190" s="33"/>
      <c r="AB190" s="60" t="s">
        <v>201</v>
      </c>
      <c r="AC190" s="166" t="s">
        <v>202</v>
      </c>
      <c r="AD190" s="93"/>
      <c r="AE190" s="93"/>
      <c r="AF190" s="166" t="s">
        <v>203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652.745870138889</v>
      </c>
      <c r="C191" s="93"/>
      <c r="D191" s="93"/>
      <c r="E191" s="103" t="n">
        <f aca="false">H148</f>
        <v>9755.83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3460.74086805556</v>
      </c>
      <c r="L191" s="93"/>
      <c r="M191" s="93"/>
      <c r="N191" s="103" t="n">
        <f aca="false">Q148</f>
        <v>-21880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1584.55051424132</v>
      </c>
      <c r="U191" s="93"/>
      <c r="V191" s="93"/>
      <c r="W191" s="103" t="n">
        <f aca="false">Z148</f>
        <v>-150.562510000003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1511.00236163194</v>
      </c>
      <c r="AD191" s="93"/>
      <c r="AE191" s="93"/>
      <c r="AF191" s="103" t="n">
        <f aca="false">AI148</f>
        <v>-14066.251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66" t="s">
        <v>204</v>
      </c>
      <c r="K193" s="93"/>
      <c r="L193" s="93"/>
      <c r="M193" s="67"/>
      <c r="N193" s="67"/>
      <c r="O193" s="67"/>
      <c r="P193" s="67"/>
      <c r="Q193" s="68"/>
      <c r="S193" s="66" t="s">
        <v>204</v>
      </c>
      <c r="T193" s="93"/>
      <c r="U193" s="93"/>
      <c r="V193" s="67"/>
      <c r="W193" s="67"/>
      <c r="X193" s="67"/>
      <c r="Y193" s="67"/>
      <c r="Z193" s="68"/>
      <c r="AB193" s="66" t="s">
        <v>204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187" t="s">
        <v>83</v>
      </c>
      <c r="K195" s="71" t="s">
        <v>84</v>
      </c>
      <c r="L195" s="71"/>
      <c r="M195" s="71"/>
      <c r="N195" s="23"/>
      <c r="O195" s="23"/>
      <c r="P195" s="23"/>
      <c r="Q195" s="33"/>
      <c r="S195" s="187" t="s">
        <v>83</v>
      </c>
      <c r="T195" s="71" t="s">
        <v>84</v>
      </c>
      <c r="U195" s="71"/>
      <c r="V195" s="71"/>
      <c r="W195" s="23"/>
      <c r="X195" s="23"/>
      <c r="Y195" s="23"/>
      <c r="Z195" s="33"/>
      <c r="AB195" s="187" t="s">
        <v>83</v>
      </c>
      <c r="AC195" s="71" t="s">
        <v>84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2201.30996107156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1506.2831870777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1960.8512366106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1468.71713433889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7138.984</v>
      </c>
      <c r="B201" s="186" t="n">
        <f aca="false">E179+A201+(B182*1.2)+A185</f>
        <v>75130.968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207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2201.30996107156</v>
      </c>
      <c r="B212" s="177" t="str">
        <f aca="false">B167</f>
        <v>0</v>
      </c>
      <c r="C212" s="174"/>
      <c r="D212" s="174"/>
      <c r="E212" s="177" t="n">
        <f aca="false">E167</f>
        <v>2201.30996107156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57993.33</v>
      </c>
      <c r="B215" s="103" t="n">
        <f aca="false">B173</f>
        <v>11598.666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70241.996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67741.996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12862.5426764332</v>
      </c>
      <c r="B224" s="103" t="str">
        <f aca="false">B182</f>
        <v>199.99</v>
      </c>
      <c r="C224" s="103"/>
      <c r="D224" s="113"/>
      <c r="E224" s="103" t="n">
        <f aca="false">E182</f>
        <v>80854.5266764332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2201.30996107156</v>
      </c>
      <c r="B230" s="103" t="str">
        <f aca="false">B167</f>
        <v>0</v>
      </c>
      <c r="C230" s="186"/>
      <c r="D230" s="186"/>
      <c r="E230" s="103" t="n">
        <f aca="false">E167</f>
        <v>2201.30996107156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209</v>
      </c>
      <c r="B232" s="93" t="s">
        <v>210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5760</v>
      </c>
      <c r="B233" s="103" t="n">
        <f aca="false">E185</f>
        <v>5770</v>
      </c>
      <c r="C233" s="93"/>
      <c r="D233" s="93"/>
      <c r="E233" s="103" t="n">
        <f aca="false">J18*0.000006*100</f>
        <v>34.731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211</v>
      </c>
      <c r="B235" s="166" t="s">
        <v>73</v>
      </c>
      <c r="C235" s="93"/>
      <c r="D235" s="93"/>
      <c r="E235" s="166" t="s">
        <v>132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34.731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9755.83</v>
      </c>
      <c r="B240" s="103" t="n">
        <f aca="false">B68</f>
        <v>552.755870138889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10408.5758701389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K35</f>
        <v>0.065</v>
      </c>
      <c r="C253" s="197"/>
      <c r="D253" s="198" t="s">
        <v>216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200" t="n">
        <f aca="false">(E182-B182)-(B201-B182-A185)</f>
        <v>5733.5586764332</v>
      </c>
      <c r="C254" s="197"/>
      <c r="D254" s="198" t="s">
        <v>218</v>
      </c>
      <c r="E254" s="198"/>
      <c r="F254" s="200" t="n">
        <f aca="false">F261+F267+F269+B270+B271</f>
        <v>663.307044166667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</v>
      </c>
      <c r="C255" s="197"/>
      <c r="D255" s="198" t="s">
        <v>220</v>
      </c>
      <c r="E255" s="198"/>
      <c r="F255" s="200" t="n">
        <f aca="false">(B254-F254)+B255</f>
        <v>5170.24163226653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0.115</v>
      </c>
      <c r="C260" s="43"/>
      <c r="D260" s="166" t="s">
        <v>217</v>
      </c>
      <c r="E260" s="166"/>
      <c r="F260" s="146" t="n">
        <f aca="false">B254</f>
        <v>5733.5586764332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0.00979166666666667</v>
      </c>
      <c r="C261" s="32"/>
      <c r="D261" s="166" t="s">
        <v>223</v>
      </c>
      <c r="E261" s="166"/>
      <c r="F261" s="151" t="n">
        <f aca="false">B68*1.2</f>
        <v>663.307044166667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</v>
      </c>
      <c r="C263" s="32"/>
      <c r="D263" s="39" t="s">
        <v>220</v>
      </c>
      <c r="E263" s="39"/>
      <c r="F263" s="146" t="n">
        <f aca="false">(B254-F254)+B255</f>
        <v>5170.24163226653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145</v>
      </c>
      <c r="C2" s="497" t="s">
        <v>146</v>
      </c>
      <c r="D2" s="497" t="s">
        <v>147</v>
      </c>
      <c r="E2" s="483" t="s">
        <v>148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151</v>
      </c>
      <c r="B3" s="263" t="n">
        <v>17895.0</v>
      </c>
      <c r="C3" s="498" t="n">
        <v>0.0</v>
      </c>
      <c r="D3" s="263" t="n">
        <v>0.0</v>
      </c>
      <c r="E3" s="499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152</v>
      </c>
      <c r="B4" s="0" t="n">
        <v>0.0</v>
      </c>
      <c r="C4" s="0" t="n">
        <v>0.0</v>
      </c>
      <c r="D4" s="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153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154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155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-222.667836537637</v>
      </c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163</v>
      </c>
      <c r="B9" s="486"/>
      <c r="C9" s="486"/>
      <c r="D9" s="486"/>
      <c r="E9" s="508" t="n">
        <f aca="false">(B7+C7+D7+E3)</f>
        <v>47687.5</v>
      </c>
      <c r="F9" s="63"/>
      <c r="G9" s="454" t="n">
        <f aca="false">E9-G11</f>
        <v>-104329.166666667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164</v>
      </c>
      <c r="B10" s="488"/>
      <c r="C10" s="488"/>
      <c r="D10" s="488"/>
      <c r="E10" s="499" t="n">
        <v>695.0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165</v>
      </c>
      <c r="B11" s="488"/>
      <c r="C11" s="488"/>
      <c r="D11" s="488"/>
      <c r="E11" s="300" t="n">
        <f aca="false">( E9 + E10 ) * 0.2</f>
        <v>9647.5</v>
      </c>
      <c r="F11" s="63"/>
      <c r="G11" s="454" t="n">
        <f aca="false">G13/1.2</f>
        <v>152016.666666667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166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167</v>
      </c>
      <c r="B13" s="488"/>
      <c r="C13" s="488"/>
      <c r="D13" s="488"/>
      <c r="E13" s="499" t="n">
        <v>290.0</v>
      </c>
      <c r="F13" s="63"/>
      <c r="G13" s="454" t="n">
        <f aca="false">G15-E14-E13-E12</f>
        <v>182420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168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169</v>
      </c>
      <c r="B15" s="488"/>
      <c r="C15" s="488"/>
      <c r="D15" s="488"/>
      <c r="E15" s="509" t="n">
        <f aca="false">(E9+E10+E13+E14+E11) - E12</f>
        <v>58535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170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171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172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172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172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173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353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128</v>
      </c>
      <c r="B26" s="222" t="s">
        <v>390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182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22.0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183</v>
      </c>
      <c r="B30" s="172" t="s">
        <v>391</v>
      </c>
      <c r="C30" s="172"/>
      <c r="D30" s="215"/>
      <c r="E30" s="216"/>
      <c r="F30" s="63"/>
      <c r="G30" s="218" t="s">
        <v>32</v>
      </c>
      <c r="H30" s="457" t="n">
        <v>22000.0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8040.0</v>
      </c>
      <c r="I31" s="238" t="n">
        <f aca="false">IF(C107="YES",H31,0)</f>
        <v>19200</v>
      </c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83</v>
      </c>
      <c r="B32" s="215" t="s">
        <v>84</v>
      </c>
      <c r="C32" s="215"/>
      <c r="D32" s="458" t="s">
        <v>354</v>
      </c>
      <c r="E32" s="216"/>
      <c r="F32" s="63"/>
      <c r="G32" s="218" t="s">
        <v>36</v>
      </c>
      <c r="I32" s="449" t="n">
        <v>837.98</v>
      </c>
      <c r="J32" s="63"/>
      <c r="K32" s="63" t="n">
        <v>2160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1256.95092879718</v>
      </c>
      <c r="E33" s="216"/>
      <c r="F33" s="63"/>
      <c r="G33" s="219" t="s">
        <v>355</v>
      </c>
      <c r="H33" s="460" t="n">
        <f aca="false">E21-E11+((E16*20%)+(E19*20%)+(E20*20%))</f>
        <v>48887.5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371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356</v>
      </c>
      <c r="B35" s="215" t="s">
        <v>357</v>
      </c>
      <c r="C35" s="215"/>
      <c r="D35" s="215" t="s">
        <v>358</v>
      </c>
      <c r="E35" s="216"/>
      <c r="F35" s="63"/>
      <c r="G35" s="233" t="s">
        <v>46</v>
      </c>
      <c r="H35" s="234" t="n">
        <v>0.109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1122.97092879718</v>
      </c>
      <c r="B36" s="103" t="n">
        <f aca="false">IF(B26="YES", H42, "")</f>
        <v>133.98</v>
      </c>
      <c r="C36" s="221"/>
      <c r="D36" s="184" t="n">
        <f aca="false">I31</f>
        <v>19200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359</v>
      </c>
      <c r="B39" s="215" t="s">
        <v>360</v>
      </c>
      <c r="C39" s="215"/>
      <c r="D39" s="215" t="s">
        <v>361</v>
      </c>
      <c r="E39" s="216"/>
      <c r="F39" s="63"/>
      <c r="G39" s="63" t="s">
        <v>85</v>
      </c>
      <c r="H39" s="238" t="n">
        <f aca="false">H33</f>
        <v>48887.5</v>
      </c>
      <c r="I39" s="238" t="n">
        <f aca="false">(I48*H46)+H44</f>
        <v>53437.0642878025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19200</v>
      </c>
      <c r="B40" s="107" t="n">
        <f aca="false">IF(B26="YES",H42,"0")</f>
        <v>133.98</v>
      </c>
      <c r="C40" s="107"/>
      <c r="D40" s="184" t="n">
        <f aca="false">I32</f>
        <v>4689.3</v>
      </c>
      <c r="E40" s="216"/>
      <c r="F40" s="63"/>
      <c r="G40" s="63" t="s">
        <v>107</v>
      </c>
      <c r="H40" s="238" t="n">
        <f aca="false">A40/1.2</f>
        <v>16000</v>
      </c>
      <c r="I40" s="238" t="n">
        <f aca="false">H39-I39</f>
        <v>-4549.56428780247</v>
      </c>
      <c r="J40" s="63" t="n">
        <v>23833.34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362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363</v>
      </c>
      <c r="H42" s="238" t="n">
        <f aca="false">(I32/H34)*(C45/100)</f>
        <v>133.98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364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77</v>
      </c>
      <c r="B44" s="215"/>
      <c r="C44" s="363" t="s">
        <v>78</v>
      </c>
      <c r="D44" s="363"/>
      <c r="E44" s="216"/>
      <c r="F44" s="63"/>
      <c r="G44" s="63" t="s">
        <v>372</v>
      </c>
      <c r="H44" s="238" t="n">
        <f aca="false">(H40/(1+H41)^(H34+1))</f>
        <v>13172.2842985835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373</v>
      </c>
      <c r="H45" s="238" t="n">
        <f aca="false">(H39-H44)</f>
        <v>35715.2157014165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374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368</v>
      </c>
      <c r="H47" s="238" t="n">
        <f aca="false">H45/H46</f>
        <v>1122.97092879718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464" t="s">
        <v>369</v>
      </c>
      <c r="H48" s="238" t="n">
        <f aca="false">IF(B26="YES", H47+H42, H47)</f>
        <v>1256.95092879718</v>
      </c>
      <c r="I48" s="238" t="n">
        <f aca="false">I49-H42</f>
        <v>1266.02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370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1256.95092879718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85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85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86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86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B61*B63</f>
        <v>5993.509375</v>
      </c>
      <c r="C64" s="215" t="n">
        <v>10000.0</v>
      </c>
      <c r="D64" s="291" t="n">
        <f aca="false">B64-A143</f>
        <v>5993.509375</v>
      </c>
      <c r="E64" s="216"/>
      <c r="F64" s="63"/>
      <c r="G64" s="285" t="s">
        <v>91</v>
      </c>
      <c r="H64" s="133" t="n">
        <f aca="false">H61*H63</f>
        <v>5993.509375</v>
      </c>
      <c r="I64" s="215"/>
      <c r="J64" s="291" t="n">
        <f aca="false">H64-G145</f>
        <v>5993.509375</v>
      </c>
      <c r="K64" s="216"/>
      <c r="L64" s="63"/>
      <c r="M64" s="285" t="s">
        <v>91</v>
      </c>
      <c r="N64" s="133" t="n">
        <f aca="false">N61*N63</f>
        <v>5993.509375</v>
      </c>
      <c r="O64" s="215"/>
      <c r="P64" s="291" t="n">
        <f aca="false">N64-M145</f>
        <v>5993.509375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0.005</v>
      </c>
      <c r="C65" s="215"/>
      <c r="D65" s="215"/>
      <c r="E65" s="216"/>
      <c r="F65" s="63"/>
      <c r="G65" s="292" t="s">
        <v>92</v>
      </c>
      <c r="H65" s="293" t="n">
        <v>0.01</v>
      </c>
      <c r="I65" s="215"/>
      <c r="J65" s="215"/>
      <c r="K65" s="216"/>
      <c r="L65" s="63"/>
      <c r="M65" s="292" t="s">
        <v>92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0.0195833333333333</v>
      </c>
      <c r="C66" s="215"/>
      <c r="D66" s="215"/>
      <c r="E66" s="216"/>
      <c r="F66" s="63"/>
      <c r="G66" s="214" t="s">
        <v>93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93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B61*B66</f>
        <v>1133.58125</v>
      </c>
      <c r="C67" s="215"/>
      <c r="D67" s="291"/>
      <c r="E67" s="216"/>
      <c r="F67" s="63"/>
      <c r="G67" s="285" t="s">
        <v>94</v>
      </c>
      <c r="H67" s="133" t="n">
        <f aca="false">(H61*H66)/1.2</f>
        <v>944.651041666667</v>
      </c>
      <c r="I67" s="215"/>
      <c r="J67" s="291"/>
      <c r="K67" s="216"/>
      <c r="L67" s="63"/>
      <c r="M67" s="285" t="s">
        <v>94</v>
      </c>
      <c r="N67" s="133" t="n">
        <f aca="false">(N61*N66)/1.2</f>
        <v>944.651041666667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215"/>
      <c r="D68" s="215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292" t="s">
        <v>95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295" t="s">
        <v>96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471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285" t="s">
        <v>97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160.0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292" t="s">
        <v>98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4.5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295" t="s">
        <v>99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175</v>
      </c>
      <c r="C73" s="215"/>
      <c r="D73" s="291" t="n">
        <f aca="false">B73+B71</f>
        <v>375</v>
      </c>
      <c r="E73" s="216"/>
      <c r="F73" s="63"/>
      <c r="G73" s="285" t="s">
        <v>100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100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1" t="s">
        <v>279</v>
      </c>
      <c r="B74" s="432" t="n">
        <v>0.0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3" t="s">
        <v>280</v>
      </c>
      <c r="B75" s="434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5" t="s">
        <v>281</v>
      </c>
      <c r="B76" s="436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131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300.0</v>
      </c>
      <c r="C79" s="215"/>
      <c r="D79" s="291" t="n">
        <f aca="false">B79</f>
        <v>200</v>
      </c>
      <c r="E79" s="216"/>
      <c r="F79" s="63"/>
      <c r="G79" s="295" t="s">
        <v>101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101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100.0</v>
      </c>
      <c r="C80" s="215"/>
      <c r="D80" s="291" t="n">
        <f aca="false">B80</f>
        <v>200</v>
      </c>
      <c r="E80" s="216"/>
      <c r="F80" s="63"/>
      <c r="G80" s="301" t="s">
        <v>102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102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7435.17604166667</v>
      </c>
      <c r="C81" s="215"/>
      <c r="D81" s="215"/>
      <c r="E81" s="216"/>
      <c r="F81" s="63"/>
      <c r="G81" s="303" t="s">
        <v>103</v>
      </c>
      <c r="H81" s="304" t="n">
        <f aca="false">SUM(J64:J80)</f>
        <v>7041.009375</v>
      </c>
      <c r="I81" s="215"/>
      <c r="J81" s="215"/>
      <c r="K81" s="216"/>
      <c r="L81" s="63"/>
      <c r="M81" s="303" t="s">
        <v>103</v>
      </c>
      <c r="N81" s="304" t="n">
        <f aca="false">SUM(P64:P80)</f>
        <v>6711.009375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212.433601190476</v>
      </c>
      <c r="C82" s="215"/>
      <c r="D82" s="215"/>
      <c r="E82" s="216"/>
      <c r="F82" s="63"/>
      <c r="G82" s="214" t="s">
        <v>104</v>
      </c>
      <c r="H82" s="300" t="n">
        <f aca="false">H81/H29</f>
        <v>201.171696428571</v>
      </c>
      <c r="I82" s="215"/>
      <c r="J82" s="215"/>
      <c r="K82" s="216"/>
      <c r="L82" s="63"/>
      <c r="M82" s="214" t="s">
        <v>104</v>
      </c>
      <c r="N82" s="300" t="n">
        <f aca="false">N81/H29</f>
        <v>191.743125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H47</f>
        <v>1122.97092879718</v>
      </c>
      <c r="C83" s="215"/>
      <c r="D83" s="215"/>
      <c r="E83" s="216"/>
      <c r="F83" s="63"/>
      <c r="G83" s="305" t="s">
        <v>105</v>
      </c>
      <c r="H83" s="306" t="n">
        <f aca="false">H47</f>
        <v>1122.97092879718</v>
      </c>
      <c r="I83" s="215"/>
      <c r="J83" s="215"/>
      <c r="K83" s="216"/>
      <c r="L83" s="63"/>
      <c r="M83" s="305" t="s">
        <v>105</v>
      </c>
      <c r="N83" s="306" t="n">
        <f aca="false">H47</f>
        <v>1122.97092879718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((B83*H29)+B81)</f>
        <v>46739.158549568</v>
      </c>
      <c r="C85" s="215"/>
      <c r="D85" s="215"/>
      <c r="E85" s="216"/>
      <c r="F85" s="63"/>
      <c r="G85" s="288" t="s">
        <v>115</v>
      </c>
      <c r="H85" s="131" t="n">
        <f aca="false">((H83*H29)+H81)*1.2</f>
        <v>55613.9902594816</v>
      </c>
      <c r="I85" s="215"/>
      <c r="J85" s="215"/>
      <c r="K85" s="216"/>
      <c r="L85" s="63"/>
      <c r="M85" s="288" t="s">
        <v>115</v>
      </c>
      <c r="N85" s="131" t="n">
        <f aca="false">((N83*H29)+N81)</f>
        <v>46014.9918829013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(B85/(1-B70))*B70</f>
        <v>395.934784001988</v>
      </c>
      <c r="C86" s="215"/>
      <c r="D86" s="215"/>
      <c r="E86" s="216"/>
      <c r="F86" s="63"/>
      <c r="G86" s="214" t="s">
        <v>116</v>
      </c>
      <c r="H86" s="300" t="n">
        <f aca="false">((((H83*H29)+H81))/(1-H70))*H70</f>
        <v>392.59573599876</v>
      </c>
      <c r="I86" s="215"/>
      <c r="J86" s="215"/>
      <c r="K86" s="216"/>
      <c r="L86" s="63"/>
      <c r="M86" s="214" t="s">
        <v>116</v>
      </c>
      <c r="N86" s="300" t="n">
        <f aca="false">(N85/(1-N70))*N70</f>
        <v>389.800253949547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IF(B110="YES",((B85+B86)-E114),(B85+B86))</f>
        <v>47135.09333357</v>
      </c>
      <c r="C87" s="215"/>
      <c r="D87" s="215"/>
      <c r="E87" s="216"/>
      <c r="F87" s="63"/>
      <c r="G87" s="285" t="s">
        <v>117</v>
      </c>
      <c r="H87" s="133" t="n">
        <f aca="false">IF(H110="YES",((H85+H86)-K114),(H85+H86))</f>
        <v>56006.5859954803</v>
      </c>
      <c r="I87" s="215"/>
      <c r="J87" s="215"/>
      <c r="K87" s="216"/>
      <c r="L87" s="63"/>
      <c r="M87" s="285" t="s">
        <v>117</v>
      </c>
      <c r="N87" s="133" t="n">
        <f aca="false">IF(N110="YES",((N85+N86)-Q114),(N85+N86))</f>
        <v>46404.7921368509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4" t="n">
        <f aca="false">IF(B99=Y98, (D40+(D40*B105))/(B58), (D40+(D40*B105))/(B57+B58))*(C45/100)</f>
        <v>160.776</v>
      </c>
      <c r="C89" s="215"/>
      <c r="D89" s="215"/>
      <c r="E89" s="216"/>
      <c r="F89" s="63"/>
      <c r="G89" s="303" t="s">
        <v>118</v>
      </c>
      <c r="H89" s="304" t="n">
        <f aca="false">IF(H99=Y98, (D40+(D40*H105))/(H58), (D40+(D40*H105))/(H57+H58))*1.2</f>
        <v>168.8148</v>
      </c>
      <c r="I89" s="215"/>
      <c r="J89" s="215"/>
      <c r="K89" s="216"/>
      <c r="L89" s="63"/>
      <c r="M89" s="303" t="s">
        <v>118</v>
      </c>
      <c r="N89" s="304" t="n">
        <f aca="false">IF(N99=Y98, (D40+(D40*N105))/(N58), (D40+(D40*N105))/(N57+N58))</f>
        <v>140.679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IF(B99=Y98, (B87-D105)/(B58), B87/(B57+B58))</f>
        <v>1346.71695238771</v>
      </c>
      <c r="C90" s="215"/>
      <c r="D90" s="215"/>
      <c r="E90" s="216"/>
      <c r="F90" s="63"/>
      <c r="G90" s="308" t="s">
        <v>119</v>
      </c>
      <c r="H90" s="309" t="n">
        <f aca="false">IF(H99=Y98, (H87-J105)/(H58), H87/(H57+H58))</f>
        <v>1400.16464988701</v>
      </c>
      <c r="I90" s="215"/>
      <c r="J90" s="215"/>
      <c r="K90" s="216"/>
      <c r="L90" s="63"/>
      <c r="M90" s="308" t="s">
        <v>119</v>
      </c>
      <c r="N90" s="309" t="n">
        <f aca="false">IF(N99=Y98, (N87-P105)/(N58), N87/(N57+N58))</f>
        <v>1160.11980342127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1507.49295238771</v>
      </c>
      <c r="C91" s="215"/>
      <c r="D91" s="215"/>
      <c r="E91" s="216"/>
      <c r="F91" s="63"/>
      <c r="G91" s="310" t="s">
        <v>120</v>
      </c>
      <c r="H91" s="311" t="n">
        <f aca="false">IF(G105="YES", H90+H89, H90)</f>
        <v>1568.97944988701</v>
      </c>
      <c r="I91" s="215"/>
      <c r="J91" s="215"/>
      <c r="K91" s="216"/>
      <c r="L91" s="63"/>
      <c r="M91" s="310" t="s">
        <v>120</v>
      </c>
      <c r="N91" s="311" t="n">
        <f aca="false">IF(M105="YES", N90+N89, N90)</f>
        <v>1300.79880342127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341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341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217" t="s">
        <v>126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130</v>
      </c>
      <c r="Z97" s="63"/>
      <c r="AC97" s="388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214" t="s">
        <v>127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130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289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214" t="s">
        <v>287</v>
      </c>
      <c r="N101" s="215" t="s">
        <v>288</v>
      </c>
      <c r="O101" s="215"/>
      <c r="P101" s="215" t="s">
        <v>289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220" t="s">
        <v>128</v>
      </c>
      <c r="N104" s="63" t="s">
        <v>131</v>
      </c>
      <c r="O104" s="215"/>
      <c r="P104" s="215" t="s">
        <v>142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390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 t="s">
        <v>342</v>
      </c>
      <c r="C107" s="222" t="s">
        <v>390</v>
      </c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342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290</v>
      </c>
      <c r="B108" s="217"/>
      <c r="C108" s="217"/>
      <c r="D108" s="217"/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217" t="s">
        <v>290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291</v>
      </c>
      <c r="B110" s="222" t="s">
        <v>388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214" t="s">
        <v>291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18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0.0</v>
      </c>
      <c r="E112" s="107" t="n">
        <v>6000.0</v>
      </c>
      <c r="F112" s="63"/>
      <c r="G112" s="214" t="s">
        <v>176</v>
      </c>
      <c r="H112" s="215"/>
      <c r="I112" s="215"/>
      <c r="J112" s="313" t="n">
        <v>0</v>
      </c>
      <c r="K112" s="107" t="n">
        <v>0</v>
      </c>
      <c r="L112" s="63"/>
      <c r="M112" s="214" t="s">
        <v>176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177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177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178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178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-6000</v>
      </c>
      <c r="E115" s="216"/>
      <c r="F115" s="63"/>
      <c r="G115" s="214" t="s">
        <v>179</v>
      </c>
      <c r="H115" s="215"/>
      <c r="I115" s="215"/>
      <c r="J115" s="166" t="n">
        <f aca="false">J114-K114</f>
        <v>0</v>
      </c>
      <c r="K115" s="216"/>
      <c r="L115" s="63"/>
      <c r="M115" s="214" t="s">
        <v>179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f aca="false">D99</f>
        <v>1000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288" t="s">
        <v>138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292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292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217" t="s">
        <v>293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0.0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214" t="s">
        <v>183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296</v>
      </c>
      <c r="H126" s="328" t="s">
        <v>297</v>
      </c>
      <c r="I126" s="328"/>
      <c r="J126" s="328" t="s">
        <v>298</v>
      </c>
      <c r="K126" s="216"/>
      <c r="L126" s="63"/>
      <c r="M126" s="327" t="s">
        <v>343</v>
      </c>
      <c r="N126" s="328" t="s">
        <v>252</v>
      </c>
      <c r="O126" s="328"/>
      <c r="P126" s="328" t="s">
        <v>120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333" t="n">
        <f aca="false">H90</f>
        <v>1400.16464988701</v>
      </c>
      <c r="H127" s="177" t="n">
        <f aca="false">IF(G105="YES", H89*H57, 0)</f>
        <v>1012.8888</v>
      </c>
      <c r="I127" s="177"/>
      <c r="J127" s="334" t="n">
        <f aca="false">H91</f>
        <v>1568.97944988701</v>
      </c>
      <c r="K127" s="216"/>
      <c r="L127" s="63"/>
      <c r="M127" s="333" t="n">
        <f aca="false">N90</f>
        <v>1160.11980342127</v>
      </c>
      <c r="N127" s="177" t="n">
        <f aca="false">IF(M105="YES", N89*N57, 0)</f>
        <v>844.074</v>
      </c>
      <c r="O127" s="177"/>
      <c r="P127" s="177" t="n">
        <f aca="false">N91</f>
        <v>1300.79880342127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1346.71695238771</v>
      </c>
      <c r="B128" s="321" t="n">
        <f aca="false">IF(A105="YES", B89, 0)</f>
        <v>160.776</v>
      </c>
      <c r="C128" s="325"/>
      <c r="D128" s="321" t="n">
        <f aca="false">B91</f>
        <v>1507.49295238771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83</v>
      </c>
      <c r="H129" s="215" t="s">
        <v>84</v>
      </c>
      <c r="I129" s="215"/>
      <c r="J129" s="215" t="s">
        <v>86</v>
      </c>
      <c r="K129" s="216"/>
      <c r="L129" s="63"/>
      <c r="M129" s="214" t="s">
        <v>83</v>
      </c>
      <c r="N129" s="215" t="s">
        <v>84</v>
      </c>
      <c r="O129" s="215"/>
      <c r="P129" s="215" t="s">
        <v>86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1346.71695238771</v>
      </c>
      <c r="C131" s="317"/>
      <c r="D131" s="38" t="n">
        <f aca="false">IF(A105="YES", B89*B57, 0)</f>
        <v>160.776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214" t="s">
        <v>344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8400.98789932205</v>
      </c>
      <c r="H133" s="103" t="n">
        <f aca="false">IF(G105="YES", H89*H57, 0)</f>
        <v>1012.8888</v>
      </c>
      <c r="I133" s="221"/>
      <c r="J133" s="184" t="n">
        <f aca="false">H91*H57</f>
        <v>9413.87669932205</v>
      </c>
      <c r="K133" s="216"/>
      <c r="L133" s="63"/>
      <c r="M133" s="185" t="n">
        <f aca="false">N90*N57</f>
        <v>6960.71882052763</v>
      </c>
      <c r="N133" s="103" t="n">
        <f aca="false">IF(M105="YES", N89*N57, 0)</f>
        <v>844.074</v>
      </c>
      <c r="O133" s="221"/>
      <c r="P133" s="184" t="n">
        <f aca="false">N91*N57</f>
        <v>7804.79282052763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1507.49295238771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111" t="n">
        <f aca="false">E15*0.000006</f>
        <v>0.35121</v>
      </c>
      <c r="N136" s="103" t="n">
        <f aca="false">IF(M105="YES", E15*0.000002, 0)</f>
        <v>0.11707</v>
      </c>
      <c r="O136" s="103"/>
      <c r="P136" s="103" t="n">
        <f aca="false">M136+N136</f>
        <v>0.46828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1346.71695238771</v>
      </c>
      <c r="B137" s="38" t="n">
        <f aca="false">IF(A105="YES", B89, 0)</f>
        <v>160.776</v>
      </c>
      <c r="C137" s="317"/>
      <c r="D137" s="38" t="n">
        <f aca="false">B91</f>
        <v>1507.49295238771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214" t="s">
        <v>141</v>
      </c>
      <c r="N138" s="215" t="s">
        <v>310</v>
      </c>
      <c r="O138" s="215"/>
      <c r="P138" s="215" t="s">
        <v>311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199.99</v>
      </c>
      <c r="H139" s="103" t="n">
        <f aca="false">H67</f>
        <v>944.651041666667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944.651041666667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214" t="s">
        <v>313</v>
      </c>
      <c r="N141" s="215" t="s">
        <v>314</v>
      </c>
      <c r="O141" s="215"/>
      <c r="P141" s="215" t="s">
        <v>315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93.786</v>
      </c>
      <c r="H142" s="103" t="n">
        <f aca="false">G102-100</f>
        <v>99.99</v>
      </c>
      <c r="I142" s="103"/>
      <c r="J142" s="103" t="n">
        <f aca="false">(H139+J139+G142+H142)-H145</f>
        <v>1138.42704166667</v>
      </c>
      <c r="K142" s="105"/>
      <c r="L142" s="63"/>
      <c r="M142" s="111" t="n">
        <f aca="false">IF(M105="YES", ((B36*N105)*0.1)*(M130), 0)</f>
        <v>93.786</v>
      </c>
      <c r="N142" s="103" t="n">
        <f aca="false">M102-100</f>
        <v>99.99</v>
      </c>
      <c r="O142" s="103"/>
      <c r="P142" s="103" t="n">
        <f aca="false">(N139+P139+M142+N142)-N145</f>
        <v>1138.42704166667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214" t="s">
        <v>317</v>
      </c>
      <c r="N144" s="215" t="s">
        <v>318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345</v>
      </c>
      <c r="N147" s="166" t="s">
        <v>346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1133.58125</v>
      </c>
      <c r="B148" s="38" t="n">
        <f aca="false">B102</f>
        <v>400</v>
      </c>
      <c r="C148" s="38"/>
      <c r="D148" s="38" t="n">
        <f aca="false">IF(A105="YES", (B40*B105)*B125, 0)*0.1</f>
        <v>93.786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1727.35725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323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1568.97944988701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83</v>
      </c>
      <c r="N153" s="251" t="s">
        <v>84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1300.79880342127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1507.49295238771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1346.71695238771</v>
      </c>
      <c r="B177" s="355" t="n">
        <f aca="false">IF(A105="YES", B89, 0)</f>
        <v>160.776</v>
      </c>
      <c r="C177" s="357"/>
      <c r="D177" s="355" t="n">
        <f aca="false">B91</f>
        <v>1507.49295238771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1346.71695238771</v>
      </c>
      <c r="C180" s="353"/>
      <c r="D180" s="103" t="n">
        <f aca="false">IF(A105="YES", B89*B57, 0)</f>
        <v>160.776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1507.49295238771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1346.71695238771</v>
      </c>
      <c r="B186" s="103" t="n">
        <f aca="false">IF(A105="YES", B89, 0)</f>
        <v>160.776</v>
      </c>
      <c r="C186" s="353"/>
      <c r="D186" s="103" t="n">
        <f aca="false">B91</f>
        <v>1507.49295238771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1133.58125</v>
      </c>
      <c r="B197" s="103" t="n">
        <f aca="false">B102</f>
        <v>400</v>
      </c>
      <c r="C197" s="103"/>
      <c r="D197" s="103" t="n">
        <f aca="false">IF(A105="YES", (B40*B105)*B125, 0)*0.1</f>
        <v>93.786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1727.35725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0.065</v>
      </c>
      <c r="C209" s="321" t="s">
        <v>217</v>
      </c>
      <c r="D209" s="370" t="n">
        <f aca="false">D64</f>
        <v>5993.509375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1133.58125</v>
      </c>
      <c r="C211" s="320" t="s">
        <v>219</v>
      </c>
      <c r="D211" s="370" t="n">
        <f aca="false">B225+E221+B221+B223</f>
        <v>1277.85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6137.778125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D64</f>
        <v>5993.509375</v>
      </c>
      <c r="C217" s="375" t="s">
        <v>223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B67</f>
        <v>1133.58125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B78-(B78*(E219*100))</f>
        <v>200</v>
      </c>
      <c r="C223" s="336" t="s">
        <v>220</v>
      </c>
      <c r="D223" s="317"/>
      <c r="E223" s="33" t="n">
        <f aca="false">(B217-B211+D211)</f>
        <v>6137.778125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937.86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B71</f>
        <v>200</v>
      </c>
      <c r="C229" s="336" t="s">
        <v>228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B68</f>
        <v>0.0075</v>
      </c>
      <c r="C231" s="336" t="s">
        <v>231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B86</f>
        <v>395.934784001988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B79</f>
        <v>200</v>
      </c>
      <c r="C233" s="382" t="s">
        <v>330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B80</f>
        <v>200</v>
      </c>
      <c r="C235" s="386" t="s">
        <v>331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145</v>
      </c>
      <c r="C2" s="497" t="s">
        <v>146</v>
      </c>
      <c r="D2" s="497" t="s">
        <v>147</v>
      </c>
      <c r="E2" s="483" t="s">
        <v>148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151</v>
      </c>
      <c r="B3" s="263" t="n">
        <v>17895.0</v>
      </c>
      <c r="C3" s="498" t="n">
        <v>0.0</v>
      </c>
      <c r="D3" s="263" t="n">
        <v>0.0</v>
      </c>
      <c r="E3" s="499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152</v>
      </c>
      <c r="B4" s="0" t="n">
        <v>0.0</v>
      </c>
      <c r="C4" s="0" t="n">
        <v>0.0</v>
      </c>
      <c r="D4" s="0" t="n">
        <v>0.0</v>
      </c>
      <c r="E4" s="294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153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154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155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-222.667836537637</v>
      </c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163</v>
      </c>
      <c r="B9" s="486"/>
      <c r="C9" s="486"/>
      <c r="D9" s="486"/>
      <c r="E9" s="508" t="n">
        <f aca="false">(B7+C7+D7+E3)</f>
        <v>47687.5</v>
      </c>
      <c r="F9" s="63"/>
      <c r="G9" s="454" t="n">
        <f aca="false">E9-G11</f>
        <v>-104329.166666667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164</v>
      </c>
      <c r="B10" s="488"/>
      <c r="C10" s="488"/>
      <c r="D10" s="488"/>
      <c r="E10" s="499" t="n">
        <v>695.0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165</v>
      </c>
      <c r="B11" s="488"/>
      <c r="C11" s="488"/>
      <c r="D11" s="488"/>
      <c r="E11" s="300" t="n">
        <f aca="false">( E9 + E10 ) * 0.2</f>
        <v>9647.5</v>
      </c>
      <c r="F11" s="63"/>
      <c r="G11" s="454" t="n">
        <f aca="false">G13/1.2</f>
        <v>152016.666666667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166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167</v>
      </c>
      <c r="B13" s="488"/>
      <c r="C13" s="488"/>
      <c r="D13" s="488"/>
      <c r="E13" s="499" t="n">
        <v>290.0</v>
      </c>
      <c r="F13" s="63"/>
      <c r="G13" s="454" t="n">
        <f aca="false">G15-E14-E13-E12</f>
        <v>182420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168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169</v>
      </c>
      <c r="B15" s="488"/>
      <c r="C15" s="488"/>
      <c r="D15" s="488"/>
      <c r="E15" s="509" t="n">
        <f aca="false">(E9+E10+E13+E14+E11) - E12</f>
        <v>58535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170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171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172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172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172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173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353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128</v>
      </c>
      <c r="B26" s="222" t="s">
        <v>390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182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22.0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183</v>
      </c>
      <c r="B30" s="172" t="s">
        <v>391</v>
      </c>
      <c r="C30" s="172"/>
      <c r="D30" s="215"/>
      <c r="E30" s="216"/>
      <c r="F30" s="63"/>
      <c r="G30" s="218" t="s">
        <v>32</v>
      </c>
      <c r="H30" s="457" t="n">
        <v>22000.0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8040.0</v>
      </c>
      <c r="I31" s="63"/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83</v>
      </c>
      <c r="B32" s="215" t="s">
        <v>84</v>
      </c>
      <c r="C32" s="215"/>
      <c r="D32" s="458" t="s">
        <v>354</v>
      </c>
      <c r="E32" s="216"/>
      <c r="F32" s="63"/>
      <c r="G32" s="218" t="s">
        <v>36</v>
      </c>
      <c r="I32" s="449" t="n">
        <v>837.98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1256.95092879718</v>
      </c>
      <c r="E33" s="216"/>
      <c r="F33" s="63"/>
      <c r="G33" s="219" t="s">
        <v>355</v>
      </c>
      <c r="H33" s="460" t="n">
        <f aca="false">E21-E11+((E16*20%)+(E19*20%)+(E20*20%))</f>
        <v>48887.5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371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356</v>
      </c>
      <c r="B35" s="215" t="s">
        <v>357</v>
      </c>
      <c r="C35" s="215"/>
      <c r="D35" s="215" t="s">
        <v>358</v>
      </c>
      <c r="E35" s="216"/>
      <c r="F35" s="63"/>
      <c r="G35" s="233" t="s">
        <v>46</v>
      </c>
      <c r="H35" s="234" t="n">
        <v>0.109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1122.97092879718</v>
      </c>
      <c r="B36" s="103" t="n">
        <f aca="false">IF(B26="YES", H42, "")</f>
        <v>133.98</v>
      </c>
      <c r="C36" s="221"/>
      <c r="D36" s="184" t="n">
        <f aca="false">H31</f>
        <v>19200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359</v>
      </c>
      <c r="B39" s="215" t="s">
        <v>360</v>
      </c>
      <c r="C39" s="215"/>
      <c r="D39" s="215" t="s">
        <v>361</v>
      </c>
      <c r="E39" s="216"/>
      <c r="F39" s="63"/>
      <c r="G39" s="63" t="s">
        <v>85</v>
      </c>
      <c r="H39" s="238" t="n">
        <f aca="false">H33</f>
        <v>48887.5</v>
      </c>
      <c r="I39" s="238" t="n">
        <f aca="false">(I48*H46)+H44</f>
        <v>53437.0642878025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19200</v>
      </c>
      <c r="B40" s="107" t="n">
        <f aca="false">IF(B26="YES",H42,"0")</f>
        <v>133.98</v>
      </c>
      <c r="C40" s="107"/>
      <c r="D40" s="184" t="n">
        <f aca="false">I32</f>
        <v>4689.3</v>
      </c>
      <c r="E40" s="216"/>
      <c r="F40" s="63"/>
      <c r="G40" s="63" t="s">
        <v>107</v>
      </c>
      <c r="H40" s="238" t="n">
        <f aca="false">(A40)/1.2</f>
        <v>16000</v>
      </c>
      <c r="I40" s="238" t="n">
        <f aca="false">H39-I39</f>
        <v>-4549.56428780247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362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363</v>
      </c>
      <c r="H42" s="238" t="n">
        <f aca="false">(I32/H34)*(C45/100)</f>
        <v>133.98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364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77</v>
      </c>
      <c r="B44" s="215"/>
      <c r="C44" s="363" t="s">
        <v>78</v>
      </c>
      <c r="D44" s="363"/>
      <c r="E44" s="216"/>
      <c r="F44" s="63"/>
      <c r="G44" s="63" t="s">
        <v>372</v>
      </c>
      <c r="H44" s="238" t="n">
        <f aca="false">(H40/(1+H41)^(H34+1))</f>
        <v>13172.2842985835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510" t="n">
        <v>100.0</v>
      </c>
      <c r="D45" s="510"/>
      <c r="E45" s="216"/>
      <c r="F45" s="63"/>
      <c r="G45" s="63" t="s">
        <v>373</v>
      </c>
      <c r="H45" s="238" t="n">
        <f aca="false">(H39-H44)</f>
        <v>35715.2157014165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374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368</v>
      </c>
      <c r="H47" s="238" t="n">
        <f aca="false">H45/H46</f>
        <v>1122.97092879718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464" t="s">
        <v>369</v>
      </c>
      <c r="H48" s="238" t="n">
        <f aca="false">IF(B26="YES", H47+H42, H47)</f>
        <v>1256.95092879718</v>
      </c>
      <c r="I48" s="238" t="n">
        <f aca="false">I49-H42</f>
        <v>1266.02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370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1256.95092879718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IF(B99=Y97,1,IF(B99=Y98,1,IF(B99=Y99,3,IF(B99=Y100,6,IF(B99=Y101,9,IF(B99=Y102,12,IF(B99=Y103,3,IF(B99=Y104,6,IF(B99=Y105,9,0)))))))))</f>
        <v>9</v>
      </c>
      <c r="C57" s="215"/>
      <c r="D57" s="215"/>
      <c r="E57" s="216"/>
      <c r="F57" s="63"/>
      <c r="G57" s="214" t="s">
        <v>85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85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IF(B99=Y97,H29-B57,IF(B99=Y98,H29-B57,IF(B99=Y99,H29-1,IF(B99=Y100,H29-1,IF(B99=Y101,H29-1,IF(B99=Y102,H29-1,IF(B99=Y103,H29-B57,IF(B99=Y104,H29-B57,IF(B99=Y105,H29-B57,0)))))))))</f>
        <v>26</v>
      </c>
      <c r="C58" s="215"/>
      <c r="D58" s="215"/>
      <c r="E58" s="216"/>
      <c r="F58" s="63"/>
      <c r="G58" s="214" t="s">
        <v>86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86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B61*B63</f>
        <v>5993.509375</v>
      </c>
      <c r="C64" s="215" t="n">
        <v>10000.0</v>
      </c>
      <c r="D64" s="291" t="n">
        <f aca="false">B64-A143</f>
        <v>5993.509375</v>
      </c>
      <c r="E64" s="466" t="n">
        <f aca="false">D64/(B58+B57)</f>
        <v>171.243125</v>
      </c>
      <c r="F64" s="63"/>
      <c r="G64" s="285" t="s">
        <v>91</v>
      </c>
      <c r="H64" s="133" t="n">
        <f aca="false">H61*H63</f>
        <v>5993.509375</v>
      </c>
      <c r="I64" s="215"/>
      <c r="J64" s="291" t="n">
        <f aca="false">H64-G145</f>
        <v>5993.509375</v>
      </c>
      <c r="K64" s="216"/>
      <c r="L64" s="63"/>
      <c r="M64" s="285" t="s">
        <v>91</v>
      </c>
      <c r="N64" s="133" t="n">
        <f aca="false">N61*N63</f>
        <v>5993.509375</v>
      </c>
      <c r="O64" s="215"/>
      <c r="P64" s="291" t="n">
        <f aca="false">N64-M145</f>
        <v>5993.509375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0.005</v>
      </c>
      <c r="C65" s="215"/>
      <c r="D65" s="215"/>
      <c r="E65" s="216"/>
      <c r="F65" s="63"/>
      <c r="G65" s="292" t="s">
        <v>92</v>
      </c>
      <c r="H65" s="293" t="n">
        <v>0.01</v>
      </c>
      <c r="I65" s="215"/>
      <c r="J65" s="215"/>
      <c r="K65" s="216"/>
      <c r="L65" s="63"/>
      <c r="M65" s="292" t="s">
        <v>92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0.0195833333333333</v>
      </c>
      <c r="C66" s="215"/>
      <c r="D66" s="215"/>
      <c r="E66" s="216"/>
      <c r="F66" s="63"/>
      <c r="G66" s="214" t="s">
        <v>93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93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B61*B66</f>
        <v>1133.58125</v>
      </c>
      <c r="C67" s="215"/>
      <c r="D67" s="291"/>
      <c r="E67" s="216"/>
      <c r="F67" s="63"/>
      <c r="G67" s="285" t="s">
        <v>94</v>
      </c>
      <c r="H67" s="133" t="n">
        <f aca="false">(H61*H66)/1.2</f>
        <v>944.651041666667</v>
      </c>
      <c r="I67" s="215"/>
      <c r="J67" s="291"/>
      <c r="K67" s="216"/>
      <c r="L67" s="63"/>
      <c r="M67" s="285" t="s">
        <v>94</v>
      </c>
      <c r="N67" s="133" t="n">
        <f aca="false">(N61*N66)/1.2</f>
        <v>944.651041666667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215"/>
      <c r="D68" s="215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292" t="s">
        <v>95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295" t="s">
        <v>96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297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285" t="s">
        <v>97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160.0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292" t="s">
        <v>98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4.5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295" t="s">
        <v>99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175</v>
      </c>
      <c r="C73" s="215"/>
      <c r="D73" s="291" t="n">
        <f aca="false">B73+B71</f>
        <v>375</v>
      </c>
      <c r="E73" s="216"/>
      <c r="F73" s="63"/>
      <c r="G73" s="285" t="s">
        <v>100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100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1040</v>
      </c>
      <c r="C76" s="215"/>
      <c r="D76" s="291" t="n">
        <f aca="false">B76</f>
        <v>1040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131" t="n">
        <f aca="false">B102/(1-0.1)</f>
        <v>0</v>
      </c>
      <c r="C77" s="215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215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300.0</v>
      </c>
      <c r="C79" s="215"/>
      <c r="D79" s="291" t="n">
        <f aca="false">B79</f>
        <v>200</v>
      </c>
      <c r="E79" s="466"/>
      <c r="F79" s="63"/>
      <c r="G79" s="295" t="s">
        <v>101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101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100.0</v>
      </c>
      <c r="C80" s="215"/>
      <c r="D80" s="291" t="n">
        <f aca="false">B80</f>
        <v>200</v>
      </c>
      <c r="E80" s="466" t="n">
        <f aca="false">(D73+D76+D79+D80)/(B58+B57)</f>
        <v>51.8571428571429</v>
      </c>
      <c r="F80" s="63"/>
      <c r="G80" s="301" t="s">
        <v>102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102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7808.509375</v>
      </c>
      <c r="C81" s="215"/>
      <c r="D81" s="215"/>
      <c r="E81" s="466"/>
      <c r="F81" s="63"/>
      <c r="G81" s="303" t="s">
        <v>103</v>
      </c>
      <c r="H81" s="304" t="n">
        <f aca="false">SUM(J64:J80)</f>
        <v>7041.009375</v>
      </c>
      <c r="I81" s="215"/>
      <c r="J81" s="215"/>
      <c r="K81" s="216"/>
      <c r="L81" s="63"/>
      <c r="M81" s="303" t="s">
        <v>103</v>
      </c>
      <c r="N81" s="304" t="n">
        <f aca="false">SUM(P64:P80)</f>
        <v>6711.009375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223.100267857143</v>
      </c>
      <c r="C82" s="215"/>
      <c r="D82" s="215"/>
      <c r="E82" s="466"/>
      <c r="F82" s="63"/>
      <c r="G82" s="214" t="s">
        <v>104</v>
      </c>
      <c r="H82" s="300" t="n">
        <f aca="false">H81/H29</f>
        <v>201.171696428571</v>
      </c>
      <c r="I82" s="215"/>
      <c r="J82" s="215"/>
      <c r="K82" s="216"/>
      <c r="L82" s="63"/>
      <c r="M82" s="214" t="s">
        <v>104</v>
      </c>
      <c r="N82" s="300" t="n">
        <f aca="false">N81/H29</f>
        <v>191.743125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H47</f>
        <v>1122.97092879718</v>
      </c>
      <c r="C83" s="215"/>
      <c r="D83" s="215"/>
      <c r="E83" s="466" t="n">
        <f aca="false">B83+E80+E77+E64</f>
        <v>1346.07119665432</v>
      </c>
      <c r="F83" s="63"/>
      <c r="G83" s="305" t="s">
        <v>105</v>
      </c>
      <c r="H83" s="306" t="n">
        <f aca="false">H47</f>
        <v>1122.97092879718</v>
      </c>
      <c r="I83" s="215"/>
      <c r="J83" s="215"/>
      <c r="K83" s="216"/>
      <c r="L83" s="63"/>
      <c r="M83" s="305" t="s">
        <v>105</v>
      </c>
      <c r="N83" s="306" t="n">
        <f aca="false">H47</f>
        <v>1122.97092879718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((B83*H29)+B81)*1.2</f>
        <v>56534.9902594816</v>
      </c>
      <c r="C85" s="215"/>
      <c r="D85" s="215"/>
      <c r="E85" s="466" t="n">
        <f aca="false">B85/(B58+B57)</f>
        <v>1615.28543598519</v>
      </c>
      <c r="F85" s="63"/>
      <c r="G85" s="288" t="s">
        <v>115</v>
      </c>
      <c r="H85" s="131" t="n">
        <f aca="false">((H83*H29)+H81)*1.2</f>
        <v>55613.9902594816</v>
      </c>
      <c r="I85" s="215"/>
      <c r="J85" s="215"/>
      <c r="K85" s="216"/>
      <c r="L85" s="63"/>
      <c r="M85" s="288" t="s">
        <v>115</v>
      </c>
      <c r="N85" s="131" t="n">
        <f aca="false">((N83*H29)+N81)</f>
        <v>46014.9918829013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((((B83*H29)+B81))/(1-B70))*B70</f>
        <v>399.097349552613</v>
      </c>
      <c r="C86" s="215"/>
      <c r="D86" s="215"/>
      <c r="E86" s="466" t="n">
        <f aca="false">B86/(B58+B57)</f>
        <v>11.4027814157889</v>
      </c>
      <c r="F86" s="63"/>
      <c r="G86" s="214" t="s">
        <v>116</v>
      </c>
      <c r="H86" s="300" t="n">
        <f aca="false">((((H83*H29)+H81))/(1-H70))*H70</f>
        <v>392.59573599876</v>
      </c>
      <c r="I86" s="215"/>
      <c r="J86" s="215"/>
      <c r="K86" s="216"/>
      <c r="L86" s="63"/>
      <c r="M86" s="214" t="s">
        <v>116</v>
      </c>
      <c r="N86" s="300" t="n">
        <f aca="false">(N85/(1-N70))*N70</f>
        <v>389.800253949547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IF(B110="YES",((B85+B86)-E114),(B85+B86))</f>
        <v>56934.0876090342</v>
      </c>
      <c r="C87" s="215"/>
      <c r="D87" s="215"/>
      <c r="E87" s="466" t="n">
        <f aca="false">E86+E85</f>
        <v>1626.68821740098</v>
      </c>
      <c r="F87" s="63"/>
      <c r="G87" s="285" t="s">
        <v>117</v>
      </c>
      <c r="H87" s="133" t="n">
        <f aca="false">IF(H110="YES",((H85+H86)-K114),(H85+H86))</f>
        <v>56006.5859954803</v>
      </c>
      <c r="I87" s="215"/>
      <c r="J87" s="215"/>
      <c r="K87" s="216"/>
      <c r="L87" s="63"/>
      <c r="M87" s="285" t="s">
        <v>117</v>
      </c>
      <c r="N87" s="133" t="n">
        <f aca="false">IF(N110="YES",((N85+N86)-Q114),(N85+N86))</f>
        <v>46404.7921368509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4" t="n">
        <f aca="false">IF(B99=Y98, (D40+(D40*B105))/(B58), (D40+(D40*B105))/(B57+B58))*1.2*(C45/100)</f>
        <v>192.9312</v>
      </c>
      <c r="C89" s="215"/>
      <c r="D89" s="215"/>
      <c r="E89" s="216"/>
      <c r="F89" s="63"/>
      <c r="G89" s="303" t="s">
        <v>118</v>
      </c>
      <c r="H89" s="304" t="n">
        <f aca="false">IF(H99=Y98, (D40+(D40*H105))/(H58), (D40+(D40*H105))/(H57+H58))*1.2</f>
        <v>168.8148</v>
      </c>
      <c r="I89" s="215"/>
      <c r="J89" s="215"/>
      <c r="K89" s="216"/>
      <c r="L89" s="63"/>
      <c r="M89" s="303" t="s">
        <v>118</v>
      </c>
      <c r="N89" s="304" t="n">
        <f aca="false">IF(N99=Y98, (D40+(D40*N105))/(N58), (D40+(D40*N105))/(N57+N58))</f>
        <v>140.679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IF(B99=Y98, (B87-D105)/(B58), B87/(B57+B58))</f>
        <v>1626.68821740098</v>
      </c>
      <c r="C90" s="215"/>
      <c r="D90" s="215"/>
      <c r="E90" s="216"/>
      <c r="F90" s="63"/>
      <c r="G90" s="308" t="s">
        <v>119</v>
      </c>
      <c r="H90" s="309" t="n">
        <f aca="false">IF(H99=Y98, (H87-J105)/(H58), H87/(H57+H58))</f>
        <v>1400.16464988701</v>
      </c>
      <c r="I90" s="215"/>
      <c r="J90" s="215"/>
      <c r="K90" s="216"/>
      <c r="L90" s="63"/>
      <c r="M90" s="308" t="s">
        <v>119</v>
      </c>
      <c r="N90" s="309" t="n">
        <f aca="false">IF(N99=Y98, (N87-P105)/(N58), N87/(N57+N58))</f>
        <v>1160.11980342127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1819.61941740098</v>
      </c>
      <c r="C91" s="215"/>
      <c r="D91" s="215"/>
      <c r="E91" s="216"/>
      <c r="F91" s="63"/>
      <c r="G91" s="310" t="s">
        <v>120</v>
      </c>
      <c r="H91" s="311" t="n">
        <f aca="false">IF(G105="YES", H90+H89, H90)</f>
        <v>1568.97944988701</v>
      </c>
      <c r="I91" s="215"/>
      <c r="J91" s="215"/>
      <c r="K91" s="216"/>
      <c r="L91" s="63"/>
      <c r="M91" s="310" t="s">
        <v>120</v>
      </c>
      <c r="N91" s="311" t="n">
        <f aca="false">IF(M105="YES", N90+N89, N90)</f>
        <v>1300.79880342127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341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217" t="s">
        <v>126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130</v>
      </c>
      <c r="Z97" s="63"/>
      <c r="AC97" s="388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214" t="s">
        <v>127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130</v>
      </c>
      <c r="C99" s="312"/>
      <c r="D99" s="107" t="n">
        <v>1000.0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289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214" t="s">
        <v>287</v>
      </c>
      <c r="N101" s="215" t="s">
        <v>288</v>
      </c>
      <c r="O101" s="215"/>
      <c r="P101" s="215" t="s">
        <v>289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220" t="s">
        <v>128</v>
      </c>
      <c r="N104" s="63" t="s">
        <v>131</v>
      </c>
      <c r="O104" s="215"/>
      <c r="P104" s="215" t="s">
        <v>142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390</v>
      </c>
      <c r="B105" s="314" t="n">
        <v>0.3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342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290</v>
      </c>
      <c r="B108" s="217"/>
      <c r="C108" s="217"/>
      <c r="D108" s="217"/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217" t="s">
        <v>290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291</v>
      </c>
      <c r="B110" s="222" t="s">
        <v>388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214" t="s">
        <v>291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0.0</v>
      </c>
      <c r="E112" s="107" t="n">
        <v>6000.0</v>
      </c>
      <c r="F112" s="63"/>
      <c r="G112" s="214" t="s">
        <v>176</v>
      </c>
      <c r="H112" s="215"/>
      <c r="I112" s="215"/>
      <c r="J112" s="313" t="n">
        <v>0</v>
      </c>
      <c r="K112" s="107" t="n">
        <v>0</v>
      </c>
      <c r="L112" s="63"/>
      <c r="M112" s="214" t="s">
        <v>176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177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177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178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178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-6000</v>
      </c>
      <c r="E115" s="216"/>
      <c r="F115" s="63"/>
      <c r="G115" s="214" t="s">
        <v>179</v>
      </c>
      <c r="H115" s="215"/>
      <c r="I115" s="215"/>
      <c r="J115" s="166" t="n">
        <f aca="false">J114-K114</f>
        <v>0</v>
      </c>
      <c r="K115" s="216"/>
      <c r="L115" s="63"/>
      <c r="M115" s="214" t="s">
        <v>179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f aca="false">D99</f>
        <v>1000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288" t="s">
        <v>138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E118+E117-E114</f>
        <v>-2760.01</v>
      </c>
      <c r="F119" s="63"/>
      <c r="G119" s="315" t="s">
        <v>292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292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217" t="s">
        <v>293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0.0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214" t="s">
        <v>183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296</v>
      </c>
      <c r="H126" s="328" t="s">
        <v>297</v>
      </c>
      <c r="I126" s="328"/>
      <c r="J126" s="328" t="s">
        <v>298</v>
      </c>
      <c r="K126" s="216"/>
      <c r="L126" s="63"/>
      <c r="M126" s="327" t="s">
        <v>343</v>
      </c>
      <c r="N126" s="328" t="s">
        <v>252</v>
      </c>
      <c r="O126" s="328"/>
      <c r="P126" s="328" t="s">
        <v>120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333" t="n">
        <f aca="false">H90</f>
        <v>1400.16464988701</v>
      </c>
      <c r="H127" s="177" t="n">
        <f aca="false">IF(G105="YES", H89*H57, 0)</f>
        <v>1012.8888</v>
      </c>
      <c r="I127" s="177"/>
      <c r="J127" s="334" t="n">
        <f aca="false">H91</f>
        <v>1568.97944988701</v>
      </c>
      <c r="K127" s="216"/>
      <c r="L127" s="63"/>
      <c r="M127" s="333" t="n">
        <f aca="false">N90</f>
        <v>1160.11980342127</v>
      </c>
      <c r="N127" s="177" t="n">
        <f aca="false">IF(M105="YES", N89*N57, 0)</f>
        <v>844.074</v>
      </c>
      <c r="O127" s="177"/>
      <c r="P127" s="177" t="n">
        <f aca="false">N91</f>
        <v>1300.79880342127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1626.68821740098</v>
      </c>
      <c r="B128" s="321" t="n">
        <f aca="false">IF(A105="YES", B89, 0)</f>
        <v>192.9312</v>
      </c>
      <c r="C128" s="325"/>
      <c r="D128" s="321" t="n">
        <f aca="false">B91</f>
        <v>1819.61941740098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83</v>
      </c>
      <c r="H129" s="215" t="s">
        <v>84</v>
      </c>
      <c r="I129" s="215"/>
      <c r="J129" s="215" t="s">
        <v>86</v>
      </c>
      <c r="K129" s="216"/>
      <c r="L129" s="63"/>
      <c r="M129" s="214" t="s">
        <v>83</v>
      </c>
      <c r="N129" s="215" t="s">
        <v>84</v>
      </c>
      <c r="O129" s="215"/>
      <c r="P129" s="215" t="s">
        <v>86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26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26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14640.1939566088</v>
      </c>
      <c r="C131" s="317"/>
      <c r="D131" s="38" t="n">
        <f aca="false">IF(A105="YES", B89*B57, 0)</f>
        <v>1736.3808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214" t="s">
        <v>344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8400.98789932205</v>
      </c>
      <c r="H133" s="103" t="n">
        <f aca="false">IF(G105="YES", H89*H57, 0)</f>
        <v>1012.8888</v>
      </c>
      <c r="I133" s="221"/>
      <c r="J133" s="184" t="n">
        <f aca="false">H91*H57</f>
        <v>9413.87669932205</v>
      </c>
      <c r="K133" s="216"/>
      <c r="L133" s="63"/>
      <c r="M133" s="185" t="n">
        <f aca="false">N90*N57</f>
        <v>6960.71882052763</v>
      </c>
      <c r="N133" s="103" t="n">
        <f aca="false">IF(M105="YES", N89*N57, 0)</f>
        <v>844.074</v>
      </c>
      <c r="O133" s="221"/>
      <c r="P133" s="184" t="n">
        <f aca="false">N91*N57</f>
        <v>7804.79282052763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16376.5747566088</v>
      </c>
      <c r="B134" s="38" t="n">
        <f aca="false">E114</f>
        <v>4000</v>
      </c>
      <c r="C134" s="317"/>
      <c r="D134" s="337" t="n">
        <f aca="false">B58</f>
        <v>26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111" t="n">
        <f aca="false">E15*0.000006</f>
        <v>0.35121</v>
      </c>
      <c r="N136" s="103" t="n">
        <f aca="false">IF(M105="YES", E15*0.000002, 0)</f>
        <v>0.11707</v>
      </c>
      <c r="O136" s="103"/>
      <c r="P136" s="103" t="n">
        <f aca="false">M136+N136</f>
        <v>0.46828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1626.68821740098</v>
      </c>
      <c r="B137" s="38" t="n">
        <f aca="false">IF(A105="YES", B89, 0)</f>
        <v>192.9312</v>
      </c>
      <c r="C137" s="317"/>
      <c r="D137" s="38" t="n">
        <f aca="false">B91</f>
        <v>1819.61941740098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214" t="s">
        <v>141</v>
      </c>
      <c r="N138" s="215" t="s">
        <v>310</v>
      </c>
      <c r="O138" s="215"/>
      <c r="P138" s="215" t="s">
        <v>311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199.99</v>
      </c>
      <c r="H139" s="103" t="n">
        <f aca="false">H67</f>
        <v>944.651041666667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944.651041666667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214" t="s">
        <v>313</v>
      </c>
      <c r="N141" s="215" t="s">
        <v>314</v>
      </c>
      <c r="O141" s="215"/>
      <c r="P141" s="215" t="s">
        <v>315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93.786</v>
      </c>
      <c r="H142" s="103" t="n">
        <f aca="false">G102-100</f>
        <v>99.99</v>
      </c>
      <c r="I142" s="103"/>
      <c r="J142" s="103" t="n">
        <f aca="false">(H139+J139+G142+H142)-H145</f>
        <v>1138.42704166667</v>
      </c>
      <c r="K142" s="105"/>
      <c r="L142" s="63"/>
      <c r="M142" s="111" t="n">
        <f aca="false">IF(M105="YES", ((B36*N105)*0.1)*(M130), 0)</f>
        <v>93.786</v>
      </c>
      <c r="N142" s="103" t="n">
        <f aca="false">M102-100</f>
        <v>99.99</v>
      </c>
      <c r="O142" s="103"/>
      <c r="P142" s="103" t="n">
        <f aca="false">(N139+P139+M142+N142)-N145</f>
        <v>1138.42704166667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214" t="s">
        <v>317</v>
      </c>
      <c r="N144" s="215" t="s">
        <v>318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345</v>
      </c>
      <c r="N147" s="166" t="s">
        <v>346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1133.58125</v>
      </c>
      <c r="B148" s="38" t="n">
        <f aca="false">B102</f>
        <v>0</v>
      </c>
      <c r="C148" s="38"/>
      <c r="D148" s="38" t="n">
        <f aca="false">IF(A105="YES", (B40*B105)*B125, 0)*0.1</f>
        <v>93.786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1327.35891666667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323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1568.97944988701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83</v>
      </c>
      <c r="N153" s="251" t="s">
        <v>84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1300.79880342127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1819.61941740098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1626.68821740098</v>
      </c>
      <c r="B177" s="355" t="n">
        <f aca="false">IF(A105="YES", B89, 0)</f>
        <v>192.9312</v>
      </c>
      <c r="C177" s="357"/>
      <c r="D177" s="355" t="n">
        <f aca="false">B91</f>
        <v>1819.61941740098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Terminal pause with 9 down </v>
      </c>
      <c r="B180" s="103" t="n">
        <f aca="false">B90*B57</f>
        <v>14640.1939566088</v>
      </c>
      <c r="C180" s="353"/>
      <c r="D180" s="103" t="n">
        <f aca="false">IF(A105="YES", B89*B57, 0)</f>
        <v>1736.3808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16376.5747566088</v>
      </c>
      <c r="B183" s="103" t="n">
        <f aca="false">E114</f>
        <v>4000</v>
      </c>
      <c r="C183" s="353"/>
      <c r="D183" s="361" t="n">
        <f aca="false">B58</f>
        <v>26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1626.68821740098</v>
      </c>
      <c r="B186" s="103" t="n">
        <f aca="false">IF(A105="YES", B89, 0)</f>
        <v>192.9312</v>
      </c>
      <c r="C186" s="353"/>
      <c r="D186" s="103" t="n">
        <f aca="false">B91</f>
        <v>1819.61941740098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1133.58125</v>
      </c>
      <c r="B197" s="103" t="n">
        <f aca="false">B102</f>
        <v>0</v>
      </c>
      <c r="C197" s="103"/>
      <c r="D197" s="103" t="n">
        <f aca="false">IF(A105="YES", (B40*B105)*B125, 0)*0.1</f>
        <v>93.786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(E118/1.2)-100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1327.35891666667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0.065</v>
      </c>
      <c r="C209" s="321" t="s">
        <v>217</v>
      </c>
      <c r="D209" s="370" t="n">
        <f aca="false">D64</f>
        <v>5993.509375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1133.58125</v>
      </c>
      <c r="C211" s="320" t="s">
        <v>219</v>
      </c>
      <c r="D211" s="370" t="n">
        <f aca="false">B225+E221+B221+B223</f>
        <v>1037.85166666667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5897.77979166667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D64</f>
        <v>5993.509375</v>
      </c>
      <c r="C217" s="375" t="s">
        <v>223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B67</f>
        <v>1133.58125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0</v>
      </c>
      <c r="C221" s="336" t="s">
        <v>225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B78-(B78*(E219*100))</f>
        <v>0</v>
      </c>
      <c r="C223" s="336" t="s">
        <v>220</v>
      </c>
      <c r="D223" s="317"/>
      <c r="E223" s="33" t="n">
        <f aca="false">(B217-B211+D211)</f>
        <v>5897.77979166667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937.86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B71</f>
        <v>200</v>
      </c>
      <c r="C229" s="336" t="s">
        <v>228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B68</f>
        <v>0.0075</v>
      </c>
      <c r="C231" s="336" t="s">
        <v>231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B86</f>
        <v>399.097349552613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B79</f>
        <v>200</v>
      </c>
      <c r="C233" s="382" t="s">
        <v>330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B80</f>
        <v>200</v>
      </c>
      <c r="C235" s="386" t="s">
        <v>331</v>
      </c>
      <c r="D235" s="386"/>
      <c r="E235" s="149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48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145</v>
      </c>
      <c r="C2" s="497" t="s">
        <v>146</v>
      </c>
      <c r="D2" s="497" t="s">
        <v>147</v>
      </c>
      <c r="E2" s="483" t="s">
        <v>148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151</v>
      </c>
      <c r="B3" s="263" t="n">
        <v>55495.83</v>
      </c>
      <c r="C3" s="498" t="n">
        <v>0.0</v>
      </c>
      <c r="D3" s="263" t="n">
        <v>833.33</v>
      </c>
      <c r="E3" s="499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152</v>
      </c>
      <c r="B4" s="0" t="n">
        <v>0.0</v>
      </c>
      <c r="C4" s="0" t="n">
        <v>0.0</v>
      </c>
      <c r="D4" s="0" t="n">
        <v>0.0</v>
      </c>
      <c r="E4" s="294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153</v>
      </c>
      <c r="B5" s="498" t="n">
        <v>0.0</v>
      </c>
      <c r="C5" s="498" t="n">
        <v>0.0</v>
      </c>
      <c r="D5" s="498" t="n">
        <v>0.0</v>
      </c>
      <c r="E5" s="300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154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155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4"/>
      <c r="B8" s="215"/>
      <c r="C8" s="215"/>
      <c r="D8" s="215"/>
      <c r="E8" s="216"/>
      <c r="F8" s="63"/>
      <c r="G8" s="455" t="n">
        <f aca="false">G9*100/B3</f>
        <v>-222.667836537637</v>
      </c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163</v>
      </c>
      <c r="B9" s="486" t="n">
        <v>23125</v>
      </c>
      <c r="C9" s="486"/>
      <c r="D9" s="486"/>
      <c r="E9" s="508" t="n">
        <f aca="false">(B7+C7+D7+E3)</f>
        <v>47687.5</v>
      </c>
      <c r="F9" s="63"/>
      <c r="G9" s="454" t="n">
        <f aca="false">E9-G11</f>
        <v>-104329.166666667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164</v>
      </c>
      <c r="B10" s="488"/>
      <c r="C10" s="488"/>
      <c r="D10" s="488"/>
      <c r="E10" s="499" t="n">
        <v>645.83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165</v>
      </c>
      <c r="B11" s="488" t="n">
        <v>0</v>
      </c>
      <c r="C11" s="488"/>
      <c r="D11" s="488"/>
      <c r="E11" s="300" t="n">
        <f aca="false">( E9 + E10 ) * 0.2</f>
        <v>9647.5</v>
      </c>
      <c r="F11" s="63"/>
      <c r="G11" s="454" t="n">
        <f aca="false">G13/1.2</f>
        <v>152016.666666667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166</v>
      </c>
      <c r="B12" s="488"/>
      <c r="C12" s="488"/>
      <c r="D12" s="488"/>
      <c r="E12" s="499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167</v>
      </c>
      <c r="B13" s="488" t="n">
        <v>0</v>
      </c>
      <c r="C13" s="488"/>
      <c r="D13" s="488"/>
      <c r="E13" s="499" t="n">
        <v>645.0</v>
      </c>
      <c r="F13" s="63"/>
      <c r="G13" s="454" t="n">
        <f aca="false">G15-E14-E13-E12</f>
        <v>182420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168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169</v>
      </c>
      <c r="B15" s="488"/>
      <c r="C15" s="488"/>
      <c r="D15" s="488"/>
      <c r="E15" s="509" t="n">
        <f aca="false">(E9+E10+E13+E14+E11) - E12</f>
        <v>58535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170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171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172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172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172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173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353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128</v>
      </c>
      <c r="B26" s="222" t="s">
        <v>390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182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183</v>
      </c>
      <c r="B30" s="172" t="s">
        <v>391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4980.0</v>
      </c>
      <c r="I31" s="63"/>
      <c r="J31" s="63"/>
      <c r="K31" s="63" t="n">
        <v>10000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83</v>
      </c>
      <c r="B32" s="215" t="s">
        <v>84</v>
      </c>
      <c r="C32" s="215"/>
      <c r="D32" s="458" t="s">
        <v>354</v>
      </c>
      <c r="E32" s="216"/>
      <c r="F32" s="63"/>
      <c r="G32" s="218" t="s">
        <v>36</v>
      </c>
      <c r="I32" s="449" t="n">
        <v>3950.1</v>
      </c>
      <c r="J32" s="63"/>
      <c r="K32" s="63" t="n">
        <v>14400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22</v>
      </c>
      <c r="B33" s="229" t="n">
        <v>10000</v>
      </c>
      <c r="C33" s="230"/>
      <c r="D33" s="459" t="n">
        <f aca="false">H48</f>
        <v>1351.4959513474</v>
      </c>
      <c r="E33" s="216"/>
      <c r="F33" s="63"/>
      <c r="G33" s="219" t="s">
        <v>355</v>
      </c>
      <c r="H33" s="460" t="n">
        <f aca="false">E21-E11+((E16*20%)+(E19*20%)+(E20*20%))</f>
        <v>48887.5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371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356</v>
      </c>
      <c r="B35" s="215" t="s">
        <v>357</v>
      </c>
      <c r="C35" s="215"/>
      <c r="D35" s="215" t="s">
        <v>358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1313.6959513474</v>
      </c>
      <c r="B36" s="103" t="n">
        <f aca="false">IF(B26="YES", H42, "")</f>
        <v>37.8</v>
      </c>
      <c r="C36" s="221"/>
      <c r="D36" s="184" t="n">
        <f aca="false">H31</f>
        <v>29500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359</v>
      </c>
      <c r="B39" s="215" t="s">
        <v>360</v>
      </c>
      <c r="C39" s="215"/>
      <c r="D39" s="215" t="s">
        <v>361</v>
      </c>
      <c r="E39" s="216"/>
      <c r="F39" s="63"/>
      <c r="G39" s="63" t="s">
        <v>85</v>
      </c>
      <c r="H39" s="238" t="n">
        <f aca="false">H33</f>
        <v>48887.5</v>
      </c>
      <c r="I39" s="238" t="n">
        <f aca="false">(I48*H46)+H44</f>
        <v>49890.90388072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29500</v>
      </c>
      <c r="B40" s="107" t="n">
        <f aca="false">IF(B26="YES",H42,"0")</f>
        <v>37.8</v>
      </c>
      <c r="C40" s="107"/>
      <c r="D40" s="184" t="n">
        <f aca="false">I32</f>
        <v>1663.2</v>
      </c>
      <c r="E40" s="216"/>
      <c r="F40" s="63"/>
      <c r="G40" s="63" t="s">
        <v>107</v>
      </c>
      <c r="H40" s="238" t="n">
        <f aca="false">A40/1.2</f>
        <v>24583.3333333333</v>
      </c>
      <c r="I40" s="238" t="n">
        <f aca="false">H39-I39</f>
        <v>-1003.40388071995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362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363</v>
      </c>
      <c r="H42" s="238" t="n">
        <f aca="false">(I32/H34)*(C45/100)</f>
        <v>37.8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364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77</v>
      </c>
      <c r="B44" s="215"/>
      <c r="C44" s="363" t="s">
        <v>78</v>
      </c>
      <c r="D44" s="363"/>
      <c r="E44" s="216"/>
      <c r="F44" s="63"/>
      <c r="G44" s="63" t="s">
        <v>372</v>
      </c>
      <c r="H44" s="238" t="n">
        <f aca="false">(H40/(1+H41)^(H34+1))</f>
        <v>21711.0548931379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50.0</v>
      </c>
      <c r="D45" s="463"/>
      <c r="E45" s="216"/>
      <c r="F45" s="63"/>
      <c r="G45" s="63" t="s">
        <v>373</v>
      </c>
      <c r="H45" s="238" t="n">
        <f aca="false">(H39-H44)</f>
        <v>27176.4451068621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374</v>
      </c>
      <c r="H46" s="238" t="n">
        <f aca="false">((1-(1/((1+H41)^H34)))/H41)</f>
        <v>20.6870129111599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368</v>
      </c>
      <c r="H47" s="238" t="n">
        <f aca="false">H45/H46</f>
        <v>1313.6959513474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464" t="s">
        <v>369</v>
      </c>
      <c r="H48" s="238" t="n">
        <f aca="false">IF(B26="YES", H47+H42, H47)</f>
        <v>1351.4959513474</v>
      </c>
      <c r="I48" s="238" t="n">
        <f aca="false">I49-H42</f>
        <v>1362.2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370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22000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22</v>
      </c>
      <c r="B52" s="74" t="n">
        <f aca="false">H48</f>
        <v>1351.4959513474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85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85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IF(B99=Y97,H29-B57,IF(B99=Y98,H29-B57,IF(B99=Y99,H29-1,IF(B99=Y100,H29-1,IF(B99=Y101,H29-1,IF(B99=Y102,H29-1,IF(B99=Y103,H29-B57,IF(B99=Y104,H29-B57,IF(B99=Y105,H29-B57,0)))))))))</f>
        <v>21</v>
      </c>
      <c r="C58" s="215"/>
      <c r="D58" s="215"/>
      <c r="E58" s="216"/>
      <c r="F58" s="63"/>
      <c r="G58" s="214" t="s">
        <v>86</v>
      </c>
      <c r="H58" s="215" t="n">
        <f aca="false">IF(H99=Y97,H29-H57,IF(H99=Y98,H29-H57,IF(H99=Y99,H29-1,IF(H99=Y100,H29-1,IF(H99=Y101,H29-1,IF(H99=Y102,H29-1,IF(H99=Y103,H29-H57,IF(H99=Y104,H29-H57,IF(H99=Y105,H29-H57,0)))))))))</f>
        <v>21</v>
      </c>
      <c r="I58" s="215"/>
      <c r="J58" s="215"/>
      <c r="K58" s="216"/>
      <c r="L58" s="63"/>
      <c r="M58" s="214" t="s">
        <v>86</v>
      </c>
      <c r="N58" s="215" t="n">
        <f aca="false">IF(N99=Y97,H29-N57,IF(N99=Y98,H29-N57,IF(N99=Y99,H29-1,IF(N99=Y100,H29-1,IF(N99=Y101,H29-1,IF(N99=Y102,H29-1,IF(N99=Y103,H29-N57,IF(N99=Y104,H29-N57,IF(N99=Y105,H29-N57,0)))))))))</f>
        <v>21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0.0845833333333333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0.0845833333333333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0.0845833333333333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C64</f>
        <v>4896.10625</v>
      </c>
      <c r="C64" s="465" t="n">
        <v>10000.0</v>
      </c>
      <c r="D64" s="291" t="n">
        <f aca="false">B64</f>
        <v>4896.10625</v>
      </c>
      <c r="E64" s="466" t="n">
        <f aca="false">D64/(B58+B57)</f>
        <v>222.550284090909</v>
      </c>
      <c r="F64" s="63"/>
      <c r="G64" s="285" t="s">
        <v>91</v>
      </c>
      <c r="H64" s="133" t="n">
        <f aca="false">H61*H63</f>
        <v>4896.10625</v>
      </c>
      <c r="I64" s="215"/>
      <c r="J64" s="291" t="n">
        <f aca="false">H64-G145</f>
        <v>4896.10625</v>
      </c>
      <c r="K64" s="216"/>
      <c r="L64" s="63"/>
      <c r="M64" s="285" t="s">
        <v>91</v>
      </c>
      <c r="N64" s="133" t="n">
        <f aca="false">N61*N63</f>
        <v>4896.10625</v>
      </c>
      <c r="O64" s="215"/>
      <c r="P64" s="291" t="n">
        <f aca="false">N64-M145</f>
        <v>4896.10625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0.005</v>
      </c>
      <c r="C65" s="215"/>
      <c r="D65" s="291"/>
      <c r="E65" s="216"/>
      <c r="F65" s="63"/>
      <c r="G65" s="292" t="s">
        <v>92</v>
      </c>
      <c r="H65" s="293" t="n">
        <v>0.01</v>
      </c>
      <c r="I65" s="215"/>
      <c r="J65" s="215"/>
      <c r="K65" s="216"/>
      <c r="L65" s="63"/>
      <c r="M65" s="292" t="s">
        <v>92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0.0141666666666667</v>
      </c>
      <c r="C66" s="467" t="s">
        <v>223</v>
      </c>
      <c r="D66" s="215"/>
      <c r="E66" s="216"/>
      <c r="F66" s="63"/>
      <c r="G66" s="214" t="s">
        <v>93</v>
      </c>
      <c r="H66" s="294" t="n">
        <f aca="false">H65+(H65*0.5*(H29/12-1))</f>
        <v>0.0141666666666667</v>
      </c>
      <c r="I66" s="215"/>
      <c r="J66" s="215"/>
      <c r="K66" s="216"/>
      <c r="L66" s="63"/>
      <c r="M66" s="214" t="s">
        <v>93</v>
      </c>
      <c r="N66" s="294" t="n">
        <f aca="false">N65+(N65*0.5*(H29/12-1))</f>
        <v>0.0141666666666667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B61*B66</f>
        <v>820.0375</v>
      </c>
      <c r="C67" s="468" t="s">
        <v>223</v>
      </c>
      <c r="D67" s="469"/>
      <c r="E67" s="216"/>
      <c r="F67" s="63"/>
      <c r="G67" s="285" t="s">
        <v>94</v>
      </c>
      <c r="H67" s="133" t="n">
        <f aca="false">(H61*H66)/1.2</f>
        <v>683.364583333333</v>
      </c>
      <c r="I67" s="215"/>
      <c r="J67" s="291"/>
      <c r="K67" s="216"/>
      <c r="L67" s="63"/>
      <c r="M67" s="285" t="s">
        <v>94</v>
      </c>
      <c r="N67" s="133" t="n">
        <f aca="false">(N61*N66)/1.2</f>
        <v>683.364583333333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470"/>
      <c r="D68" s="291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292" t="s">
        <v>95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295" t="s">
        <v>96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297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285" t="s">
        <v>97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160.0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292" t="s">
        <v>98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4.5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295" t="s">
        <v>99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110</v>
      </c>
      <c r="C73" s="215"/>
      <c r="D73" s="472" t="n">
        <f aca="false">B73+B71</f>
        <v>310</v>
      </c>
      <c r="E73" s="216" t="s">
        <v>229</v>
      </c>
      <c r="F73" s="63"/>
      <c r="G73" s="285" t="s">
        <v>100</v>
      </c>
      <c r="H73" s="133" t="n">
        <f aca="false">H72*H29</f>
        <v>99</v>
      </c>
      <c r="I73" s="215"/>
      <c r="J73" s="291" t="n">
        <f aca="false">H73+H71</f>
        <v>259</v>
      </c>
      <c r="K73" s="216"/>
      <c r="L73" s="63"/>
      <c r="M73" s="285" t="s">
        <v>100</v>
      </c>
      <c r="N73" s="133" t="n">
        <f aca="false">N72*H29</f>
        <v>99</v>
      </c>
      <c r="O73" s="215"/>
      <c r="P73" s="291" t="n">
        <f aca="false">N73+N71</f>
        <v>259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476.666666666667</v>
      </c>
      <c r="C76" s="215"/>
      <c r="D76" s="291" t="n">
        <f aca="false">B76</f>
        <v>476.666666666667</v>
      </c>
      <c r="E76" s="216"/>
      <c r="F76" s="63"/>
      <c r="G76" s="285" t="s">
        <v>281</v>
      </c>
      <c r="H76" s="133" t="n">
        <f aca="false">((H74+H75)/12)*(H29-11)</f>
        <v>151.25</v>
      </c>
      <c r="I76" s="215"/>
      <c r="J76" s="291" t="n">
        <f aca="false">H76</f>
        <v>151.25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20.2020202020202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300.0</v>
      </c>
      <c r="C79" s="473"/>
      <c r="D79" s="291" t="n">
        <f aca="false">B79</f>
        <v>200</v>
      </c>
      <c r="E79" s="466"/>
      <c r="F79" s="63"/>
      <c r="G79" s="295" t="s">
        <v>101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101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100.0</v>
      </c>
      <c r="C80" s="473"/>
      <c r="D80" s="291" t="n">
        <f aca="false">B80</f>
        <v>200</v>
      </c>
      <c r="E80" s="466" t="n">
        <f aca="false">(D73+D76+D79+D80)/(B58+B57)</f>
        <v>53.9393939393939</v>
      </c>
      <c r="F80" s="63"/>
      <c r="G80" s="301" t="s">
        <v>102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102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6749.43958333333</v>
      </c>
      <c r="C81" s="473"/>
      <c r="D81" s="474"/>
      <c r="E81" s="466"/>
      <c r="F81" s="63"/>
      <c r="G81" s="303" t="s">
        <v>103</v>
      </c>
      <c r="H81" s="304" t="n">
        <f aca="false">SUM(J64:J80)</f>
        <v>5706.35625</v>
      </c>
      <c r="I81" s="215"/>
      <c r="J81" s="215"/>
      <c r="K81" s="216"/>
      <c r="L81" s="63"/>
      <c r="M81" s="303" t="s">
        <v>103</v>
      </c>
      <c r="N81" s="304" t="n">
        <f aca="false">SUM(P64:P80)</f>
        <v>5555.10625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306.792708333333</v>
      </c>
      <c r="C82" s="473"/>
      <c r="D82" s="215"/>
      <c r="E82" s="466"/>
      <c r="F82" s="63"/>
      <c r="G82" s="214" t="s">
        <v>104</v>
      </c>
      <c r="H82" s="300" t="n">
        <f aca="false">H81/H29</f>
        <v>259.379829545455</v>
      </c>
      <c r="I82" s="215"/>
      <c r="J82" s="215"/>
      <c r="K82" s="216"/>
      <c r="L82" s="63"/>
      <c r="M82" s="214" t="s">
        <v>104</v>
      </c>
      <c r="N82" s="300" t="n">
        <f aca="false">N81/H29</f>
        <v>252.504829545455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H47</f>
        <v>1313.6959513474</v>
      </c>
      <c r="C83" s="473"/>
      <c r="D83" s="215"/>
      <c r="E83" s="466" t="n">
        <f aca="false">B83+E80+E77+E64</f>
        <v>1610.38764957972</v>
      </c>
      <c r="F83" s="63"/>
      <c r="G83" s="305" t="s">
        <v>105</v>
      </c>
      <c r="H83" s="306" t="n">
        <f aca="false">H47</f>
        <v>1313.6959513474</v>
      </c>
      <c r="I83" s="215"/>
      <c r="J83" s="215"/>
      <c r="K83" s="216"/>
      <c r="L83" s="63"/>
      <c r="M83" s="305" t="s">
        <v>105</v>
      </c>
      <c r="N83" s="306" t="n">
        <f aca="false">H47</f>
        <v>1313.6959513474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((B83*H29)+B81)</f>
        <v>35650.750512976</v>
      </c>
      <c r="C85" s="473"/>
      <c r="D85" s="473"/>
      <c r="E85" s="466" t="n">
        <f aca="false">B85/(B58+B57)</f>
        <v>1620.48865968073</v>
      </c>
      <c r="F85" s="63"/>
      <c r="G85" s="288" t="s">
        <v>115</v>
      </c>
      <c r="H85" s="131" t="n">
        <f aca="false">((H83*H29)+H81)*1.2</f>
        <v>41529.2006155713</v>
      </c>
      <c r="I85" s="215"/>
      <c r="J85" s="215"/>
      <c r="K85" s="216"/>
      <c r="L85" s="63"/>
      <c r="M85" s="288" t="s">
        <v>115</v>
      </c>
      <c r="N85" s="131" t="n">
        <f aca="false">((N83*H29)+N81)</f>
        <v>34456.4171796427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(((B83*H29)+B81)/(1-B70))*B70</f>
        <v>302.00313060609</v>
      </c>
      <c r="C86" s="473" t="s">
        <v>232</v>
      </c>
      <c r="D86" s="215"/>
      <c r="E86" s="466" t="n">
        <f aca="false">B86/(B58+B57)</f>
        <v>13.7274150275495</v>
      </c>
      <c r="F86" s="63"/>
      <c r="G86" s="214" t="s">
        <v>116</v>
      </c>
      <c r="H86" s="300" t="n">
        <f aca="false">((((H83*H29)+H81))/(1-H70))*H70</f>
        <v>293.16700716922</v>
      </c>
      <c r="I86" s="215"/>
      <c r="J86" s="215"/>
      <c r="K86" s="216"/>
      <c r="L86" s="63"/>
      <c r="M86" s="214" t="s">
        <v>116</v>
      </c>
      <c r="N86" s="300" t="n">
        <f aca="false">(N85/(1-N70))*N70</f>
        <v>291.885744563331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IF(B110="YES",((B85+B86)-E114),((B85+B86)))</f>
        <v>35952.7536435821</v>
      </c>
      <c r="C87" s="473"/>
      <c r="D87" s="475"/>
      <c r="E87" s="466" t="n">
        <f aca="false">E86+E85</f>
        <v>1634.21607470828</v>
      </c>
      <c r="F87" s="63"/>
      <c r="G87" s="285" t="s">
        <v>117</v>
      </c>
      <c r="H87" s="133" t="n">
        <f aca="false">IF(H110="YES",((H85+H86)-K114),(H85+H86))</f>
        <v>41822.3676227405</v>
      </c>
      <c r="I87" s="215"/>
      <c r="J87" s="215"/>
      <c r="K87" s="216"/>
      <c r="L87" s="63"/>
      <c r="M87" s="285" t="s">
        <v>117</v>
      </c>
      <c r="N87" s="133" t="n">
        <f aca="false">IF(N110="YES",((N85+N86)-Q114),(N85+N86))</f>
        <v>34748.302924206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4" t="n">
        <f aca="false">IF(B99=Y98, (I32+(I32*B105))/(B58), (I32+(I32*B105))/(B57+B58))*(C45/100)</f>
        <v>49.14</v>
      </c>
      <c r="C89" s="473"/>
      <c r="D89" s="215"/>
      <c r="E89" s="216"/>
      <c r="F89" s="63"/>
      <c r="G89" s="303" t="s">
        <v>118</v>
      </c>
      <c r="H89" s="304" t="n">
        <f aca="false">IF(H99=Y98, (D40+(D40*H105))/(H58), (D40+(D40*H105))/(H57+H58))*1.2</f>
        <v>88.704</v>
      </c>
      <c r="I89" s="215"/>
      <c r="J89" s="215"/>
      <c r="K89" s="216"/>
      <c r="L89" s="63"/>
      <c r="M89" s="303" t="s">
        <v>118</v>
      </c>
      <c r="N89" s="304" t="n">
        <f aca="false">IF(N99=Y98, (D40+(D40*N105))/(N58), (D40+(D40*N105))/(N57+N58))</f>
        <v>73.92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IF(B99=Y98, (B87-D105)/(B58), B87/(B57+B58))</f>
        <v>1634.21607470828</v>
      </c>
      <c r="C90" s="473"/>
      <c r="D90" s="215"/>
      <c r="E90" s="476"/>
      <c r="F90" s="63"/>
      <c r="G90" s="308" t="s">
        <v>119</v>
      </c>
      <c r="H90" s="309" t="n">
        <f aca="false">IF(H99=Y98, (H87-J105)/(H58), H87/(H57+H58))</f>
        <v>1548.97657862002</v>
      </c>
      <c r="I90" s="215"/>
      <c r="J90" s="215"/>
      <c r="K90" s="216"/>
      <c r="L90" s="63"/>
      <c r="M90" s="308" t="s">
        <v>119</v>
      </c>
      <c r="N90" s="309" t="n">
        <f aca="false">IF(N99=Y98, (N87-P105)/(N58), N87/(N57+N58))</f>
        <v>1286.974182378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1683.35607470828</v>
      </c>
      <c r="C91" s="473"/>
      <c r="D91" s="477"/>
      <c r="E91" s="430"/>
      <c r="F91" s="63"/>
      <c r="G91" s="310" t="s">
        <v>120</v>
      </c>
      <c r="H91" s="311" t="n">
        <f aca="false">IF(G105="YES", H90+H89, H90)</f>
        <v>1637.68057862002</v>
      </c>
      <c r="I91" s="215"/>
      <c r="J91" s="215"/>
      <c r="K91" s="216"/>
      <c r="L91" s="63"/>
      <c r="M91" s="310" t="s">
        <v>120</v>
      </c>
      <c r="N91" s="311" t="n">
        <f aca="false">IF(M105="YES", N90+N89, N90)</f>
        <v>1360.894182378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341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376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217" t="s">
        <v>126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130</v>
      </c>
      <c r="Z97" s="63"/>
      <c r="AC97" s="388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214" t="s">
        <v>127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130</v>
      </c>
      <c r="C99" s="312"/>
      <c r="D99" s="107" t="n">
        <v>1000.0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377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214" t="s">
        <v>287</v>
      </c>
      <c r="N101" s="215" t="s">
        <v>288</v>
      </c>
      <c r="O101" s="215"/>
      <c r="P101" s="215" t="s">
        <v>289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220" t="s">
        <v>128</v>
      </c>
      <c r="N104" s="63" t="s">
        <v>131</v>
      </c>
      <c r="O104" s="215"/>
      <c r="P104" s="215" t="s">
        <v>142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390</v>
      </c>
      <c r="B105" s="314" t="n">
        <v>0.3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342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217" t="s">
        <v>290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291</v>
      </c>
      <c r="B110" s="222" t="s">
        <v>388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214" t="s">
        <v>291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0.0</v>
      </c>
      <c r="E112" s="107" t="n">
        <v>6000.0</v>
      </c>
      <c r="F112" s="63"/>
      <c r="G112" s="214" t="s">
        <v>176</v>
      </c>
      <c r="H112" s="215"/>
      <c r="I112" s="215"/>
      <c r="J112" s="313" t="n">
        <v>0</v>
      </c>
      <c r="K112" s="107" t="n">
        <v>0</v>
      </c>
      <c r="L112" s="63"/>
      <c r="M112" s="214" t="s">
        <v>176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177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177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178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178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-6000</v>
      </c>
      <c r="E115" s="216"/>
      <c r="F115" s="63"/>
      <c r="G115" s="214" t="s">
        <v>179</v>
      </c>
      <c r="H115" s="215"/>
      <c r="I115" s="215"/>
      <c r="J115" s="166" t="n">
        <f aca="false">J114-K114</f>
        <v>0</v>
      </c>
      <c r="K115" s="216"/>
      <c r="L115" s="63"/>
      <c r="M115" s="214" t="s">
        <v>179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 t="s">
        <v>19</v>
      </c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v>1000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288" t="s">
        <v>138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292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292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217" t="s">
        <v>293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0.0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214" t="s">
        <v>183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22</v>
      </c>
      <c r="C125" s="325"/>
      <c r="D125" s="324" t="n">
        <f aca="false">B160</f>
        <v>22000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296</v>
      </c>
      <c r="H126" s="328" t="s">
        <v>297</v>
      </c>
      <c r="I126" s="328"/>
      <c r="J126" s="328" t="s">
        <v>298</v>
      </c>
      <c r="K126" s="216"/>
      <c r="L126" s="63"/>
      <c r="M126" s="327" t="s">
        <v>343</v>
      </c>
      <c r="N126" s="328" t="s">
        <v>252</v>
      </c>
      <c r="O126" s="328"/>
      <c r="P126" s="328" t="s">
        <v>120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333" t="n">
        <f aca="false">H90</f>
        <v>1548.97657862002</v>
      </c>
      <c r="H127" s="177" t="n">
        <f aca="false">IF(G105="YES", H89*H57, 0)</f>
        <v>532.224</v>
      </c>
      <c r="I127" s="177"/>
      <c r="J127" s="334" t="n">
        <f aca="false">H91</f>
        <v>1637.68057862002</v>
      </c>
      <c r="K127" s="216"/>
      <c r="L127" s="63"/>
      <c r="M127" s="333" t="n">
        <f aca="false">N90</f>
        <v>1286.974182378</v>
      </c>
      <c r="N127" s="177" t="n">
        <f aca="false">IF(M105="YES", N89*N57, 0)</f>
        <v>443.52</v>
      </c>
      <c r="O127" s="177"/>
      <c r="P127" s="177" t="n">
        <f aca="false">N91</f>
        <v>1360.894182378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1634.21607470828</v>
      </c>
      <c r="B128" s="321" t="n">
        <f aca="false">IF(A105="YES", B89, 0)</f>
        <v>49.14</v>
      </c>
      <c r="C128" s="325"/>
      <c r="D128" s="321" t="n">
        <f aca="false">B91</f>
        <v>1683.35607470828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83</v>
      </c>
      <c r="H129" s="215" t="s">
        <v>84</v>
      </c>
      <c r="I129" s="215"/>
      <c r="J129" s="215" t="s">
        <v>86</v>
      </c>
      <c r="K129" s="216"/>
      <c r="L129" s="63"/>
      <c r="M129" s="214" t="s">
        <v>83</v>
      </c>
      <c r="N129" s="215" t="s">
        <v>84</v>
      </c>
      <c r="O129" s="215"/>
      <c r="P129" s="215" t="s">
        <v>86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228" t="n">
        <f aca="false">G152</f>
        <v>22</v>
      </c>
      <c r="H130" s="229" t="n">
        <f aca="false">B151</f>
        <v>0</v>
      </c>
      <c r="I130" s="230"/>
      <c r="J130" s="229" t="n">
        <f aca="false">B58</f>
        <v>21</v>
      </c>
      <c r="K130" s="216"/>
      <c r="L130" s="63"/>
      <c r="M130" s="228" t="n">
        <f aca="false">M155</f>
        <v>22</v>
      </c>
      <c r="N130" s="229" t="n">
        <f aca="false">B151</f>
        <v>0</v>
      </c>
      <c r="O130" s="230"/>
      <c r="P130" s="229" t="n">
        <f aca="false">B58</f>
        <v>21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1634.21607470828</v>
      </c>
      <c r="C131" s="317"/>
      <c r="D131" s="38" t="n">
        <f aca="false">IF(A105="YES", B89*B57, 0)</f>
        <v>49.14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214" t="s">
        <v>344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9293.8594717201</v>
      </c>
      <c r="H133" s="103" t="n">
        <f aca="false">IF(G105="YES", H89*H57, 0)</f>
        <v>532.224</v>
      </c>
      <c r="I133" s="221"/>
      <c r="J133" s="184" t="n">
        <f aca="false">H91*H57</f>
        <v>9826.08347172011</v>
      </c>
      <c r="K133" s="216"/>
      <c r="L133" s="63"/>
      <c r="M133" s="185" t="n">
        <f aca="false">N90*N57</f>
        <v>7721.84509426801</v>
      </c>
      <c r="N133" s="103" t="n">
        <f aca="false">IF(M105="YES", N89*N57, 0)</f>
        <v>443.52</v>
      </c>
      <c r="O133" s="221"/>
      <c r="P133" s="184" t="n">
        <f aca="false">N91*N57</f>
        <v>8165.36509426801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1683.35607470828</v>
      </c>
      <c r="B134" s="38" t="n">
        <f aca="false">E114</f>
        <v>4000</v>
      </c>
      <c r="C134" s="317"/>
      <c r="D134" s="337" t="n">
        <f aca="false">B58</f>
        <v>21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111" t="n">
        <f aca="false">E15*0.000006</f>
        <v>0.35121</v>
      </c>
      <c r="N136" s="103" t="n">
        <f aca="false">IF(M105="YES", E15*0.000002, 0)</f>
        <v>0.11707</v>
      </c>
      <c r="O136" s="103"/>
      <c r="P136" s="103" t="n">
        <f aca="false">M136+N136</f>
        <v>0.46828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1634.21607470828</v>
      </c>
      <c r="B137" s="38" t="n">
        <f aca="false">IF(A105="YES", B89, 0)</f>
        <v>49.14</v>
      </c>
      <c r="C137" s="317"/>
      <c r="D137" s="38" t="n">
        <f aca="false">B91</f>
        <v>1683.35607470828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214" t="s">
        <v>141</v>
      </c>
      <c r="N138" s="215" t="s">
        <v>310</v>
      </c>
      <c r="O138" s="215"/>
      <c r="P138" s="215" t="s">
        <v>311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199.99</v>
      </c>
      <c r="H139" s="103" t="n">
        <f aca="false">H67</f>
        <v>683.364583333333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683.364583333333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214" t="s">
        <v>313</v>
      </c>
      <c r="N141" s="215" t="s">
        <v>314</v>
      </c>
      <c r="O141" s="215"/>
      <c r="P141" s="215" t="s">
        <v>315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16.632</v>
      </c>
      <c r="H142" s="103" t="n">
        <f aca="false">G102-100</f>
        <v>99.99</v>
      </c>
      <c r="I142" s="103"/>
      <c r="J142" s="103" t="n">
        <f aca="false">(H139+J139+G142+H142)-H145</f>
        <v>799.986583333333</v>
      </c>
      <c r="K142" s="105"/>
      <c r="L142" s="63"/>
      <c r="M142" s="111" t="n">
        <f aca="false">IF(M105="YES", ((B36*N105)*0.1)*(M130), 0)</f>
        <v>16.632</v>
      </c>
      <c r="N142" s="103" t="n">
        <f aca="false">M102-100</f>
        <v>99.99</v>
      </c>
      <c r="O142" s="103"/>
      <c r="P142" s="103" t="n">
        <f aca="false">(N139+P139+M142+N142)-N145</f>
        <v>799.986583333333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214" t="s">
        <v>317</v>
      </c>
      <c r="N144" s="215" t="s">
        <v>318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345</v>
      </c>
      <c r="N147" s="166" t="s">
        <v>346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820.0375</v>
      </c>
      <c r="B148" s="103" t="n">
        <f aca="false">B102</f>
        <v>400</v>
      </c>
      <c r="C148" s="38"/>
      <c r="D148" s="38" t="n">
        <f aca="false">IF(A105="YES", (B40*B105)*B125, 0)*0.1</f>
        <v>24.948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1344.9755</v>
      </c>
      <c r="E151" s="105"/>
      <c r="F151" s="63"/>
      <c r="G151" s="250"/>
      <c r="H151" s="252" t="n">
        <f aca="false">B51</f>
        <v>22000</v>
      </c>
      <c r="I151" s="252"/>
      <c r="J151" s="215"/>
      <c r="K151" s="216"/>
      <c r="L151" s="63"/>
      <c r="M151" s="281" t="s">
        <v>323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22</v>
      </c>
      <c r="H152" s="74" t="n">
        <f aca="false">H91</f>
        <v>1637.68057862002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83</v>
      </c>
      <c r="N153" s="251" t="s">
        <v>84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22000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22</v>
      </c>
      <c r="N155" s="74" t="n">
        <f aca="false">N91</f>
        <v>1360.894182378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22000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22</v>
      </c>
      <c r="B161" s="74" t="n">
        <f aca="false">B91</f>
        <v>1683.35607470828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22</v>
      </c>
      <c r="C174" s="357"/>
      <c r="D174" s="324" t="n">
        <f aca="false">D125</f>
        <v>22000</v>
      </c>
      <c r="E174" s="322"/>
      <c r="F174" s="63"/>
      <c r="G174" s="387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1634.21607470828</v>
      </c>
      <c r="B177" s="355" t="n">
        <f aca="false">IF(A105="YES", B89, 0)</f>
        <v>49.14</v>
      </c>
      <c r="C177" s="357"/>
      <c r="D177" s="355" t="n">
        <f aca="false">B91</f>
        <v>1683.35607470828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1634.21607470828</v>
      </c>
      <c r="C180" s="353"/>
      <c r="D180" s="103" t="n">
        <f aca="false">IF(A105="YES", B89*B57, 0)</f>
        <v>49.14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1683.35607470828</v>
      </c>
      <c r="B183" s="103" t="n">
        <f aca="false">E114</f>
        <v>4000</v>
      </c>
      <c r="C183" s="353"/>
      <c r="D183" s="361" t="n">
        <f aca="false">B58</f>
        <v>21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1634.21607470828</v>
      </c>
      <c r="B186" s="103" t="n">
        <f aca="false">IF(A105="YES", B89, 0)</f>
        <v>49.14</v>
      </c>
      <c r="C186" s="353"/>
      <c r="D186" s="103" t="n">
        <f aca="false">B91</f>
        <v>1683.35607470828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820.0375</v>
      </c>
      <c r="B197" s="103" t="n">
        <f aca="false">B102</f>
        <v>400</v>
      </c>
      <c r="C197" s="103"/>
      <c r="D197" s="103" t="n">
        <f aca="false">IF(A105="YES", (B40*B105)*B125, 0)*0.1</f>
        <v>24.948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1344.9755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0.065</v>
      </c>
      <c r="C209" s="321" t="s">
        <v>217</v>
      </c>
      <c r="D209" s="370" t="n">
        <f aca="false">D64</f>
        <v>4896.10625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820.0375</v>
      </c>
      <c r="C211" s="320" t="s">
        <v>219</v>
      </c>
      <c r="D211" s="370" t="n">
        <f aca="false">B225+E221+B221+B223</f>
        <v>589.47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4665.53875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D64</f>
        <v>4896.10625</v>
      </c>
      <c r="C217" s="375" t="s">
        <v>223</v>
      </c>
      <c r="D217" s="317"/>
      <c r="E217" s="376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B67</f>
        <v>820.0375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(B77-(B77*(E219*100)))*0.1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B78-(B78*(E219*100))</f>
        <v>200</v>
      </c>
      <c r="C223" s="336" t="s">
        <v>220</v>
      </c>
      <c r="D223" s="317"/>
      <c r="E223" s="33" t="n">
        <f aca="false">(B217-B211+D211)</f>
        <v>4665.53875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249.48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B71</f>
        <v>200</v>
      </c>
      <c r="C229" s="336" t="s">
        <v>228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B68</f>
        <v>0.0075</v>
      </c>
      <c r="C231" s="336" t="s">
        <v>231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B86</f>
        <v>302.00313060609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B79</f>
        <v>200</v>
      </c>
      <c r="C233" s="382" t="s">
        <v>330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B80</f>
        <v>200</v>
      </c>
      <c r="C235" s="386" t="s">
        <v>331</v>
      </c>
      <c r="D235" s="386"/>
      <c r="E235" s="149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145</v>
      </c>
      <c r="C2" s="497" t="s">
        <v>146</v>
      </c>
      <c r="D2" s="497" t="s">
        <v>147</v>
      </c>
      <c r="E2" s="483" t="s">
        <v>148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151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152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153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154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155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163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164</v>
      </c>
      <c r="B10" s="488"/>
      <c r="C10" s="488"/>
      <c r="D10" s="488"/>
      <c r="E10" s="499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165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166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167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168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169</v>
      </c>
      <c r="B15" s="488"/>
      <c r="C15" s="488"/>
      <c r="D15" s="488"/>
      <c r="E15" s="502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170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171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172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172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172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173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n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6000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12</v>
      </c>
      <c r="B44" s="104" t="n">
        <v>1</v>
      </c>
      <c r="C44" s="104"/>
      <c r="D44" s="104" t="n">
        <v>1</v>
      </c>
      <c r="E44" s="104"/>
      <c r="F44" s="63"/>
      <c r="G44" s="63" t="s">
        <v>257</v>
      </c>
      <c r="H44" s="238" t="n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n">
        <v>0.01</v>
      </c>
      <c r="C47" s="429"/>
      <c r="D47" s="104" t="n">
        <v>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 t="s">
        <v>387</v>
      </c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22" t="s">
        <v>19</v>
      </c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274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82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12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B67*B69</f>
        <v>4051.95</v>
      </c>
      <c r="C70" s="215"/>
      <c r="D70" s="291" t="n">
        <f aca="false">B70-A151</f>
        <v>4051.95</v>
      </c>
      <c r="E70" s="216" t="n">
        <f aca="false">D70/12</f>
        <v>337.6625</v>
      </c>
      <c r="F70" s="63"/>
      <c r="G70" s="285" t="s">
        <v>91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91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B67*B72</f>
        <v>578.85</v>
      </c>
      <c r="C73" s="215"/>
      <c r="D73" s="291"/>
      <c r="E73" s="216"/>
      <c r="F73" s="63"/>
      <c r="G73" s="285" t="s">
        <v>94</v>
      </c>
      <c r="H73" s="133" t="n">
        <f aca="false">H67*H72</f>
        <v>289.425</v>
      </c>
      <c r="I73" s="215"/>
      <c r="J73" s="291"/>
      <c r="K73" s="216"/>
      <c r="L73" s="63"/>
      <c r="M73" s="285" t="s">
        <v>94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4711.95</v>
      </c>
      <c r="C87" s="215"/>
      <c r="D87" s="215"/>
      <c r="E87" s="216"/>
      <c r="F87" s="63"/>
      <c r="G87" s="303" t="s">
        <v>103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103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392.6625</v>
      </c>
      <c r="C88" s="215"/>
      <c r="D88" s="215"/>
      <c r="E88" s="216"/>
      <c r="F88" s="63"/>
      <c r="G88" s="214" t="s">
        <v>104</v>
      </c>
      <c r="H88" s="300" t="n">
        <f aca="false">H87/H29</f>
        <v>600.461111111111</v>
      </c>
      <c r="I88" s="215"/>
      <c r="J88" s="215"/>
      <c r="K88" s="216"/>
      <c r="L88" s="63"/>
      <c r="M88" s="214" t="s">
        <v>104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</f>
        <v>10723.95</v>
      </c>
      <c r="C91" s="215"/>
      <c r="D91" s="215"/>
      <c r="E91" s="216"/>
      <c r="F91" s="63"/>
      <c r="G91" s="288" t="s">
        <v>115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115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90.8442718838241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116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10814.7942718838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((H44*B35)+((H44*B35)*B111))/(B63+B64)</f>
        <v>31.304347826087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IF(B105=Y104, (B93-D111)/(B64), B93/(B63+B64))</f>
        <v>470.208446603645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501.512794429732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 t="s">
        <v>286</v>
      </c>
      <c r="B105" s="312" t="s">
        <v>267</v>
      </c>
      <c r="C105" s="312"/>
      <c r="D105" s="421" t="n">
        <v>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4" t="n">
        <v>0.2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/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19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</v>
      </c>
      <c r="E118" s="107" t="n">
        <v>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0</v>
      </c>
      <c r="E119" s="107" t="n">
        <v>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0</v>
      </c>
      <c r="E120" s="167" t="n">
        <f aca="false">E118-E119</f>
        <v>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(E124+E123)-E120</f>
        <v>199.99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4"/>
      <c r="B129" s="215"/>
      <c r="C129" s="215"/>
      <c r="D129" s="215"/>
      <c r="E129" s="216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4" t="s">
        <v>183</v>
      </c>
      <c r="B130" s="172" t="n">
        <v>1200</v>
      </c>
      <c r="C130" s="172"/>
      <c r="D130" s="215"/>
      <c r="E130" s="216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4"/>
      <c r="B131" s="215"/>
      <c r="C131" s="215"/>
      <c r="D131" s="215"/>
      <c r="E131" s="216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4" t="s">
        <v>83</v>
      </c>
      <c r="B132" s="215" t="s">
        <v>84</v>
      </c>
      <c r="C132" s="215"/>
      <c r="D132" s="215" t="s">
        <v>86</v>
      </c>
      <c r="E132" s="216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8" t="n">
        <f aca="false">A158</f>
        <v>12</v>
      </c>
      <c r="B133" s="229" t="n">
        <f aca="false">B157</f>
        <v>5000</v>
      </c>
      <c r="C133" s="230"/>
      <c r="D133" s="229" t="n">
        <f aca="false">B64</f>
        <v>11</v>
      </c>
      <c r="E133" s="216"/>
      <c r="F133" s="63"/>
      <c r="G133" s="228" t="n">
        <f aca="false">G158</f>
        <v>12</v>
      </c>
      <c r="H133" s="229" t="n">
        <f aca="false">B157</f>
        <v>5000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5000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4"/>
      <c r="B134" s="215"/>
      <c r="C134" s="215"/>
      <c r="D134" s="215"/>
      <c r="E134" s="216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7" t="s">
        <v>343</v>
      </c>
      <c r="B135" s="328" t="s">
        <v>252</v>
      </c>
      <c r="C135" s="328"/>
      <c r="D135" s="328" t="s">
        <v>120</v>
      </c>
      <c r="E135" s="216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3" t="n">
        <f aca="false">B96</f>
        <v>470.208446603645</v>
      </c>
      <c r="B136" s="177" t="n">
        <f aca="false">IF(A111="YES", B95*B63, 0)</f>
        <v>375.652173913043</v>
      </c>
      <c r="C136" s="177"/>
      <c r="D136" s="177" t="n">
        <f aca="false">B97</f>
        <v>501.512794429732</v>
      </c>
      <c r="E136" s="216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4"/>
      <c r="B137" s="215"/>
      <c r="C137" s="215"/>
      <c r="D137" s="215"/>
      <c r="E137" s="216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4" t="s">
        <v>344</v>
      </c>
      <c r="B138" s="215" t="s">
        <v>241</v>
      </c>
      <c r="C138" s="215"/>
      <c r="D138" s="215" t="s">
        <v>245</v>
      </c>
      <c r="E138" s="216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5" t="n">
        <f aca="false">B96*B63</f>
        <v>5642.50135924373</v>
      </c>
      <c r="B139" s="103" t="n">
        <f aca="false">IF(A111="YES", B95*B63, 0)</f>
        <v>375.652173913043</v>
      </c>
      <c r="C139" s="221"/>
      <c r="D139" s="184" t="n">
        <f aca="false">B97*B63</f>
        <v>6018.15353315678</v>
      </c>
      <c r="E139" s="216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4"/>
      <c r="B140" s="215"/>
      <c r="C140" s="215"/>
      <c r="D140" s="215"/>
      <c r="E140" s="216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4" t="s">
        <v>254</v>
      </c>
      <c r="B141" s="215" t="s">
        <v>255</v>
      </c>
      <c r="C141" s="215"/>
      <c r="D141" s="215" t="s">
        <v>259</v>
      </c>
      <c r="E141" s="216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11" t="n">
        <f aca="false">E15*0.000006</f>
        <v>0.35115</v>
      </c>
      <c r="B142" s="103" t="n">
        <f aca="false">IF(A111="YES", E15*0.000002, 0)</f>
        <v>0.11705</v>
      </c>
      <c r="C142" s="103"/>
      <c r="D142" s="103" t="n">
        <f aca="false">A142+B142</f>
        <v>0.4682</v>
      </c>
      <c r="E142" s="105"/>
      <c r="F142" s="63"/>
      <c r="G142" s="111" t="n">
        <f aca="false">E15*0.000006</f>
        <v>0.35115</v>
      </c>
      <c r="H142" s="103" t="n">
        <f aca="false">IF(G111="YES", E15*0.000002, 0)</f>
        <v>0.11705</v>
      </c>
      <c r="I142" s="103"/>
      <c r="J142" s="103" t="n">
        <f aca="false">G142+H142</f>
        <v>0.4682</v>
      </c>
      <c r="K142" s="105"/>
      <c r="L142" s="63"/>
      <c r="M142" s="111" t="n">
        <f aca="false">E15*0.000006</f>
        <v>0.35115</v>
      </c>
      <c r="N142" s="103" t="n">
        <f aca="false">IF(M111="YES", E15*0.000002, 0)</f>
        <v>0.11705</v>
      </c>
      <c r="O142" s="103"/>
      <c r="P142" s="103" t="n">
        <f aca="false">M142+N142</f>
        <v>0.4682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4"/>
      <c r="B143" s="215"/>
      <c r="C143" s="215"/>
      <c r="D143" s="215"/>
      <c r="E143" s="216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4" t="s">
        <v>141</v>
      </c>
      <c r="B144" s="215" t="s">
        <v>310</v>
      </c>
      <c r="C144" s="215"/>
      <c r="D144" s="215" t="s">
        <v>311</v>
      </c>
      <c r="E144" s="216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11" t="n">
        <f aca="false">A108</f>
        <v>199.99</v>
      </c>
      <c r="B145" s="103" t="n">
        <f aca="false">B73/1.2</f>
        <v>482.375</v>
      </c>
      <c r="C145" s="103"/>
      <c r="D145" s="103" t="n">
        <f aca="false">B108*0.9</f>
        <v>0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4"/>
      <c r="B146" s="215"/>
      <c r="C146" s="215"/>
      <c r="D146" s="215"/>
      <c r="E146" s="216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4" t="s">
        <v>313</v>
      </c>
      <c r="B147" s="215" t="s">
        <v>314</v>
      </c>
      <c r="C147" s="215"/>
      <c r="D147" s="215" t="s">
        <v>315</v>
      </c>
      <c r="E147" s="216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IF(A111="YES", ((A41*B111)*0.1)*(A133), 0)</f>
        <v>12</v>
      </c>
      <c r="B148" s="103" t="n">
        <f aca="false">A108-100</f>
        <v>99.99</v>
      </c>
      <c r="C148" s="103"/>
      <c r="D148" s="103" t="n">
        <f aca="false">(B145+D145+A148+B148)-B151</f>
        <v>594.365</v>
      </c>
      <c r="E148" s="105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1473.1755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1433.1775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4"/>
      <c r="B149" s="215"/>
      <c r="C149" s="215"/>
      <c r="D149" s="215"/>
      <c r="E149" s="216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4" t="s">
        <v>317</v>
      </c>
      <c r="B150" s="215" t="s">
        <v>318</v>
      </c>
      <c r="C150" s="215"/>
      <c r="D150" s="215"/>
      <c r="E150" s="216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v>0</v>
      </c>
      <c r="B151" s="103" t="n">
        <f aca="false">(B145+D145+A148+B148)*(A151/B70)</f>
        <v>0</v>
      </c>
      <c r="C151" s="215"/>
      <c r="D151" s="215"/>
      <c r="E151" s="216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4"/>
      <c r="B152" s="215"/>
      <c r="C152" s="215"/>
      <c r="D152" s="215"/>
      <c r="E152" s="216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4"/>
      <c r="B153" s="215"/>
      <c r="C153" s="215"/>
      <c r="D153" s="215"/>
      <c r="E153" s="216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1" t="s">
        <v>323</v>
      </c>
      <c r="B154" s="215"/>
      <c r="C154" s="215"/>
      <c r="D154" s="282"/>
      <c r="E154" s="283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4"/>
      <c r="B155" s="249"/>
      <c r="C155" s="249"/>
      <c r="D155" s="215"/>
      <c r="E155" s="216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50" t="s">
        <v>83</v>
      </c>
      <c r="B156" s="251" t="s">
        <v>84</v>
      </c>
      <c r="C156" s="251"/>
      <c r="D156" s="215"/>
      <c r="E156" s="216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50"/>
      <c r="B157" s="252" t="n">
        <f aca="false">B57</f>
        <v>5000</v>
      </c>
      <c r="C157" s="252"/>
      <c r="D157" s="215"/>
      <c r="E157" s="216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4" t="n">
        <f aca="false">A58</f>
        <v>12</v>
      </c>
      <c r="B158" s="74" t="n">
        <f aca="false">B97</f>
        <v>501.512794429732</v>
      </c>
      <c r="C158" s="74"/>
      <c r="D158" s="215"/>
      <c r="E158" s="216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4"/>
      <c r="B159" s="215"/>
      <c r="C159" s="215"/>
      <c r="D159" s="215"/>
      <c r="E159" s="216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4"/>
      <c r="B160" s="215"/>
      <c r="C160" s="215"/>
      <c r="D160" s="215"/>
      <c r="E160" s="216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4"/>
      <c r="B161" s="215"/>
      <c r="C161" s="215"/>
      <c r="D161" s="215"/>
      <c r="E161" s="216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4"/>
      <c r="B162" s="215"/>
      <c r="C162" s="215"/>
      <c r="D162" s="215"/>
      <c r="E162" s="216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5"/>
      <c r="B163" s="286"/>
      <c r="C163" s="286"/>
      <c r="D163" s="286"/>
      <c r="E163" s="287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145</v>
      </c>
      <c r="C2" s="497" t="s">
        <v>146</v>
      </c>
      <c r="D2" s="497" t="s">
        <v>147</v>
      </c>
      <c r="E2" s="483" t="s">
        <v>148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151</v>
      </c>
      <c r="B3" s="498" t="n">
        <v>17895.0</v>
      </c>
      <c r="C3" s="498" t="n">
        <v>0.0</v>
      </c>
      <c r="D3" s="498" t="n">
        <v>0.0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152</v>
      </c>
      <c r="B4" s="500" t="n">
        <v>0.0</v>
      </c>
      <c r="C4" s="511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153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154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155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163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164</v>
      </c>
      <c r="B10" s="488"/>
      <c r="C10" s="488"/>
      <c r="D10" s="488"/>
      <c r="E10" s="499" t="n">
        <v>695.0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165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166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167</v>
      </c>
      <c r="B13" s="488"/>
      <c r="C13" s="488"/>
      <c r="D13" s="488"/>
      <c r="E13" s="499" t="n">
        <v>290.0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168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169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170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171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172</v>
      </c>
      <c r="C18" s="490"/>
      <c r="D18" s="490"/>
      <c r="E18" s="503" t="n">
        <v>0</v>
      </c>
      <c r="F18" s="63"/>
      <c r="G18" s="274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172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172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173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141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n">
        <f aca="false">IF(B38="YES", D38+A41, D38)</f>
        <v>500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0.0</v>
      </c>
      <c r="C44" s="104"/>
      <c r="D44" s="279" t="n">
        <f aca="false">A44+B44</f>
        <v>1</v>
      </c>
      <c r="E44" s="279"/>
      <c r="F44" s="63"/>
      <c r="G44" s="63" t="s">
        <v>257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85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275</v>
      </c>
      <c r="D58" s="215"/>
      <c r="E58" s="216"/>
      <c r="F58" s="63"/>
      <c r="G58" s="214" t="s">
        <v>86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B61*B63</f>
        <v>4051.95</v>
      </c>
      <c r="C64" s="215" t="n">
        <v>10000.0</v>
      </c>
      <c r="D64" s="291" t="n">
        <f aca="false">B64</f>
        <v>4051.95</v>
      </c>
      <c r="E64" s="216"/>
      <c r="F64" s="63"/>
      <c r="G64" s="285" t="s">
        <v>91</v>
      </c>
      <c r="H64" s="133" t="n">
        <f aca="false">H61*H63</f>
        <v>4051.95</v>
      </c>
      <c r="I64" s="215"/>
      <c r="J64" s="291" t="n">
        <f aca="false">H64</f>
        <v>4051.95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0.005</v>
      </c>
      <c r="C65" s="215"/>
      <c r="D65" s="215"/>
      <c r="E65" s="216"/>
      <c r="F65" s="63"/>
      <c r="G65" s="292" t="s">
        <v>92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93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B61*B66</f>
        <v>578.85</v>
      </c>
      <c r="C67" s="215"/>
      <c r="D67" s="291"/>
      <c r="E67" s="216"/>
      <c r="F67" s="63"/>
      <c r="G67" s="285" t="s">
        <v>94</v>
      </c>
      <c r="H67" s="133" t="n">
        <f aca="false">H61*H66</f>
        <v>289.425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215"/>
      <c r="D68" s="215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297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160.0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4.5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100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 t="n">
        <f aca="false">IF(G18&gt;40000, 325, 0)</f>
        <v>325</v>
      </c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300.0</v>
      </c>
      <c r="C79" s="215"/>
      <c r="D79" s="291" t="n">
        <f aca="false">B79</f>
        <v>200</v>
      </c>
      <c r="E79" s="216"/>
      <c r="F79" s="63"/>
      <c r="G79" s="295" t="s">
        <v>101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100.0</v>
      </c>
      <c r="C80" s="215"/>
      <c r="D80" s="291" t="n">
        <f aca="false">B80</f>
        <v>200</v>
      </c>
      <c r="E80" s="216"/>
      <c r="F80" s="63"/>
      <c r="G80" s="301" t="s">
        <v>102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5378.61666666667</v>
      </c>
      <c r="C81" s="215"/>
      <c r="D81" s="215"/>
      <c r="E81" s="216"/>
      <c r="F81" s="63"/>
      <c r="G81" s="303" t="s">
        <v>103</v>
      </c>
      <c r="H81" s="304" t="n">
        <f aca="false">SUM(J64:J80)</f>
        <v>5705.53333333333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448.218055555556</v>
      </c>
      <c r="C82" s="215"/>
      <c r="D82" s="215"/>
      <c r="E82" s="216"/>
      <c r="F82" s="63"/>
      <c r="G82" s="214" t="s">
        <v>104</v>
      </c>
      <c r="H82" s="300" t="n">
        <f aca="false">H81/H29</f>
        <v>475.461111111111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H46</f>
        <v>501</v>
      </c>
      <c r="C83" s="215"/>
      <c r="D83" s="215"/>
      <c r="E83" s="216"/>
      <c r="F83" s="63"/>
      <c r="G83" s="305" t="s">
        <v>105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((B83*(H29)+B81))*1.2</f>
        <v>13668.74</v>
      </c>
      <c r="C85" s="215"/>
      <c r="D85" s="215"/>
      <c r="E85" s="216"/>
      <c r="F85" s="63"/>
      <c r="G85" s="288" t="s">
        <v>115</v>
      </c>
      <c r="H85" s="131" t="n">
        <f aca="false">((H83*(H27+H28))+H81)*1.2</f>
        <v>14061.04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(((B83*(H29))+B81)/(1-B70))*B70</f>
        <v>96.4917103670835</v>
      </c>
      <c r="C86" s="215"/>
      <c r="D86" s="215"/>
      <c r="E86" s="216"/>
      <c r="F86" s="63"/>
      <c r="G86" s="214" t="s">
        <v>116</v>
      </c>
      <c r="H86" s="300" t="n">
        <f aca="false">(((H83*(H27+H28))+H81)/(1-H70))*H70</f>
        <v>99.2610730133118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IF(B110="YES",((B85+B86)-E114),((B85+B86)))</f>
        <v>13765.2317103671</v>
      </c>
      <c r="C87" s="215"/>
      <c r="D87" s="215"/>
      <c r="E87" s="216"/>
      <c r="F87" s="63"/>
      <c r="G87" s="285" t="s">
        <v>117</v>
      </c>
      <c r="H87" s="133" t="n">
        <f aca="false">IF(H110="YES",((H85+H86)-A151-K114),((H85+H86)-A151))</f>
        <v>14060.3110730133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118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IF(B99=Z102, (B87-D105)/(B58), B87/(B57+B58))</f>
        <v>1147.10264253059</v>
      </c>
      <c r="C90" s="215"/>
      <c r="D90" s="215"/>
      <c r="E90" s="216"/>
      <c r="F90" s="63"/>
      <c r="G90" s="308" t="s">
        <v>119</v>
      </c>
      <c r="H90" s="309" t="n">
        <f aca="false">IF(H99=AE98, (H87-J105)/(H58), H87/(H57+H58))</f>
        <v>1171.69258941778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1147.10264253059</v>
      </c>
      <c r="C91" s="215"/>
      <c r="D91" s="215"/>
      <c r="E91" s="216"/>
      <c r="F91" s="63"/>
      <c r="G91" s="310" t="s">
        <v>120</v>
      </c>
      <c r="H91" s="311" t="n">
        <f aca="false">IF(G105="YES", H90+H89, H90)</f>
        <v>1171.69258941778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130</v>
      </c>
      <c r="C99" s="312"/>
      <c r="D99" s="107" t="n">
        <v>1000</v>
      </c>
      <c r="E99" s="107"/>
      <c r="F99" s="63"/>
      <c r="G99" s="220" t="s">
        <v>286</v>
      </c>
      <c r="H99" s="312" t="s">
        <v>130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289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130</v>
      </c>
      <c r="AA101" s="63"/>
    </row>
    <row r="102" customFormat="false" ht="18.75" hidden="false" customHeight="true" outlineLevel="0" collapsed="false">
      <c r="A102" s="313" t="n">
        <f aca="false">199.99*1.2</f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388</v>
      </c>
      <c r="B105" s="312" t="n">
        <v>0.0</v>
      </c>
      <c r="C105" s="312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290</v>
      </c>
      <c r="B108" s="217"/>
      <c r="C108" s="217"/>
      <c r="D108" s="217"/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291</v>
      </c>
      <c r="B110" s="222" t="s">
        <v>388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0.0</v>
      </c>
      <c r="E112" s="107" t="n">
        <v>6000.0</v>
      </c>
      <c r="F112" s="63"/>
      <c r="G112" s="214" t="s">
        <v>176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177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178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4000</v>
      </c>
      <c r="E115" s="216"/>
      <c r="F115" s="63"/>
      <c r="G115" s="214" t="s">
        <v>179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f aca="false">D99</f>
        <v>1000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((E118)+E117)-E114</f>
        <v>-2760.012</v>
      </c>
      <c r="F119" s="63"/>
      <c r="G119" s="315" t="s">
        <v>292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0.0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83</v>
      </c>
      <c r="H126" s="215" t="s">
        <v>84</v>
      </c>
      <c r="I126" s="215"/>
      <c r="J126" s="215" t="s">
        <v>86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1147.10264253059</v>
      </c>
      <c r="B128" s="321" t="n">
        <f aca="false">IF(A105="YES", B89, 0)</f>
        <v>0</v>
      </c>
      <c r="C128" s="326"/>
      <c r="D128" s="321" t="n">
        <f aca="false">B91</f>
        <v>1147.10264253059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296</v>
      </c>
      <c r="H129" s="328" t="s">
        <v>297</v>
      </c>
      <c r="I129" s="328"/>
      <c r="J129" s="328" t="s">
        <v>298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333" t="n">
        <f aca="false">H90</f>
        <v>1171.69258941778</v>
      </c>
      <c r="H130" s="177" t="n">
        <f aca="false">IF(G105="YES", H89*H57, 0)</f>
        <v>0</v>
      </c>
      <c r="I130" s="177"/>
      <c r="J130" s="334" t="n">
        <f aca="false">H91</f>
        <v>1171.69258941778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1147.10264253059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1171.69258941778</v>
      </c>
      <c r="H133" s="103" t="n">
        <f aca="false">IF(G105="YES", H89*H57, 0)</f>
        <v>0</v>
      </c>
      <c r="I133" s="221"/>
      <c r="J133" s="184" t="n">
        <f aca="false">H91*H57</f>
        <v>1171.69258941778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1147.10264253059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1147.10264253059</v>
      </c>
      <c r="B137" s="38" t="n">
        <f aca="false">IF(A105="YES", B89, 0)</f>
        <v>0</v>
      </c>
      <c r="C137" s="317"/>
      <c r="D137" s="38" t="n">
        <f aca="false">B91</f>
        <v>1147.10264253059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239.988</v>
      </c>
      <c r="H139" s="103" t="n">
        <f aca="false">H67</f>
        <v>289.425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G18*0.000002 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1509.413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578.85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1078.84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1171.69258941778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1147.10264253059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293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127</v>
      </c>
      <c r="B167" s="354" t="s">
        <v>39</v>
      </c>
      <c r="C167" s="355"/>
      <c r="D167" s="354" t="s">
        <v>84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119</v>
      </c>
      <c r="B170" s="354" t="s">
        <v>294</v>
      </c>
      <c r="C170" s="355"/>
      <c r="D170" s="354" t="s">
        <v>295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1147.10264253059</v>
      </c>
      <c r="B171" s="355" t="n">
        <f aca="false">IF(A105="YES", B89, 0)</f>
        <v>0</v>
      </c>
      <c r="C171" s="358"/>
      <c r="D171" s="355" t="n">
        <f aca="false">B91</f>
        <v>1147.10264253059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299</v>
      </c>
      <c r="C173" s="230"/>
      <c r="D173" s="359" t="s">
        <v>300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1147.10264253059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304</v>
      </c>
      <c r="B176" s="166" t="s">
        <v>305</v>
      </c>
      <c r="C176" s="360"/>
      <c r="D176" s="241" t="s">
        <v>208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1147.10264253059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119</v>
      </c>
      <c r="B179" s="363" t="s">
        <v>294</v>
      </c>
      <c r="C179" s="353"/>
      <c r="D179" s="353" t="s">
        <v>295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1147.10264253059</v>
      </c>
      <c r="B180" s="103" t="n">
        <f aca="false">IF(A105="YES", B89, 0)</f>
        <v>0</v>
      </c>
      <c r="C180" s="353"/>
      <c r="D180" s="103" t="n">
        <f aca="false">B91</f>
        <v>1147.10264253059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312</v>
      </c>
      <c r="C182" s="103"/>
      <c r="D182" s="364" t="s">
        <v>73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41.6772</v>
      </c>
      <c r="B183" s="365" t="n">
        <f aca="false">G18*0.000002 *1.2*100</f>
        <v>13.8924</v>
      </c>
      <c r="C183" s="353"/>
      <c r="D183" s="365" t="n">
        <f aca="false">A183+B183</f>
        <v>55.5696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316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319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320</v>
      </c>
      <c r="B190" s="353" t="s">
        <v>321</v>
      </c>
      <c r="C190" s="353"/>
      <c r="D190" s="353" t="s">
        <v>322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578.85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324</v>
      </c>
      <c r="B193" s="353" t="s">
        <v>318</v>
      </c>
      <c r="C193" s="353"/>
      <c r="D193" s="353" t="s">
        <v>315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1078.84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325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214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215</v>
      </c>
      <c r="B203" s="369" t="n">
        <f aca="false">B209</f>
        <v>0.065</v>
      </c>
      <c r="C203" s="321" t="s">
        <v>217</v>
      </c>
      <c r="D203" s="370" t="n">
        <f aca="false">D64</f>
        <v>4051.95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218</v>
      </c>
      <c r="B205" s="321" t="n">
        <f aca="false">B213</f>
        <v>578.85</v>
      </c>
      <c r="C205" s="320" t="s">
        <v>219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220</v>
      </c>
      <c r="B207" s="321" t="n">
        <f aca="false">E217</f>
        <v>3813.09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215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217</v>
      </c>
      <c r="B211" s="104" t="n">
        <f aca="false">D64</f>
        <v>4051.95</v>
      </c>
      <c r="C211" s="375" t="s">
        <v>223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223</v>
      </c>
      <c r="B213" s="104" t="n">
        <f aca="false">B67</f>
        <v>578.85</v>
      </c>
      <c r="C213" s="336" t="s">
        <v>326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326</v>
      </c>
      <c r="B215" s="241" t="n">
        <f aca="false">B191*E213*100</f>
        <v>40</v>
      </c>
      <c r="C215" s="336" t="s">
        <v>225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327</v>
      </c>
      <c r="B217" s="241" t="n">
        <f aca="false">B78-(B78*(E213*100))</f>
        <v>200</v>
      </c>
      <c r="C217" s="336" t="s">
        <v>220</v>
      </c>
      <c r="D217" s="317"/>
      <c r="E217" s="33" t="n">
        <f aca="false">(B211-B205+D205)</f>
        <v>3813.09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328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329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227</v>
      </c>
      <c r="B223" s="104" t="n">
        <f aca="false">B71</f>
        <v>200</v>
      </c>
      <c r="C223" s="336" t="s">
        <v>228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229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230</v>
      </c>
      <c r="B225" s="381" t="n">
        <f aca="false">B68</f>
        <v>0.0075</v>
      </c>
      <c r="C225" s="336" t="s">
        <v>231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232</v>
      </c>
      <c r="D226" s="343"/>
      <c r="E226" s="33" t="n">
        <f aca="false">B86</f>
        <v>96.4917103670835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233</v>
      </c>
      <c r="B227" s="104" t="n">
        <f aca="false">B79</f>
        <v>200</v>
      </c>
      <c r="C227" s="382" t="s">
        <v>330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234</v>
      </c>
      <c r="B229" s="104" t="n">
        <f aca="false">B80</f>
        <v>200</v>
      </c>
      <c r="C229" s="386" t="s">
        <v>331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8" colorId="64" zoomScale="85" zoomScaleNormal="85" zoomScalePageLayoutView="100" workbookViewId="0">
      <selection pane="topLeft" activeCell="B204" activeCellId="0" sqref="B20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145</v>
      </c>
      <c r="C2" s="497" t="s">
        <v>146</v>
      </c>
      <c r="D2" s="497" t="s">
        <v>147</v>
      </c>
      <c r="E2" s="483" t="s">
        <v>148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151</v>
      </c>
      <c r="B3" s="498" t="n">
        <v>17895.0</v>
      </c>
      <c r="C3" s="498" t="n">
        <v>0.0</v>
      </c>
      <c r="D3" s="498" t="n">
        <v>0.0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152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153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154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155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163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164</v>
      </c>
      <c r="B10" s="488"/>
      <c r="C10" s="488"/>
      <c r="D10" s="488"/>
      <c r="E10" s="499" t="n">
        <v>695.0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165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166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167</v>
      </c>
      <c r="B13" s="488"/>
      <c r="C13" s="488"/>
      <c r="D13" s="488"/>
      <c r="E13" s="499" t="n">
        <v>290.0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168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169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170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171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172</v>
      </c>
      <c r="C18" s="490"/>
      <c r="D18" s="490"/>
      <c r="E18" s="503" t="n">
        <v>0</v>
      </c>
      <c r="F18" s="63"/>
      <c r="G18" s="274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172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172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173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390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141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50.0</v>
      </c>
      <c r="B41" s="241" t="n">
        <f aca="false">IF(B38="YES", D38+A41, D38)</f>
        <v>550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1.0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85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275</v>
      </c>
      <c r="D58" s="215"/>
      <c r="E58" s="216"/>
      <c r="F58" s="63"/>
      <c r="G58" s="214" t="s">
        <v>86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B61*B63</f>
        <v>4051.95</v>
      </c>
      <c r="C64" s="215" t="n">
        <v>10000.0</v>
      </c>
      <c r="D64" s="291" t="n">
        <f aca="false">B64</f>
        <v>4051.95</v>
      </c>
      <c r="E64" s="216"/>
      <c r="F64" s="63"/>
      <c r="G64" s="285" t="s">
        <v>91</v>
      </c>
      <c r="H64" s="133" t="n">
        <f aca="false">H61*H63</f>
        <v>4051.95</v>
      </c>
      <c r="I64" s="215"/>
      <c r="J64" s="291" t="n">
        <f aca="false">H64</f>
        <v>4051.95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0.005</v>
      </c>
      <c r="C65" s="215"/>
      <c r="D65" s="215"/>
      <c r="E65" s="216"/>
      <c r="F65" s="63"/>
      <c r="G65" s="292" t="s">
        <v>92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93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B61*B66</f>
        <v>578.85</v>
      </c>
      <c r="C67" s="215"/>
      <c r="D67" s="291"/>
      <c r="E67" s="216"/>
      <c r="F67" s="63"/>
      <c r="G67" s="285" t="s">
        <v>94</v>
      </c>
      <c r="H67" s="133" t="n">
        <f aca="false">H61*H66</f>
        <v>289.425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215"/>
      <c r="D68" s="215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297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160.0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4.5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100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300.0</v>
      </c>
      <c r="C79" s="215"/>
      <c r="D79" s="291" t="n">
        <f aca="false">B79</f>
        <v>200</v>
      </c>
      <c r="E79" s="216"/>
      <c r="F79" s="63"/>
      <c r="G79" s="295" t="s">
        <v>101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100.0</v>
      </c>
      <c r="C80" s="215"/>
      <c r="D80" s="291" t="n">
        <f aca="false">B80</f>
        <v>200</v>
      </c>
      <c r="E80" s="216"/>
      <c r="F80" s="63"/>
      <c r="G80" s="301" t="s">
        <v>102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5378.61666666667</v>
      </c>
      <c r="C81" s="215"/>
      <c r="D81" s="215"/>
      <c r="E81" s="216"/>
      <c r="F81" s="63"/>
      <c r="G81" s="303" t="s">
        <v>103</v>
      </c>
      <c r="H81" s="304" t="n">
        <f aca="false">SUM(J64:J80)</f>
        <v>5705.53333333333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448.218055555556</v>
      </c>
      <c r="C82" s="215"/>
      <c r="D82" s="215"/>
      <c r="E82" s="216"/>
      <c r="F82" s="63"/>
      <c r="G82" s="214" t="s">
        <v>104</v>
      </c>
      <c r="H82" s="300" t="n">
        <f aca="false">H81/H29</f>
        <v>475.461111111111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H46</f>
        <v>501</v>
      </c>
      <c r="C83" s="215"/>
      <c r="D83" s="215"/>
      <c r="E83" s="216"/>
      <c r="F83" s="63"/>
      <c r="G83" s="305" t="s">
        <v>105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((B83*(H29)+B81))</f>
        <v>11390.6166666667</v>
      </c>
      <c r="C85" s="215"/>
      <c r="D85" s="215"/>
      <c r="E85" s="216"/>
      <c r="F85" s="63"/>
      <c r="G85" s="288" t="s">
        <v>115</v>
      </c>
      <c r="H85" s="131" t="n">
        <f aca="false">((H83*(H27+H28))+H81)*1.2</f>
        <v>14061.04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(B85/(1-B70))*B70</f>
        <v>96.4917103670835</v>
      </c>
      <c r="C86" s="215"/>
      <c r="D86" s="215"/>
      <c r="E86" s="216"/>
      <c r="F86" s="63"/>
      <c r="G86" s="214" t="s">
        <v>116</v>
      </c>
      <c r="H86" s="300" t="n">
        <f aca="false">(((H83*(H27+H28))+H81)/(1-H70))*H70</f>
        <v>99.2610730133118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IF(B110="YES",((B85+B86)-E114),((B85+B86)))</f>
        <v>11487.1083770338</v>
      </c>
      <c r="C87" s="215"/>
      <c r="D87" s="215"/>
      <c r="E87" s="216"/>
      <c r="F87" s="63"/>
      <c r="G87" s="285" t="s">
        <v>117</v>
      </c>
      <c r="H87" s="133" t="n">
        <f aca="false">IF(H110="YES",((H85+H86)-A151-K114),((H85+H86)-A151))</f>
        <v>14060.3110730133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7" t="n">
        <f aca="false">IF(B99=Z102,(((H44*B35)+(H44*B35)*(B105/100))/(B58)),(((H44*B35)+(H44*B35)*(B105/100))/(B57+B58)))</f>
        <v>65</v>
      </c>
      <c r="C89" s="215" t="s">
        <v>4</v>
      </c>
      <c r="D89" s="215"/>
      <c r="E89" s="216"/>
      <c r="F89" s="63"/>
      <c r="G89" s="303" t="s">
        <v>118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IF(B99=Z102, (B87-D105)/(B58), B87/(B57+B58))</f>
        <v>957.259031419479</v>
      </c>
      <c r="C90" s="215"/>
      <c r="D90" s="215"/>
      <c r="E90" s="216"/>
      <c r="F90" s="63"/>
      <c r="G90" s="308" t="s">
        <v>119</v>
      </c>
      <c r="H90" s="309" t="n">
        <f aca="false">IF(H99=AE98, (H87-J105)/(H58), H87/(H57+H58))</f>
        <v>1171.69258941778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1022.25903141948</v>
      </c>
      <c r="C91" s="215"/>
      <c r="D91" s="215"/>
      <c r="E91" s="216"/>
      <c r="F91" s="63"/>
      <c r="G91" s="310" t="s">
        <v>120</v>
      </c>
      <c r="H91" s="311" t="n">
        <f aca="false">IF(G105="YES", H90+H89, H90)</f>
        <v>1243.69258941778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351</v>
      </c>
      <c r="C99" s="312"/>
      <c r="D99" s="107" t="n">
        <v>1000</v>
      </c>
      <c r="E99" s="107"/>
      <c r="F99" s="63"/>
      <c r="G99" s="220" t="s">
        <v>286</v>
      </c>
      <c r="H99" s="312" t="s">
        <v>130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289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130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390</v>
      </c>
      <c r="B105" s="312" t="n">
        <v>30.0</v>
      </c>
      <c r="C105" s="312"/>
      <c r="D105" s="107" t="s">
        <v>403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290</v>
      </c>
      <c r="B108" s="217"/>
      <c r="C108" s="217"/>
      <c r="D108" s="217"/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291</v>
      </c>
      <c r="B110" s="222" t="s">
        <v>388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0.0</v>
      </c>
      <c r="E112" s="107" t="n">
        <v>6000.0</v>
      </c>
      <c r="F112" s="63"/>
      <c r="G112" s="214" t="s">
        <v>176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177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178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4000</v>
      </c>
      <c r="E115" s="216"/>
      <c r="F115" s="63"/>
      <c r="G115" s="214" t="s">
        <v>179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f aca="false">D99</f>
        <v>1000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292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0.0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83</v>
      </c>
      <c r="H126" s="215" t="s">
        <v>84</v>
      </c>
      <c r="I126" s="215"/>
      <c r="J126" s="215" t="s">
        <v>86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957.259031419479</v>
      </c>
      <c r="B128" s="321" t="n">
        <f aca="false">IF(A105="YES", B89, 0)</f>
        <v>65</v>
      </c>
      <c r="C128" s="326"/>
      <c r="D128" s="321" t="n">
        <f aca="false">B91</f>
        <v>1022.25903141948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296</v>
      </c>
      <c r="H129" s="328" t="s">
        <v>297</v>
      </c>
      <c r="I129" s="328"/>
      <c r="J129" s="328" t="s">
        <v>298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333" t="n">
        <f aca="false">H90</f>
        <v>1171.69258941778</v>
      </c>
      <c r="H130" s="177" t="n">
        <f aca="false">IF(G105="YES", H89*H57, 0)</f>
        <v>72</v>
      </c>
      <c r="I130" s="177"/>
      <c r="J130" s="334" t="n">
        <f aca="false">H91</f>
        <v>1243.69258941778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957.259031419479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1171.69258941778</v>
      </c>
      <c r="H133" s="103" t="n">
        <f aca="false">IF(G105="YES", H89*H57, 0)</f>
        <v>72</v>
      </c>
      <c r="I133" s="221"/>
      <c r="J133" s="184" t="n">
        <f aca="false">H91*H57</f>
        <v>1243.69258941778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1022.25903141948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957.259031419479</v>
      </c>
      <c r="B137" s="38" t="n">
        <f aca="false">IF(A105="YES", B89, 0)</f>
        <v>65</v>
      </c>
      <c r="C137" s="317"/>
      <c r="D137" s="38" t="n">
        <f aca="false">B91</f>
        <v>1022.25903141948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239.988</v>
      </c>
      <c r="H139" s="103" t="n">
        <f aca="false">H67</f>
        <v>289.425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G18*0.000002 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1516.613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578.85</v>
      </c>
      <c r="B148" s="38" t="n">
        <f aca="false">B102</f>
        <v>400</v>
      </c>
      <c r="C148" s="38"/>
      <c r="D148" s="38" t="n">
        <f aca="false">IF(A105="YES", (A38/100*B105)*B125, 0)*0.001</f>
        <v>18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1096.84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1243.69258941778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1022.25903141948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293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127</v>
      </c>
      <c r="B167" s="354" t="s">
        <v>39</v>
      </c>
      <c r="C167" s="355"/>
      <c r="D167" s="354" t="s">
        <v>84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119</v>
      </c>
      <c r="B170" s="354" t="s">
        <v>294</v>
      </c>
      <c r="C170" s="355"/>
      <c r="D170" s="354" t="s">
        <v>295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957.259031419479</v>
      </c>
      <c r="B171" s="355" t="n">
        <f aca="false">IF(A105="YES", B89, 0)</f>
        <v>65</v>
      </c>
      <c r="C171" s="358"/>
      <c r="D171" s="355" t="n">
        <f aca="false">B91</f>
        <v>1022.25903141948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299</v>
      </c>
      <c r="C173" s="230"/>
      <c r="D173" s="359" t="s">
        <v>300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957.259031419479</v>
      </c>
      <c r="C174" s="353"/>
      <c r="D174" s="103" t="n">
        <f aca="false">IF(A105="YES", B89*B57, 0)</f>
        <v>65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304</v>
      </c>
      <c r="B176" s="166" t="s">
        <v>305</v>
      </c>
      <c r="C176" s="360"/>
      <c r="D176" s="241" t="s">
        <v>208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1022.25903141948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119</v>
      </c>
      <c r="B179" s="363" t="s">
        <v>294</v>
      </c>
      <c r="C179" s="353"/>
      <c r="D179" s="353" t="s">
        <v>295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957.259031419479</v>
      </c>
      <c r="B180" s="103" t="n">
        <f aca="false">IF(A105="YES", B89, 0)</f>
        <v>65</v>
      </c>
      <c r="C180" s="353"/>
      <c r="D180" s="103" t="n">
        <f aca="false">B91</f>
        <v>1022.25903141948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312</v>
      </c>
      <c r="C182" s="103"/>
      <c r="D182" s="364" t="s">
        <v>73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41.6772</v>
      </c>
      <c r="B183" s="365" t="n">
        <f aca="false">G18*0.000002 *1.2*100</f>
        <v>13.8924</v>
      </c>
      <c r="C183" s="353"/>
      <c r="D183" s="365" t="n">
        <f aca="false">A183+B183</f>
        <v>55.5696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316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319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320</v>
      </c>
      <c r="B190" s="353" t="s">
        <v>321</v>
      </c>
      <c r="C190" s="353"/>
      <c r="D190" s="353" t="s">
        <v>322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578.85</v>
      </c>
      <c r="B191" s="103" t="n">
        <f aca="false">B102</f>
        <v>400</v>
      </c>
      <c r="C191" s="103"/>
      <c r="D191" s="103" t="n">
        <f aca="false">IF(A105="YES", (A38/100*B105)*B125, 0)*0.001</f>
        <v>18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324</v>
      </c>
      <c r="B193" s="353" t="s">
        <v>318</v>
      </c>
      <c r="C193" s="353"/>
      <c r="D193" s="353" t="s">
        <v>315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1096.84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325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214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215</v>
      </c>
      <c r="B203" s="369" t="n">
        <f aca="false">B209</f>
        <v>0.065</v>
      </c>
      <c r="C203" s="321" t="s">
        <v>217</v>
      </c>
      <c r="D203" s="370" t="n">
        <f aca="false">D64</f>
        <v>4051.95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218</v>
      </c>
      <c r="B205" s="321" t="n">
        <f aca="false">B213</f>
        <v>578.85</v>
      </c>
      <c r="C205" s="320" t="s">
        <v>219</v>
      </c>
      <c r="D205" s="370" t="n">
        <f aca="false">B219+E215+B215+B217</f>
        <v>519.99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220</v>
      </c>
      <c r="B207" s="321" t="n">
        <f aca="false">E217</f>
        <v>3993.09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215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217</v>
      </c>
      <c r="B211" s="104" t="n">
        <f aca="false">D64</f>
        <v>4051.95</v>
      </c>
      <c r="C211" s="375" t="s">
        <v>223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223</v>
      </c>
      <c r="B213" s="104" t="n">
        <f aca="false">B67</f>
        <v>578.85</v>
      </c>
      <c r="C213" s="336" t="s">
        <v>326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326</v>
      </c>
      <c r="B215" s="241" t="n">
        <f aca="false">B191*E213*100</f>
        <v>40</v>
      </c>
      <c r="C215" s="336" t="s">
        <v>225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327</v>
      </c>
      <c r="B217" s="241" t="n">
        <f aca="false">B78-(B78*(E213*100))</f>
        <v>200</v>
      </c>
      <c r="C217" s="336" t="s">
        <v>220</v>
      </c>
      <c r="D217" s="317"/>
      <c r="E217" s="33" t="n">
        <f aca="false">(B211-B205+D205)</f>
        <v>3993.09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328</v>
      </c>
      <c r="B219" s="341" t="n">
        <f aca="false">D191/0.1</f>
        <v>180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329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227</v>
      </c>
      <c r="B223" s="104" t="n">
        <f aca="false">B71</f>
        <v>200</v>
      </c>
      <c r="C223" s="336" t="s">
        <v>228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229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230</v>
      </c>
      <c r="B225" s="381" t="n">
        <f aca="false">B68</f>
        <v>0.0075</v>
      </c>
      <c r="C225" s="336" t="s">
        <v>231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232</v>
      </c>
      <c r="D226" s="343"/>
      <c r="E226" s="33" t="n">
        <f aca="false">B86</f>
        <v>96.4917103670835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233</v>
      </c>
      <c r="B227" s="104" t="n">
        <f aca="false">B79</f>
        <v>200</v>
      </c>
      <c r="C227" s="382" t="s">
        <v>330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234</v>
      </c>
      <c r="B229" s="104" t="n">
        <f aca="false">B80</f>
        <v>200</v>
      </c>
      <c r="C229" s="386" t="s">
        <v>331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5043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2024-01-10T12:47:00Z</dcterms:modified>
  <cp:revision>909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