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66"/>
  </bookViews>
  <sheets>
    <sheet name="CP(F2)-PCP_Used_LCV" sheetId="1" state="visible" r:id="rId2"/>
    <sheet name="CP(F2)-CP_Used_LCV" sheetId="2" state="visible" r:id="rId3"/>
    <sheet name="HPNR(F3)-PCP_Used_LCV" sheetId="3" state="visible" r:id="rId4"/>
    <sheet name="HPNR(F3)-CP_Used_LCV" sheetId="4" state="visible" r:id="rId5"/>
    <sheet name="HPNR(F3)-HPR_Used_LCV" sheetId="5" state="visible" r:id="rId6"/>
    <sheet name="HPNR(F3)-HPNR_Used_LCV" sheetId="6" state="visible" r:id="rId7"/>
    <sheet name="BCH-F3-PCH_Used_LCV" sheetId="7" state="visible" r:id="rId8"/>
    <sheet name="BCH-F3-BCH_Used_LCV" sheetId="8" state="visible" r:id="rId9"/>
    <sheet name="CP(F3)-PCH_Used_LCV" sheetId="9" state="visible" r:id="rId10"/>
    <sheet name="CP(F3)-BCH_Used_LCV" sheetId="10" state="visible" r:id="rId11"/>
    <sheet name="FL(F3)-FL_Used_LCV" sheetId="11" state="visible" r:id="rId12"/>
    <sheet name="FL(F3)-PCH_Used_LCV" sheetId="12" state="visible" r:id="rId13"/>
    <sheet name="FL(F3)-BCH_Used_LCV" sheetId="13" state="visible" r:id="rId14"/>
    <sheet name="HPNR (F3)-FL_Used_LCV" sheetId="14" state="visible" r:id="rId15"/>
    <sheet name="HPNR (F3)-PCH_Used_LCV" sheetId="15" state="visible" r:id="rId16"/>
    <sheet name="HPNR (F3)-BCH_Used_LCV" sheetId="16" state="visible" r:id="rId17"/>
    <sheet name="PCP_used_LCV" sheetId="17" state="visible" r:id="rId18"/>
    <sheet name="CP_used_LCV" sheetId="18" state="visible" r:id="rId19"/>
    <sheet name="HPR_used_LCV" sheetId="19" state="visible" r:id="rId20"/>
    <sheet name="HPNR_used_LCV" sheetId="20" state="visible" r:id="rId21"/>
    <sheet name="Formula1-FL_Used_LCV" sheetId="21" state="visible" r:id="rId22"/>
    <sheet name="Formula1-PCH_Used_LCV" sheetId="22" state="visible" r:id="rId23"/>
    <sheet name="Formula1-BCH_Used_LCV" sheetId="23" state="visible" r:id="rId24"/>
    <sheet name="CP(F2)-PCP_Used_car" sheetId="24" state="visible" r:id="rId25"/>
    <sheet name="CP(F2)-CP_Used_car" sheetId="25" state="visible" r:id="rId26"/>
    <sheet name="HPNR(F3)-PCP_Used_car" sheetId="26" state="visible" r:id="rId27"/>
    <sheet name="HPNR(F3)-CP_Used_car" sheetId="27" state="visible" r:id="rId28"/>
    <sheet name="HPNR(F3)-HPR_Used_car" sheetId="28" state="visible" r:id="rId29"/>
    <sheet name="HPNR(F3)-HPNR_Used_car" sheetId="29" state="visible" r:id="rId30"/>
    <sheet name="CP(F3)-PCH_Used_car" sheetId="30" state="visible" r:id="rId31"/>
    <sheet name="CP(F3)-BCH_Used_car" sheetId="31" state="visible" r:id="rId32"/>
    <sheet name="FL(F3)-FL_Used_car" sheetId="32" state="visible" r:id="rId33"/>
    <sheet name="FL(F3)-PCH_Used_car" sheetId="33" state="visible" r:id="rId34"/>
    <sheet name="FL(F3)-BCH_Used_car" sheetId="34" state="visible" r:id="rId35"/>
    <sheet name="HPNR (F3)-FL_Used_car" sheetId="35" state="visible" r:id="rId36"/>
    <sheet name="HPNR (F3)-PCH_Used_car" sheetId="36" state="visible" r:id="rId37"/>
    <sheet name="HPNR (F3)-BCH_Used_car" sheetId="37" state="visible" r:id="rId38"/>
    <sheet name="PCP_used_car" sheetId="38" state="visible" r:id="rId39"/>
    <sheet name="CP_used_car" sheetId="39" state="visible" r:id="rId40"/>
    <sheet name="HPR_used_car" sheetId="40" state="visible" r:id="rId41"/>
    <sheet name="HPNR_used_car" sheetId="41" state="visible" r:id="rId42"/>
    <sheet name="BCH-F3-PCH_Used_car" sheetId="42" state="visible" r:id="rId43"/>
    <sheet name="BCH-F3-BCH_Used_car" sheetId="43" state="visible" r:id="rId44"/>
    <sheet name="Formula1-FL_Used_car" sheetId="44" state="visible" r:id="rId45"/>
    <sheet name="Formula1-PCH_Used_car" sheetId="45" state="visible" r:id="rId46"/>
    <sheet name="CP (Formula 3) - PCH" sheetId="46" state="visible" r:id="rId47"/>
    <sheet name="CP (Formula 3) - BCH" sheetId="47" state="visible" r:id="rId48"/>
    <sheet name="CP (Formula 2) - CP" sheetId="48" state="visible" r:id="rId49"/>
    <sheet name="CP (Formula 2) - PCP" sheetId="49" state="visible" r:id="rId50"/>
    <sheet name="Formula1-BCH_Used_car" sheetId="50" state="visible" r:id="rId51"/>
    <sheet name="HPNR (Formula 3) - PCP" sheetId="51" state="visible" r:id="rId52"/>
    <sheet name="HPNR (Formula 3) - CP" sheetId="52" state="visible" r:id="rId53"/>
    <sheet name="HPNR (Formula 3) - HPR" sheetId="53" state="visible" r:id="rId54"/>
    <sheet name="HPNR (Formula 3) - FL" sheetId="54" state="visible" r:id="rId55"/>
    <sheet name="HPNR (Formula 3) - PCH" sheetId="55" state="visible" r:id="rId56"/>
    <sheet name="HPNR (Formula 3) - BCH" sheetId="56" state="visible" r:id="rId57"/>
    <sheet name="HPNR (Formula 3) - HPNR" sheetId="57" state="visible" r:id="rId58"/>
    <sheet name="FL (Formula 3) - FL" sheetId="58" state="visible" r:id="rId59"/>
    <sheet name="FL (Formula 3) - PCH" sheetId="59" state="visible" r:id="rId60"/>
    <sheet name="FL (Formula 3) - BCH" sheetId="60" state="visible" r:id="rId61"/>
    <sheet name="HirePurchaseNonRegulated" sheetId="61" state="visible" r:id="rId62"/>
    <sheet name="HirePurchaseRegulated" sheetId="62" state="visible" r:id="rId63"/>
    <sheet name="PersonalContractPurchase" sheetId="63" state="visible" r:id="rId64"/>
    <sheet name="ContractPurchase" sheetId="64" state="visible" r:id="rId65"/>
    <sheet name="Formula1-FL" sheetId="65" state="visible" r:id="rId66"/>
    <sheet name="Formula1-PCH" sheetId="66" state="visible" r:id="rId67"/>
    <sheet name="Formula1-BCH" sheetId="67" state="visible" r:id="rId68"/>
    <sheet name="FL (Formula 3) - BCH, PCH, FL" sheetId="68" state="visible" r:id="rId69"/>
    <sheet name="BCH (Formula 3) - PCH" sheetId="69" state="visible" r:id="rId70"/>
    <sheet name="BCH (Formula 3) - BCH" sheetId="70" state="visible" r:id="rId71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<sst xmlns="http://schemas.openxmlformats.org/spreadsheetml/2006/main" count="33327" uniqueCount="415">
  <si>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</si>
  <si>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</si>
  <si>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</si>
  <si>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</si>
  <si>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</si>
  <si>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</si>
  <si>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</si>
  <si>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</si>
  <si>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</si>
  <si>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</si>
  <si>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</si>
  <si>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</si>
  <si>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</si>
  <si>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</si>
  <si>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</si>
  <si>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</si>
  <si>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</si>
  <si>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</si>
  <si>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YES</t>
  </si>
  <si>
    <t xml:space="preserve">NO</t>
  </si>
  <si>
    <t xml:space="preserve">                  </t>
  </si>
  <si>
    <t xml:space="preserve">Holding cost - formula - 2</t>
  </si>
  <si>
    <t xml:space="preserve">      Funder information</t>
  </si>
  <si>
    <t xml:space="preserve">Payment profile</t>
  </si>
  <si>
    <t xml:space="preserve">Monthly Advance</t>
  </si>
  <si>
    <t xml:space="preserve">Number of Monthly Advance</t>
  </si>
  <si>
    <t xml:space="preserve">Monthly advance</t>
  </si>
  <si>
    <t xml:space="preserve">Advance payment in Value</t>
  </si>
  <si>
    <t xml:space="preserve">Duration</t>
  </si>
  <si>
    <t xml:space="preserve">Funder</t>
  </si>
  <si>
    <t xml:space="preserve">Quote reference</t>
  </si>
  <si>
    <t xml:space="preserve">Quote expiry date</t>
  </si>
  <si>
    <t xml:space="preserve">Mileage</t>
  </si>
  <si>
    <t xml:space="preserve">sadasa</t>
  </si>
  <si>
    <t xml:space="preserve">dsfsfds</t>
  </si>
  <si>
    <t xml:space="preserve">Residual Value</t>
  </si>
  <si>
    <t xml:space="preserve">Maintenance Cost (SMR) Annual Value</t>
  </si>
  <si>
    <t xml:space="preserve">TOTAL CASH PRICE</t>
  </si>
  <si>
    <t xml:space="preserve">23125.00</t>
  </si>
  <si>
    <t xml:space="preserve">Term</t>
  </si>
  <si>
    <t xml:space="preserve">Miles per annum</t>
  </si>
  <si>
    <t xml:space="preserve">Contract mileage</t>
  </si>
  <si>
    <t xml:space="preserve">12</t>
  </si>
  <si>
    <t xml:space="preserve">5000</t>
  </si>
  <si>
    <t xml:space="preserve">CASH DEPOSIT</t>
  </si>
  <si>
    <t xml:space="preserve">1000</t>
  </si>
  <si>
    <t xml:space="preserve">Interest Rate (annual)</t>
  </si>
  <si>
    <t xml:space="preserve">Total cash price</t>
  </si>
  <si>
    <t xml:space="preserve">Cash deposit</t>
  </si>
  <si>
    <t xml:space="preserve">Balance to finance</t>
  </si>
  <si>
    <t xml:space="preserve">Subsequence term</t>
  </si>
  <si>
    <t xml:space="preserve">BALANCE TO FINANCE</t>
  </si>
  <si>
    <t xml:space="preserve">Calculation</t>
  </si>
  <si>
    <t xml:space="preserve">Document fee</t>
  </si>
  <si>
    <t xml:space="preserve">Number of monthly payments</t>
  </si>
  <si>
    <t xml:space="preserve">Monthly payment</t>
  </si>
  <si>
    <t xml:space="preserve">funderQuouteMonthlyPayment</t>
  </si>
  <si>
    <t xml:space="preserve">500</t>
  </si>
  <si>
    <t xml:space="preserve">vat</t>
  </si>
  <si>
    <t xml:space="preserve">maintenanceCost</t>
  </si>
  <si>
    <t xml:space="preserve">Optional final payment</t>
  </si>
  <si>
    <t xml:space="preserve">Option to purchase fee</t>
  </si>
  <si>
    <t xml:space="preserve">Maintenance included</t>
  </si>
  <si>
    <t xml:space="preserve">optionalFinalPayment</t>
  </si>
  <si>
    <t xml:space="preserve">fundingContractPeriod</t>
  </si>
  <si>
    <t xml:space="preserve">vatElement</t>
  </si>
  <si>
    <t xml:space="preserve">Monthly maint. Payment</t>
  </si>
  <si>
    <t xml:space="preserve">Pence per excess mile - finance</t>
  </si>
  <si>
    <t xml:space="preserve">Pence per excess mile - maint</t>
  </si>
  <si>
    <t xml:space="preserve">Holding Cost</t>
  </si>
  <si>
    <t xml:space="preserve">rfl</t>
  </si>
  <si>
    <t xml:space="preserve">DocumentTermCal</t>
  </si>
  <si>
    <t xml:space="preserve">Pence per excess mile - total</t>
  </si>
  <si>
    <t xml:space="preserve">Option to Purchase fee</t>
  </si>
  <si>
    <t xml:space="preserve">monthlyHoldingCost</t>
  </si>
  <si>
    <t xml:space="preserve">monthlyFinanceCost</t>
  </si>
  <si>
    <t xml:space="preserve">% CAP residual value used</t>
  </si>
  <si>
    <t xml:space="preserve">% CAP maintenance cost used</t>
  </si>
  <si>
    <t xml:space="preserve">Total Cap Maint. Value</t>
  </si>
  <si>
    <t xml:space="preserve">108.00</t>
  </si>
  <si>
    <t xml:space="preserve">Total Maint value</t>
  </si>
  <si>
    <t xml:space="preserve">    Own book holding cost matrix</t>
  </si>
  <si>
    <t xml:space="preserve">Term (months)</t>
  </si>
  <si>
    <t xml:space="preserve">Mileage per annum</t>
  </si>
  <si>
    <t xml:space="preserve">Advance</t>
  </si>
  <si>
    <t xml:space="preserve">Subsequent monthly rentals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</si>
  <si>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</si>
  <si>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</si>
  <si>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</si>
  <si>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</si>
  <si>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</si>
  <si>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</si>
  <si>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</si>
  <si>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</si>
  <si>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</si>
  <si>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</si>
  <si>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</si>
  <si>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</si>
  <si>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</si>
  <si>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</si>
  <si>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</si>
  <si>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</si>
  <si>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</si>
  <si>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</si>
  <si>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</si>
  <si>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Advance(Balance To finanace)</t>
  </si>
  <si>
    <t xml:space="preserve">Residual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</si>
  <si>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</si>
  <si>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</si>
  <si>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</si>
  <si>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</si>
  <si>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</si>
  <si>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</si>
  <si>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</si>
  <si>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</si>
  <si>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</si>
  <si>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</si>
  <si>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</si>
  <si>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</si>
  <si>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Total monthly rental (Ex. VAT)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</si>
  <si>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</si>
  <si>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</si>
  <si>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</si>
  <si>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</si>
  <si>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       Own book customer quote</t>
  </si>
  <si>
    <t xml:space="preserve">Contract type</t>
  </si>
  <si>
    <t xml:space="preserve">Maintenance include</t>
  </si>
  <si>
    <t xml:space="preserve">Hire purchase - NON regulated</t>
  </si>
  <si>
    <t xml:space="preserve"> Monthly in advance </t>
  </si>
  <si>
    <t xml:space="preserve">Maintenance margin %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</si>
  <si>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</si>
  <si>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</si>
  <si>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</si>
  <si>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</si>
  <si>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</si>
  <si>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</si>
  <si>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Order deposit</t>
  </si>
  <si>
    <t xml:space="preserve">Finance deposit</t>
  </si>
  <si>
    <t xml:space="preserve">Total deposit</t>
  </si>
  <si>
    <t xml:space="preserve">Document fee (Ex. VAT)</t>
  </si>
  <si>
    <t xml:space="preserve">Initial payment</t>
  </si>
  <si>
    <t xml:space="preserve">239.99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</si>
  <si>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</si>
  <si>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</si>
  <si>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</si>
  <si>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</si>
  <si>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</si>
  <si>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</si>
  <si>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</si>
  <si>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</si>
  <si>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</si>
  <si>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</si>
  <si>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</si>
  <si>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</si>
  <si>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</si>
  <si>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</si>
  <si>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</si>
  <si>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</si>
  <si>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</si>
  <si>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</si>
  <si>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</si>
  <si>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</si>
  <si>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</si>
  <si>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</si>
  <si>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</si>
  <si>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</si>
  <si>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</si>
  <si>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</si>
  <si>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</si>
  <si>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</si>
  <si>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</si>
  <si>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</si>
  <si>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</si>
  <si>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</si>
  <si>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</si>
  <si>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</si>
  <si>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</si>
  <si>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</si>
  <si>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Deposit required</t>
  </si>
  <si>
    <t xml:space="preserve">Balance to finanace</t>
  </si>
  <si>
    <t xml:space="preserve">       Summary</t>
  </si>
  <si>
    <t xml:space="preserve">Target rental</t>
  </si>
  <si>
    <t xml:space="preserve">Monthly finance payment</t>
  </si>
  <si>
    <t xml:space="preserve">Monthly maintenance payment</t>
  </si>
  <si>
    <t xml:space="preserve">Total monthly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</si>
  <si>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</si>
  <si>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</si>
  <si>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</si>
  <si>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</si>
  <si>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</si>
  <si>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</si>
  <si>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</si>
  <si>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</si>
  <si>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</si>
  <si>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</si>
  <si>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</si>
  <si>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</si>
  <si>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</si>
  <si>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</si>
  <si>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</si>
  <si>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</si>
  <si>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</si>
  <si>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Contract Purchase</t>
  </si>
  <si>
    <t xml:space="preserve">Followed by</t>
  </si>
  <si>
    <t xml:space="preserve">Guaranteed future value</t>
  </si>
  <si>
    <t xml:space="preserve">Final payment (inc. option to purchase fee)</t>
  </si>
  <si>
    <t xml:space="preserve">Pence per excess mile - maint.</t>
  </si>
  <si>
    <t xml:space="preserve">       Commission due</t>
  </si>
  <si>
    <t xml:space="preserve">Vehicle comm.</t>
  </si>
  <si>
    <t xml:space="preserve">        Configuration</t>
  </si>
  <si>
    <t xml:space="preserve">Base interest rate</t>
  </si>
  <si>
    <t xml:space="preserve">Customer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</si>
  <si>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</si>
  <si>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</si>
  <si>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</si>
  <si>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</si>
  <si>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Customer rate over base</t>
  </si>
  <si>
    <t xml:space="preserve">Period supplement</t>
  </si>
  <si>
    <t xml:space="preserve">Default broker margin</t>
  </si>
  <si>
    <t xml:space="preserve">Maint. Margin</t>
  </si>
  <si>
    <t xml:space="preserve">Document fee margin</t>
  </si>
  <si>
    <t xml:space="preserve">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</si>
  <si>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</si>
  <si>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</si>
  <si>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</si>
  <si>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</si>
  <si>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</si>
  <si>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</si>
  <si>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</si>
  <si>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Delivery &amp; collection cost</t>
  </si>
  <si>
    <t xml:space="preserve">50</t>
  </si>
  <si>
    <t xml:space="preserve">107.00</t>
  </si>
  <si>
    <t xml:space="preserve">Limited Credit</t>
  </si>
  <si>
    <t xml:space="preserve">199.99</t>
  </si>
  <si>
    <t xml:space="preserve">Holding cost - formula - 3</t>
  </si>
  <si>
    <t xml:space="preserve">       Funder information</t>
  </si>
  <si>
    <t xml:space="preserve">Quote expiry date </t>
  </si>
  <si>
    <t xml:space="preserve">Test</t>
  </si>
  <si>
    <t xml:space="preserve">Initial finance rental(Ex. VAT)</t>
  </si>
  <si>
    <t xml:space="preserve">Initial maintenance rental (Ex. VAT)</t>
  </si>
  <si>
    <t xml:space="preserve">Finance Rental Monthly</t>
  </si>
  <si>
    <t xml:space="preserve">Maintenance monthly</t>
  </si>
  <si>
    <t xml:space="preserve">20500.00</t>
  </si>
  <si>
    <t xml:space="preserve">Total initial rental (Ex. VAT)</t>
  </si>
  <si>
    <t xml:space="preserve">Term (months) </t>
  </si>
  <si>
    <t xml:space="preserve">Document Fee</t>
  </si>
  <si>
    <t xml:space="preserve">33</t>
  </si>
  <si>
    <t xml:space="preserve">0.00</t>
  </si>
  <si>
    <t xml:space="preserve">Maintenance</t>
  </si>
  <si>
    <t xml:space="preserve">Monthly finance rental(Ex. VAT)</t>
  </si>
  <si>
    <t xml:space="preserve">Monthly maintenance rental (Ex. VAT)</t>
  </si>
  <si>
    <t xml:space="preserve">Final balloon payment (Ex. VAT)</t>
  </si>
  <si>
    <t xml:space="preserve">Pence per excess mile - finance (Ex. VAT)</t>
  </si>
  <si>
    <t xml:space="preserve">Pence per excess mile - maintenance (Ex. VAT)</t>
  </si>
  <si>
    <t xml:space="preserve">Monthly Fianance Cost</t>
  </si>
  <si>
    <t xml:space="preserve">Maintenanace Cost</t>
  </si>
  <si>
    <t xml:space="preserve">Holding Cost (Monthly)</t>
  </si>
  <si>
    <t xml:space="preserve">Pence per excess mile - total (Ex. VAT)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</si>
  <si>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</si>
  <si>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</si>
  <si>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</si>
  <si>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 Spread rentals initial payment </t>
  </si>
  <si>
    <t xml:space="preserve"> Spread rentals with 3 down </t>
  </si>
  <si>
    <t xml:space="preserve"> Spread rentals with 6 down </t>
  </si>
  <si>
    <t xml:space="preserve"> Spread rentals with 9 down </t>
  </si>
  <si>
    <t xml:space="preserve"> Spread rentals with 12 down </t>
  </si>
  <si>
    <t xml:space="preserve"> Terminal pause with 3 down </t>
  </si>
  <si>
    <t xml:space="preserve"> Terminal Pause with 6 down </t>
  </si>
  <si>
    <t xml:space="preserve"> Terminal Pause with 9 down </t>
  </si>
  <si>
    <t xml:space="preserve">Hire purchase – Regulated</t>
  </si>
  <si>
    <t xml:space="preserve">A1 Credit</t>
  </si>
  <si>
    <t xml:space="preserve">Hire Purchase Non-Regulated</t>
  </si>
  <si>
    <t xml:space="preserve">Upload document</t>
  </si>
  <si>
    <t xml:space="preserve">`</t>
  </si>
  <si>
    <t xml:space="preserve">otr   </t>
  </si>
  <si>
    <t xml:space="preserve">Minimum Margin (%)</t>
  </si>
  <si>
    <t xml:space="preserve">Margin Required (%)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</si>
  <si>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</si>
  <si>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</si>
  <si>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</si>
  <si>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</si>
  <si>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Refferal commision</t>
  </si>
  <si>
    <t xml:space="preserve">Customer Quote - Personal Contract Hire</t>
  </si>
  <si>
    <t xml:space="preserve">Order deposit (No VAT)</t>
  </si>
  <si>
    <t xml:space="preserve">Business Contract Hire</t>
  </si>
  <si>
    <t xml:space="preserve"> Terminal pause with 9 down </t>
  </si>
  <si>
    <t xml:space="preserve">Document fee (Inc. VAT)</t>
  </si>
  <si>
    <t xml:space="preserve">Upsell (Ex. VAT)</t>
  </si>
  <si>
    <t xml:space="preserve">Referral commission (Ex. VAT)</t>
  </si>
  <si>
    <t xml:space="preserve">200</t>
  </si>
  <si>
    <t xml:space="preserve">        Part exchange</t>
  </si>
  <si>
    <t xml:space="preserve">Add part exchange to montly rental</t>
  </si>
  <si>
    <t xml:space="preserve">Balance due</t>
  </si>
  <si>
    <t xml:space="preserve">        Summary</t>
  </si>
  <si>
    <t xml:space="preserve">Monthly maint. rental</t>
  </si>
  <si>
    <t xml:space="preserve">Total monthly rental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</si>
  <si>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</si>
  <si>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</si>
  <si>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</si>
  <si>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</si>
  <si>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</si>
  <si>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</si>
  <si>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</si>
  <si>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</si>
  <si>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Total initial rental</t>
  </si>
  <si>
    <t xml:space="preserve">Part exchange value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</si>
  <si>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</si>
  <si>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</si>
  <si>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</si>
  <si>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</si>
  <si>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</si>
  <si>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</si>
  <si>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main.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</si>
  <si>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</si>
  <si>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</si>
  <si>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</si>
  <si>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</si>
  <si>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</si>
  <si>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</si>
  <si>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</si>
  <si>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</si>
  <si>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</si>
  <si>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</si>
  <si>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Own book holding cost matrix</t>
  </si>
  <si>
    <t xml:space="preserve">Document fee comm.</t>
  </si>
  <si>
    <t xml:space="preserve">Referrer comm.</t>
  </si>
  <si>
    <t xml:space="preserve">Broker upsell margin</t>
  </si>
  <si>
    <t xml:space="preserve">Referrer margin</t>
  </si>
  <si>
    <t xml:space="preserve">Maintnance Margin</t>
  </si>
  <si>
    <t xml:space="preserve">            Additional items</t>
  </si>
  <si>
    <t xml:space="preserve">Additional RFL per annum</t>
  </si>
  <si>
    <t xml:space="preserve">Additional RFL (List price over 40k) per annum</t>
  </si>
  <si>
    <t xml:space="preserve">Customer Quote - Business Contract Hire</t>
  </si>
  <si>
    <t xml:space="preserve">6000</t>
  </si>
  <si>
    <t xml:space="preserve">20</t>
  </si>
  <si>
    <t xml:space="preserve">10</t>
  </si>
  <si>
    <t xml:space="preserve">          </t>
  </si>
  <si>
    <t xml:space="preserve">  </t>
  </si>
  <si>
    <t xml:space="preserve">without maintenance Holding cost</t>
  </si>
  <si>
    <t xml:space="preserve">Referrer commision</t>
  </si>
  <si>
    <t xml:space="preserve">Customer Quote - Finance Lease</t>
  </si>
  <si>
    <t xml:space="preserve">With balloon</t>
  </si>
  <si>
    <t xml:space="preserve">Monthly finance rental (Ex. VAT)</t>
  </si>
  <si>
    <t xml:space="preserve">Initial finance rental (Ex. VAT)</t>
  </si>
  <si>
    <t xml:space="preserve">Final Balloon Payment</t>
  </si>
  <si>
    <t xml:space="preserve">Percentage of sales proceeds to customer</t>
  </si>
  <si>
    <t xml:space="preserve">0</t>
  </si>
  <si>
    <t xml:space="preserve">1</t>
  </si>
  <si>
    <t xml:space="preserve">Customer Quote – Finance Lease</t>
  </si>
  <si>
    <t xml:space="preserve">Holding cost - formula - 1</t>
  </si>
  <si>
    <t xml:space="preserve">Total monthly holding cost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</si>
  <si>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</si>
  <si>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</si>
  <si>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</si>
  <si>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</si>
  <si>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</si>
  <si>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</si>
  <si>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</si>
  <si>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Monthly Interest (total/12)</t>
  </si>
  <si>
    <t xml:space="preserve">Monthly Mintenance</t>
  </si>
  <si>
    <t xml:space="preserve">Finance Cost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</si>
  <si>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</si>
  <si>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</si>
  <si>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</si>
  <si>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</si>
  <si>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Holding Cost (Monthly)
Finance Cost + Maintenance Cost</t>
  </si>
  <si>
    <t xml:space="preserve">Target Holding cost</t>
  </si>
  <si>
    <t xml:space="preserve">Monthly Finance Payment</t>
  </si>
  <si>
    <t xml:space="preserve">Holding Finance Charges</t>
  </si>
  <si>
    <t xml:space="preserve">Holding Balance Payable</t>
  </si>
  <si>
    <t xml:space="preserve">Subsequence rental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</si>
  <si>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</si>
  <si>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</si>
  <si>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</si>
  <si>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Otr   </t>
  </si>
  <si>
    <t xml:space="preserve">Select Caste</t>
  </si>
  <si>
    <t xml:space="preserve">Referrer commission (Ex. VAT)</t>
  </si>
  <si>
    <t xml:space="preserve">           </t>
  </si>
  <si>
    <t xml:space="preserve">22458.33</t>
  </si>
  <si>
    <t xml:space="preserve">OTR Calculation</t>
  </si>
  <si>
    <t xml:space="preserve">470.00</t>
  </si>
  <si>
    <t xml:space="preserve">48877.50</t>
  </si>
  <si>
    <t xml:space="preserve">5.28</t>
  </si>
  <si>
    <t xml:space="preserve">60</t>
  </si>
  <si>
    <t xml:space="preserve">2</t>
  </si>
  <si>
    <t xml:space="preserve">RFL included?</t>
  </si>
  <si>
    <t>YES</t>
  </si>
  <si>
    <t>0</t>
  </si>
  <si>
    <t>100</t>
  </si>
  <si>
    <t>50</t>
  </si>
  <si>
    <t>NO</t>
  </si>
  <si>
    <t>30</t>
  </si>
  <si>
    <t>40</t>
  </si>
  <si>
    <t>500</t>
  </si>
  <si>
    <t>60</t>
  </si>
  <si>
    <t>6000</t>
  </si>
  <si>
    <t>12</t>
  </si>
  <si>
    <t>10</t>
  </si>
  <si>
    <t>2</t>
  </si>
  <si>
    <t>1</t>
  </si>
  <si>
    <t>239.99</t>
  </si>
  <si>
    <t>5000</t>
  </si>
  <si>
    <t>1000</t>
  </si>
  <si>
    <t>0.00</t>
  </si>
  <si>
    <t>Limited Credit</t>
  </si>
  <si>
    <t>20</t>
  </si>
  <si>
    <t>199.99</t>
  </si>
  <si>
    <t>22458.33</t>
  </si>
  <si>
    <t>33</t>
  </si>
  <si>
    <t>A1 Credit</t>
  </si>
  <si>
    <t>200</t>
  </si>
  <si>
    <t xml:space="preserve"> Terminal pause with 6 down </t>
  </si>
  <si>
    <t>5.28</t>
  </si>
  <si>
    <t>48877.50</t>
  </si>
  <si>
    <t>470.00</t>
  </si>
</sst>
</file>

<file path=xl/styles.xml><?xml version="1.0" encoding="utf-8"?>
<styleSheet xmlns="http://schemas.openxmlformats.org/spreadsheetml/2006/main">
  <numFmts count="24">
    <numFmt numFmtId="164" formatCode="General"/>
    <numFmt numFmtId="165" formatCode="\£#,##0.00"/>
    <numFmt numFmtId="166" formatCode="General"/>
    <numFmt numFmtId="167" formatCode="0%"/>
    <numFmt numFmtId="168" formatCode="0.00%"/>
    <numFmt numFmtId="169" formatCode="#,##0.00"/>
    <numFmt numFmtId="170" formatCode="[$-409]m/d/yyyy"/>
    <numFmt numFmtId="171" formatCode="&quot;TRUE&quot;;&quot;TRUE&quot;;&quot;FALSE&quot;"/>
    <numFmt numFmtId="172" formatCode="0.00"/>
    <numFmt numFmtId="173" formatCode="_(* #,##0.00_);_(* \(#,##0.00\);_(* \-??_);_(@_)"/>
    <numFmt numFmtId="174" formatCode="_(* #,##0_);_(* \(#,##0\);_(* \-??_);_(@_)"/>
    <numFmt numFmtId="175" formatCode="\£#,##0.00000"/>
    <numFmt numFmtId="176" formatCode="\£#,##0.0000"/>
    <numFmt numFmtId="177" formatCode="0.0000%"/>
    <numFmt numFmtId="178" formatCode="#,##0.0000000"/>
    <numFmt numFmtId="179" formatCode="#,##0.000000000"/>
    <numFmt numFmtId="180" formatCode="#,##0.0"/>
    <numFmt numFmtId="181" formatCode="0.0000000000000"/>
    <numFmt numFmtId="182" formatCode="0.0000"/>
    <numFmt numFmtId="183" formatCode="0.000%"/>
    <numFmt numFmtId="184" formatCode="#,##0.00000"/>
    <numFmt numFmtId="185" formatCode="#,##0.000"/>
    <numFmt numFmtId="186" formatCode="#,##0.0000000000"/>
    <numFmt numFmtId="187" formatCode="#,##0.0000"/>
  </numFmts>
  <fonts count="35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000000"/>
      <name val="Calibri"/>
      <family val="2"/>
      <charset val="1"/>
    </font>
    <font>
      <b val="true"/>
      <sz val="32"/>
      <color rgb="FFFFFFFF"/>
      <name val="Calibri"/>
      <family val="2"/>
      <charset val="1"/>
    </font>
    <font>
      <b val="true"/>
      <sz val="11"/>
      <color rgb="FFC9211E"/>
      <name val="Arial"/>
      <family val="0"/>
      <charset val="1"/>
    </font>
    <font>
      <b val="true"/>
      <sz val="14"/>
      <color rgb="FFC9211E"/>
      <name val="Calibri"/>
      <family val="2"/>
      <charset val="1"/>
    </font>
    <font>
      <sz val="11"/>
      <color rgb="FF000000"/>
      <name val="Calibri"/>
      <family val="2"/>
      <charset val="1"/>
    </font>
    <font>
      <b val="true"/>
      <sz val="11"/>
      <color rgb="FF000000"/>
      <name val="Arial"/>
      <family val="0"/>
      <charset val="1"/>
    </font>
    <font>
      <b val="true"/>
      <sz val="9"/>
      <color rgb="FF000000"/>
      <name val="Arial"/>
      <family val="0"/>
      <charset val="1"/>
    </font>
    <font>
      <b val="true"/>
      <sz val="18"/>
      <color rgb="FF000000"/>
      <name val="Arial"/>
      <family val="0"/>
      <charset val="1"/>
    </font>
    <font>
      <b val="true"/>
      <sz val="36"/>
      <color rgb="FFFFFFFF"/>
      <name val="Calibri"/>
      <family val="2"/>
      <charset val="1"/>
    </font>
    <font>
      <b val="true"/>
      <sz val="18"/>
      <color rgb="FF000000"/>
      <name val="Calibri"/>
      <family val="2"/>
      <charset val="1"/>
    </font>
    <font>
      <sz val="14"/>
      <color rgb="FF000000"/>
      <name val="Calibri2"/>
      <family val="0"/>
      <charset val="1"/>
    </font>
    <font>
      <b val="true"/>
      <sz val="14"/>
      <color rgb="FF000000"/>
      <name val="Calibri"/>
      <family val="2"/>
      <charset val="1"/>
    </font>
    <font>
      <b val="true"/>
      <sz val="12"/>
      <color rgb="FF000000"/>
      <name val="Arial"/>
      <family val="0"/>
      <charset val="1"/>
    </font>
    <font>
      <b val="true"/>
      <u val="single"/>
      <sz val="14"/>
      <color rgb="FFFFFFFF"/>
      <name val="Calibri"/>
      <family val="2"/>
      <charset val="1"/>
    </font>
    <font>
      <b val="true"/>
      <sz val="14"/>
      <color rgb="FF000000"/>
      <name val="Calibri2"/>
      <family val="0"/>
      <charset val="1"/>
    </font>
    <font>
      <b val="true"/>
      <sz val="14"/>
      <color rgb="FFFFFFFF"/>
      <name val="Calibri"/>
      <family val="2"/>
      <charset val="1"/>
    </font>
    <font>
      <b val="true"/>
      <sz val="16"/>
      <color rgb="FFFFFFFF"/>
      <name val="Calibri"/>
      <family val="2"/>
      <charset val="1"/>
    </font>
    <font>
      <b val="true"/>
      <sz val="14"/>
      <color rgb="FFC00000"/>
      <name val="Calibri"/>
      <family val="2"/>
      <charset val="1"/>
    </font>
    <font>
      <b val="true"/>
      <u val="single"/>
      <sz val="14"/>
      <color rgb="FF000000"/>
      <name val="Calibri"/>
      <family val="2"/>
      <charset val="1"/>
    </font>
    <font>
      <b val="true"/>
      <sz val="16"/>
      <color rgb="FF000000"/>
      <name val="Calibri"/>
      <family val="2"/>
      <charset val="1"/>
    </font>
    <font>
      <sz val="16"/>
      <color rgb="FF000000"/>
      <name val="Calibri"/>
      <family val="2"/>
      <charset val="1"/>
    </font>
    <font>
      <b val="true"/>
      <u val="single"/>
      <sz val="16"/>
      <color rgb="FF000000"/>
      <name val="Calibri"/>
      <family val="2"/>
      <charset val="1"/>
    </font>
    <font>
      <b val="true"/>
      <sz val="16"/>
      <color rgb="FFFF0000"/>
      <name val="Calibri"/>
      <family val="2"/>
      <charset val="1"/>
    </font>
    <font>
      <i val="true"/>
      <sz val="12"/>
      <color rgb="FFBFBFBF"/>
      <name val="Calibri"/>
      <family val="2"/>
      <charset val="1"/>
    </font>
    <font>
      <b val="true"/>
      <sz val="14"/>
      <color rgb="FFFF0000"/>
      <name val="Calibri"/>
      <family val="2"/>
      <charset val="1"/>
    </font>
    <font>
      <sz val="14"/>
      <color rgb="FFFF0000"/>
      <name val="Calibri"/>
      <family val="2"/>
      <charset val="1"/>
    </font>
    <font>
      <sz val="11"/>
      <color rgb="FFFF0000"/>
      <name val="Calibri"/>
      <family val="2"/>
      <charset val="1"/>
    </font>
    <font>
      <sz val="11"/>
      <color rgb="FF7E3794"/>
      <name val="Inconsolata"/>
      <family val="0"/>
      <charset val="1"/>
    </font>
    <font>
      <strike val="true"/>
      <sz val="14"/>
      <color rgb="FF000000"/>
      <name val="Calibri"/>
      <family val="2"/>
      <charset val="1"/>
    </font>
    <font>
      <b val="true"/>
      <u val="single"/>
      <sz val="16"/>
      <color rgb="FFFFFFFF"/>
      <name val="Calibri"/>
      <family val="2"/>
      <charset val="1"/>
    </font>
    <font>
      <sz val="14"/>
      <color rgb="FFC9211E"/>
      <name val="Calibri"/>
      <family val="2"/>
      <charset val="1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000000"/>
        <bgColor rgb="FF003300"/>
      </patternFill>
    </fill>
    <fill>
      <patternFill patternType="solid">
        <fgColor rgb="FFA6A6A6"/>
        <bgColor rgb="FFA5A5A5"/>
      </patternFill>
    </fill>
    <fill>
      <patternFill patternType="solid">
        <fgColor rgb="FFBFBFBF"/>
        <bgColor rgb="FFD0CECE"/>
      </patternFill>
    </fill>
    <fill>
      <patternFill patternType="solid">
        <fgColor rgb="FFA9D18E"/>
        <bgColor rgb="FFA8D08D"/>
      </patternFill>
    </fill>
    <fill>
      <patternFill patternType="solid">
        <fgColor rgb="FFFFC000"/>
        <bgColor rgb="FFFF9900"/>
      </patternFill>
    </fill>
    <fill>
      <patternFill patternType="solid">
        <fgColor rgb="FF2A6099"/>
        <bgColor rgb="FF666699"/>
      </patternFill>
    </fill>
    <fill>
      <patternFill patternType="solid">
        <fgColor rgb="FFA8D08D"/>
        <bgColor rgb="FFA9D18E"/>
      </patternFill>
    </fill>
    <fill>
      <patternFill patternType="solid">
        <fgColor rgb="FFAFD095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8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7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6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5" fontId="1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7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8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6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6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4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2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3" fillId="1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12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6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6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6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2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0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3" fillId="6" borderId="3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2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9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6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3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4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8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9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7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7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1" fillId="6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5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9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1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3" borderId="4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4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4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4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1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5" borderId="2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8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28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4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7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9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1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31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5" borderId="4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1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3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6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17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1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2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2" fillId="2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3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8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10" Target="worksheets/sheet9.xml" Type="http://schemas.openxmlformats.org/officeDocument/2006/relationships/worksheet"/><Relationship Id="rId11" Target="worksheets/sheet10.xml" Type="http://schemas.openxmlformats.org/officeDocument/2006/relationships/worksheet"/><Relationship Id="rId12" Target="worksheets/sheet11.xml" Type="http://schemas.openxmlformats.org/officeDocument/2006/relationships/worksheet"/><Relationship Id="rId13" Target="worksheets/sheet12.xml" Type="http://schemas.openxmlformats.org/officeDocument/2006/relationships/worksheet"/><Relationship Id="rId14" Target="worksheets/sheet13.xml" Type="http://schemas.openxmlformats.org/officeDocument/2006/relationships/worksheet"/><Relationship Id="rId15" Target="worksheets/sheet14.xml" Type="http://schemas.openxmlformats.org/officeDocument/2006/relationships/worksheet"/><Relationship Id="rId16" Target="worksheets/sheet15.xml" Type="http://schemas.openxmlformats.org/officeDocument/2006/relationships/worksheet"/><Relationship Id="rId17" Target="worksheets/sheet16.xml" Type="http://schemas.openxmlformats.org/officeDocument/2006/relationships/worksheet"/><Relationship Id="rId18" Target="worksheets/sheet17.xml" Type="http://schemas.openxmlformats.org/officeDocument/2006/relationships/worksheet"/><Relationship Id="rId19" Target="worksheets/sheet18.xml" Type="http://schemas.openxmlformats.org/officeDocument/2006/relationships/worksheet"/><Relationship Id="rId2" Target="worksheets/sheet1.xml" Type="http://schemas.openxmlformats.org/officeDocument/2006/relationships/worksheet"/><Relationship Id="rId20" Target="worksheets/sheet19.xml" Type="http://schemas.openxmlformats.org/officeDocument/2006/relationships/worksheet"/><Relationship Id="rId21" Target="worksheets/sheet20.xml" Type="http://schemas.openxmlformats.org/officeDocument/2006/relationships/worksheet"/><Relationship Id="rId22" Target="worksheets/sheet21.xml" Type="http://schemas.openxmlformats.org/officeDocument/2006/relationships/worksheet"/><Relationship Id="rId23" Target="worksheets/sheet22.xml" Type="http://schemas.openxmlformats.org/officeDocument/2006/relationships/worksheet"/><Relationship Id="rId24" Target="worksheets/sheet23.xml" Type="http://schemas.openxmlformats.org/officeDocument/2006/relationships/worksheet"/><Relationship Id="rId25" Target="worksheets/sheet24.xml" Type="http://schemas.openxmlformats.org/officeDocument/2006/relationships/worksheet"/><Relationship Id="rId26" Target="worksheets/sheet25.xml" Type="http://schemas.openxmlformats.org/officeDocument/2006/relationships/worksheet"/><Relationship Id="rId27" Target="worksheets/sheet26.xml" Type="http://schemas.openxmlformats.org/officeDocument/2006/relationships/worksheet"/><Relationship Id="rId28" Target="worksheets/sheet27.xml" Type="http://schemas.openxmlformats.org/officeDocument/2006/relationships/worksheet"/><Relationship Id="rId29" Target="worksheets/sheet28.xml" Type="http://schemas.openxmlformats.org/officeDocument/2006/relationships/worksheet"/><Relationship Id="rId3" Target="worksheets/sheet2.xml" Type="http://schemas.openxmlformats.org/officeDocument/2006/relationships/worksheet"/><Relationship Id="rId30" Target="worksheets/sheet29.xml" Type="http://schemas.openxmlformats.org/officeDocument/2006/relationships/worksheet"/><Relationship Id="rId31" Target="worksheets/sheet30.xml" Type="http://schemas.openxmlformats.org/officeDocument/2006/relationships/worksheet"/><Relationship Id="rId32" Target="worksheets/sheet31.xml" Type="http://schemas.openxmlformats.org/officeDocument/2006/relationships/worksheet"/><Relationship Id="rId33" Target="worksheets/sheet32.xml" Type="http://schemas.openxmlformats.org/officeDocument/2006/relationships/worksheet"/><Relationship Id="rId34" Target="worksheets/sheet33.xml" Type="http://schemas.openxmlformats.org/officeDocument/2006/relationships/worksheet"/><Relationship Id="rId35" Target="worksheets/sheet34.xml" Type="http://schemas.openxmlformats.org/officeDocument/2006/relationships/worksheet"/><Relationship Id="rId36" Target="worksheets/sheet35.xml" Type="http://schemas.openxmlformats.org/officeDocument/2006/relationships/worksheet"/><Relationship Id="rId37" Target="worksheets/sheet36.xml" Type="http://schemas.openxmlformats.org/officeDocument/2006/relationships/worksheet"/><Relationship Id="rId38" Target="worksheets/sheet37.xml" Type="http://schemas.openxmlformats.org/officeDocument/2006/relationships/worksheet"/><Relationship Id="rId39" Target="worksheets/sheet38.xml" Type="http://schemas.openxmlformats.org/officeDocument/2006/relationships/worksheet"/><Relationship Id="rId4" Target="worksheets/sheet3.xml" Type="http://schemas.openxmlformats.org/officeDocument/2006/relationships/worksheet"/><Relationship Id="rId40" Target="worksheets/sheet39.xml" Type="http://schemas.openxmlformats.org/officeDocument/2006/relationships/worksheet"/><Relationship Id="rId41" Target="worksheets/sheet40.xml" Type="http://schemas.openxmlformats.org/officeDocument/2006/relationships/worksheet"/><Relationship Id="rId42" Target="worksheets/sheet41.xml" Type="http://schemas.openxmlformats.org/officeDocument/2006/relationships/worksheet"/><Relationship Id="rId43" Target="worksheets/sheet42.xml" Type="http://schemas.openxmlformats.org/officeDocument/2006/relationships/worksheet"/><Relationship Id="rId44" Target="worksheets/sheet43.xml" Type="http://schemas.openxmlformats.org/officeDocument/2006/relationships/worksheet"/><Relationship Id="rId45" Target="worksheets/sheet44.xml" Type="http://schemas.openxmlformats.org/officeDocument/2006/relationships/worksheet"/><Relationship Id="rId46" Target="worksheets/sheet45.xml" Type="http://schemas.openxmlformats.org/officeDocument/2006/relationships/worksheet"/><Relationship Id="rId47" Target="worksheets/sheet46.xml" Type="http://schemas.openxmlformats.org/officeDocument/2006/relationships/worksheet"/><Relationship Id="rId48" Target="worksheets/sheet47.xml" Type="http://schemas.openxmlformats.org/officeDocument/2006/relationships/worksheet"/><Relationship Id="rId49" Target="worksheets/sheet48.xml" Type="http://schemas.openxmlformats.org/officeDocument/2006/relationships/worksheet"/><Relationship Id="rId5" Target="worksheets/sheet4.xml" Type="http://schemas.openxmlformats.org/officeDocument/2006/relationships/worksheet"/><Relationship Id="rId50" Target="worksheets/sheet49.xml" Type="http://schemas.openxmlformats.org/officeDocument/2006/relationships/worksheet"/><Relationship Id="rId51" Target="worksheets/sheet50.xml" Type="http://schemas.openxmlformats.org/officeDocument/2006/relationships/worksheet"/><Relationship Id="rId52" Target="worksheets/sheet51.xml" Type="http://schemas.openxmlformats.org/officeDocument/2006/relationships/worksheet"/><Relationship Id="rId53" Target="worksheets/sheet52.xml" Type="http://schemas.openxmlformats.org/officeDocument/2006/relationships/worksheet"/><Relationship Id="rId54" Target="worksheets/sheet53.xml" Type="http://schemas.openxmlformats.org/officeDocument/2006/relationships/worksheet"/><Relationship Id="rId55" Target="worksheets/sheet54.xml" Type="http://schemas.openxmlformats.org/officeDocument/2006/relationships/worksheet"/><Relationship Id="rId56" Target="worksheets/sheet55.xml" Type="http://schemas.openxmlformats.org/officeDocument/2006/relationships/worksheet"/><Relationship Id="rId57" Target="worksheets/sheet56.xml" Type="http://schemas.openxmlformats.org/officeDocument/2006/relationships/worksheet"/><Relationship Id="rId58" Target="worksheets/sheet57.xml" Type="http://schemas.openxmlformats.org/officeDocument/2006/relationships/worksheet"/><Relationship Id="rId59" Target="worksheets/sheet58.xml" Type="http://schemas.openxmlformats.org/officeDocument/2006/relationships/worksheet"/><Relationship Id="rId6" Target="worksheets/sheet5.xml" Type="http://schemas.openxmlformats.org/officeDocument/2006/relationships/worksheet"/><Relationship Id="rId60" Target="worksheets/sheet59.xml" Type="http://schemas.openxmlformats.org/officeDocument/2006/relationships/worksheet"/><Relationship Id="rId61" Target="worksheets/sheet60.xml" Type="http://schemas.openxmlformats.org/officeDocument/2006/relationships/worksheet"/><Relationship Id="rId62" Target="worksheets/sheet61.xml" Type="http://schemas.openxmlformats.org/officeDocument/2006/relationships/worksheet"/><Relationship Id="rId63" Target="worksheets/sheet62.xml" Type="http://schemas.openxmlformats.org/officeDocument/2006/relationships/worksheet"/><Relationship Id="rId64" Target="worksheets/sheet63.xml" Type="http://schemas.openxmlformats.org/officeDocument/2006/relationships/worksheet"/><Relationship Id="rId65" Target="worksheets/sheet64.xml" Type="http://schemas.openxmlformats.org/officeDocument/2006/relationships/worksheet"/><Relationship Id="rId66" Target="worksheets/sheet65.xml" Type="http://schemas.openxmlformats.org/officeDocument/2006/relationships/worksheet"/><Relationship Id="rId67" Target="worksheets/sheet66.xml" Type="http://schemas.openxmlformats.org/officeDocument/2006/relationships/worksheet"/><Relationship Id="rId68" Target="worksheets/sheet67.xml" Type="http://schemas.openxmlformats.org/officeDocument/2006/relationships/worksheet"/><Relationship Id="rId69" Target="worksheets/sheet68.xml" Type="http://schemas.openxmlformats.org/officeDocument/2006/relationships/worksheet"/><Relationship Id="rId7" Target="worksheets/sheet6.xml" Type="http://schemas.openxmlformats.org/officeDocument/2006/relationships/worksheet"/><Relationship Id="rId70" Target="worksheets/sheet69.xml" Type="http://schemas.openxmlformats.org/officeDocument/2006/relationships/worksheet"/><Relationship Id="rId71" Target="worksheets/sheet70.xml" Type="http://schemas.openxmlformats.org/officeDocument/2006/relationships/worksheet"/><Relationship Id="rId72" Target="sharedStrings.xml" Type="http://schemas.openxmlformats.org/officeDocument/2006/relationships/sharedStrings"/><Relationship Id="rId8" Target="worksheets/sheet7.xml" Type="http://schemas.openxmlformats.org/officeDocument/2006/relationships/worksheet"/><Relationship Id="rId9" Target="worksheets/sheet8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27" colorId="64" zoomScale="85" zoomScaleNormal="85" zoomScalePageLayoutView="100" workbookViewId="0">
      <selection pane="topLeft" activeCell="H8" activeCellId="0" sqref="H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19958.33</v>
      </c>
      <c r="C2" s="4" t="s">
        <v>2</v>
      </c>
      <c r="D2" s="5" t="n">
        <f aca="false">C9</f>
        <v>3991.666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23949.996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19958.33</v>
      </c>
      <c r="C9" s="14" t="n">
        <f aca="false">B9*0.2</f>
        <v>3991.666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19958.33</v>
      </c>
      <c r="C15" s="14" t="n">
        <f aca="false">SUM(C9:C13)</f>
        <v>3991.666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23949.996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19958.33</v>
      </c>
      <c r="B37" s="32"/>
      <c r="C37" s="41" t="s">
        <v>45</v>
      </c>
      <c r="D37" s="41"/>
      <c r="E37" s="32"/>
      <c r="F37" s="43" t="n">
        <f aca="false">A37-C37</f>
        <v>18958.33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3991.666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249.3055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250.6945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253.361166666667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253.361166666667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79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253.361166666667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0.072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13686.8418865263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131.25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253.361166666667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253.361166666667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253.361166666667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18958.33</v>
      </c>
      <c r="C90" s="32"/>
      <c r="D90" s="32"/>
      <c r="E90" s="23"/>
      <c r="F90" s="23"/>
      <c r="G90" s="23"/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23"/>
      <c r="G91" s="23"/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0.1475</v>
      </c>
      <c r="C92" s="32"/>
      <c r="D92" s="32"/>
      <c r="E92" s="23"/>
      <c r="F92" s="23"/>
      <c r="G92" s="23"/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0.0122916666666667</v>
      </c>
      <c r="C93" s="32"/>
      <c r="D93" s="32"/>
      <c r="E93" s="23"/>
      <c r="F93" s="23"/>
      <c r="G93" s="23"/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23"/>
      <c r="G94" s="23"/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6218.19813516518</v>
      </c>
      <c r="C95" s="32"/>
      <c r="D95" s="32"/>
      <c r="E95" s="23"/>
      <c r="F95" s="23"/>
      <c r="G95" s="23"/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10.2301677524304</v>
      </c>
      <c r="C96" s="32"/>
      <c r="D96" s="32"/>
      <c r="E96" s="23"/>
      <c r="F96" s="23"/>
      <c r="G96" s="23"/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12740.1318648348</v>
      </c>
      <c r="C97" s="32"/>
      <c r="D97" s="32"/>
      <c r="E97" s="23"/>
      <c r="F97" s="23"/>
      <c r="G97" s="23"/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1245.34926241148</v>
      </c>
      <c r="C98" s="32"/>
      <c r="D98" s="32"/>
      <c r="E98" s="23"/>
      <c r="F98" s="23"/>
      <c r="G98" s="23"/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13698.8418865263</v>
      </c>
      <c r="C99" s="32"/>
      <c r="D99" s="32"/>
      <c r="E99" s="23"/>
      <c r="F99" s="23"/>
      <c r="G99" s="23"/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13698.8418865263</v>
      </c>
      <c r="C101" s="32"/>
      <c r="D101" s="32"/>
      <c r="E101" s="23"/>
      <c r="F101" s="23"/>
      <c r="G101" s="23"/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23"/>
      <c r="G103" s="23"/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118</v>
      </c>
      <c r="B104" s="92" t="n">
        <f aca="false">B101/(B94)</f>
        <v>1245.34926241148</v>
      </c>
      <c r="C104" s="32"/>
      <c r="D104" s="32"/>
      <c r="E104" s="23"/>
      <c r="F104" s="23"/>
      <c r="G104" s="23"/>
      <c r="H104" s="33"/>
      <c r="J104" s="91" t="s">
        <v>118</v>
      </c>
      <c r="K104" s="92" t="e">
        <f aca="false">K101/(K94)</f>
        <v>#VALUE!</v>
      </c>
      <c r="L104" s="32"/>
      <c r="M104" s="32"/>
      <c r="N104" s="23"/>
      <c r="O104" s="23"/>
      <c r="P104" s="23"/>
      <c r="Q104" s="33"/>
      <c r="S104" s="91" t="s">
        <v>118</v>
      </c>
      <c r="T104" s="92" t="e">
        <f aca="false">T101/(T94)</f>
        <v>#VALUE!</v>
      </c>
      <c r="U104" s="32"/>
      <c r="V104" s="32"/>
      <c r="W104" s="23"/>
      <c r="X104" s="23"/>
      <c r="Y104" s="23"/>
      <c r="Z104" s="33"/>
      <c r="AB104" s="91" t="s">
        <v>118</v>
      </c>
      <c r="AC104" s="92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119</v>
      </c>
      <c r="B105" s="94" t="n">
        <f aca="false">B103+B104</f>
        <v>1245.34926241148</v>
      </c>
      <c r="C105" s="32"/>
      <c r="D105" s="32"/>
      <c r="E105" s="23" t="s">
        <v>19</v>
      </c>
      <c r="F105" s="23"/>
      <c r="G105" s="23"/>
      <c r="H105" s="33"/>
      <c r="J105" s="93" t="s">
        <v>119</v>
      </c>
      <c r="K105" s="94" t="e">
        <f aca="false">(K103+K104)</f>
        <v>#VALUE!</v>
      </c>
      <c r="L105" s="32"/>
      <c r="M105" s="32"/>
      <c r="N105" s="23"/>
      <c r="O105" s="23"/>
      <c r="P105" s="23"/>
      <c r="Q105" s="33"/>
      <c r="S105" s="93" t="s">
        <v>119</v>
      </c>
      <c r="T105" s="94" t="e">
        <f aca="false">T103+T104</f>
        <v>#VALUE!</v>
      </c>
      <c r="U105" s="32"/>
      <c r="V105" s="32"/>
      <c r="W105" s="23"/>
      <c r="X105" s="23"/>
      <c r="Y105" s="23"/>
      <c r="Z105" s="33"/>
      <c r="AB105" s="93" t="s">
        <v>119</v>
      </c>
      <c r="AC105" s="94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120</v>
      </c>
      <c r="B109" s="96"/>
      <c r="C109" s="96"/>
      <c r="D109" s="96"/>
      <c r="E109" s="96"/>
      <c r="F109" s="96"/>
      <c r="G109" s="96"/>
      <c r="H109" s="96"/>
      <c r="J109" s="24" t="s">
        <v>121</v>
      </c>
      <c r="K109" s="24"/>
      <c r="L109" s="24"/>
      <c r="M109" s="24"/>
      <c r="N109" s="24"/>
      <c r="O109" s="24"/>
      <c r="P109" s="24"/>
      <c r="Q109" s="24"/>
      <c r="S109" s="96" t="s">
        <v>122</v>
      </c>
      <c r="T109" s="96"/>
      <c r="U109" s="96"/>
      <c r="V109" s="96"/>
      <c r="W109" s="96"/>
      <c r="X109" s="96"/>
      <c r="Y109" s="96"/>
      <c r="Z109" s="96"/>
      <c r="AB109" s="96" t="s">
        <v>123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99" t="s">
        <v>128</v>
      </c>
      <c r="C114" s="99"/>
      <c r="D114" s="99"/>
      <c r="E114" s="100" t="s">
        <v>19</v>
      </c>
      <c r="F114" s="100"/>
      <c r="G114" s="100"/>
      <c r="H114" s="98"/>
      <c r="J114" s="36" t="s">
        <v>127</v>
      </c>
      <c r="K114" s="101" t="s">
        <v>128</v>
      </c>
      <c r="L114" s="101"/>
      <c r="M114" s="101"/>
      <c r="N114" s="100" t="s">
        <v>18</v>
      </c>
      <c r="O114" s="100"/>
      <c r="P114" s="100"/>
      <c r="Q114" s="98"/>
      <c r="S114" s="36" t="s">
        <v>127</v>
      </c>
      <c r="T114" s="99" t="s">
        <v>128</v>
      </c>
      <c r="U114" s="99"/>
      <c r="V114" s="99"/>
      <c r="W114" s="100" t="s">
        <v>18</v>
      </c>
      <c r="X114" s="100"/>
      <c r="Y114" s="100"/>
      <c r="Z114" s="98"/>
      <c r="AB114" s="36" t="s">
        <v>127</v>
      </c>
      <c r="AC114" s="99" t="s">
        <v>128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98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98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98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132</v>
      </c>
      <c r="C117" s="103"/>
      <c r="D117" s="103"/>
      <c r="E117" s="104" t="n">
        <f aca="false">B92</f>
        <v>0.1475</v>
      </c>
      <c r="F117" s="104"/>
      <c r="G117" s="104"/>
      <c r="H117" s="47"/>
      <c r="J117" s="102" t="n">
        <v>0.3</v>
      </c>
      <c r="K117" s="103" t="s">
        <v>132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133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133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98"/>
      <c r="J122" s="106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98"/>
      <c r="S122" s="106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98"/>
      <c r="AB122" s="106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141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109"/>
      <c r="C127" s="109"/>
      <c r="D127" s="109"/>
      <c r="E127" s="109"/>
      <c r="F127" s="109"/>
      <c r="G127" s="109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143</v>
      </c>
      <c r="C128" s="110"/>
      <c r="D128" s="110" t="s">
        <v>144</v>
      </c>
      <c r="E128" s="110"/>
      <c r="F128" s="110" t="s">
        <v>145</v>
      </c>
      <c r="G128" s="110"/>
      <c r="H128" s="111" t="s">
        <v>146</v>
      </c>
      <c r="J128" s="78"/>
      <c r="K128" s="110" t="s">
        <v>143</v>
      </c>
      <c r="L128" s="110"/>
      <c r="M128" s="110" t="s">
        <v>144</v>
      </c>
      <c r="N128" s="110"/>
      <c r="O128" s="110" t="s">
        <v>145</v>
      </c>
      <c r="P128" s="110"/>
      <c r="Q128" s="111" t="s">
        <v>146</v>
      </c>
      <c r="S128" s="78"/>
      <c r="T128" s="110" t="s">
        <v>143</v>
      </c>
      <c r="U128" s="110"/>
      <c r="V128" s="110" t="s">
        <v>144</v>
      </c>
      <c r="W128" s="110"/>
      <c r="X128" s="110" t="s">
        <v>145</v>
      </c>
      <c r="Y128" s="110"/>
      <c r="Z128" s="111" t="s">
        <v>146</v>
      </c>
      <c r="AB128" s="78"/>
      <c r="AC128" s="110" t="s">
        <v>143</v>
      </c>
      <c r="AD128" s="110"/>
      <c r="AE128" s="110" t="s">
        <v>144</v>
      </c>
      <c r="AF128" s="110"/>
      <c r="AG128" s="110" t="s">
        <v>145</v>
      </c>
      <c r="AH128" s="110"/>
      <c r="AI128" s="111" t="s">
        <v>146</v>
      </c>
    </row>
    <row r="129" customFormat="false" ht="19.7" hidden="false" customHeight="false" outlineLevel="0" collapsed="false">
      <c r="A129" s="80"/>
      <c r="B129" s="112" t="s">
        <v>147</v>
      </c>
      <c r="C129" s="113" t="s">
        <v>148</v>
      </c>
      <c r="D129" s="112" t="s">
        <v>147</v>
      </c>
      <c r="E129" s="114" t="s">
        <v>148</v>
      </c>
      <c r="F129" s="112" t="s">
        <v>147</v>
      </c>
      <c r="G129" s="114" t="s">
        <v>148</v>
      </c>
      <c r="H129" s="115"/>
      <c r="J129" s="80"/>
      <c r="K129" s="112" t="s">
        <v>147</v>
      </c>
      <c r="L129" s="113" t="s">
        <v>148</v>
      </c>
      <c r="M129" s="112" t="s">
        <v>147</v>
      </c>
      <c r="N129" s="114" t="s">
        <v>148</v>
      </c>
      <c r="O129" s="112" t="s">
        <v>147</v>
      </c>
      <c r="P129" s="114" t="s">
        <v>148</v>
      </c>
      <c r="Q129" s="115"/>
      <c r="S129" s="80"/>
      <c r="T129" s="112" t="s">
        <v>147</v>
      </c>
      <c r="U129" s="113" t="s">
        <v>148</v>
      </c>
      <c r="V129" s="112" t="s">
        <v>147</v>
      </c>
      <c r="W129" s="114" t="s">
        <v>148</v>
      </c>
      <c r="X129" s="112" t="s">
        <v>147</v>
      </c>
      <c r="Y129" s="114" t="s">
        <v>148</v>
      </c>
      <c r="Z129" s="115"/>
      <c r="AB129" s="80"/>
      <c r="AC129" s="112" t="s">
        <v>147</v>
      </c>
      <c r="AD129" s="113" t="s">
        <v>148</v>
      </c>
      <c r="AE129" s="112" t="s">
        <v>147</v>
      </c>
      <c r="AF129" s="114" t="s">
        <v>148</v>
      </c>
      <c r="AG129" s="112" t="s">
        <v>147</v>
      </c>
      <c r="AH129" s="114" t="s">
        <v>148</v>
      </c>
      <c r="AI129" s="115"/>
    </row>
    <row r="130" customFormat="false" ht="17.35" hidden="false" customHeight="false" outlineLevel="0" collapsed="false">
      <c r="A130" s="25" t="s">
        <v>149</v>
      </c>
      <c r="B130" s="116" t="n">
        <f aca="false">E19</f>
        <v>23949.996</v>
      </c>
      <c r="C130" s="117" t="n">
        <v>21875</v>
      </c>
      <c r="D130" s="116" t="n">
        <f aca="false">D12</f>
        <v>0</v>
      </c>
      <c r="E130" s="117" t="n">
        <f aca="false">D130</f>
        <v>0</v>
      </c>
      <c r="F130" s="116" t="n">
        <v>0</v>
      </c>
      <c r="G130" s="117" t="n">
        <f aca="false">F130</f>
        <v>0</v>
      </c>
      <c r="H130" s="118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18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18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19" t="n">
        <v>0</v>
      </c>
      <c r="C131" s="120" t="n">
        <f aca="false">B131</f>
        <v>0</v>
      </c>
      <c r="D131" s="119" t="n">
        <v>0</v>
      </c>
      <c r="E131" s="120" t="n">
        <f aca="false">D131</f>
        <v>0</v>
      </c>
      <c r="F131" s="119" t="n">
        <v>0</v>
      </c>
      <c r="G131" s="121" t="n">
        <f aca="false">F131</f>
        <v>0</v>
      </c>
      <c r="H131" s="122"/>
      <c r="J131" s="31" t="s">
        <v>150</v>
      </c>
      <c r="K131" s="123" t="n">
        <f aca="false">B4</f>
        <v>23949.996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str">
        <f aca="false">F4</f>
        <v> </v>
      </c>
      <c r="P131" s="124" t="str">
        <f aca="false">O131</f>
        <v> </v>
      </c>
      <c r="Q131" s="125"/>
      <c r="S131" s="31" t="s">
        <v>150</v>
      </c>
      <c r="T131" s="123" t="n">
        <f aca="false">B4</f>
        <v>23949.996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str">
        <f aca="false">F4</f>
        <v> </v>
      </c>
      <c r="Y131" s="124" t="str">
        <f aca="false">X131</f>
        <v> </v>
      </c>
      <c r="Z131" s="125"/>
      <c r="AB131" s="31" t="s">
        <v>150</v>
      </c>
      <c r="AC131" s="123" t="n">
        <f aca="false">B4</f>
        <v>23949.996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str">
        <f aca="false">F4</f>
        <v> </v>
      </c>
      <c r="AH131" s="124" t="str">
        <f aca="false">AG131</f>
        <v> </v>
      </c>
      <c r="AI131" s="125"/>
    </row>
    <row r="132" customFormat="false" ht="17.35" hidden="false" customHeight="false" outlineLevel="0" collapsed="false">
      <c r="A132" s="31" t="s">
        <v>151</v>
      </c>
      <c r="B132" s="126" t="n">
        <v>0</v>
      </c>
      <c r="C132" s="117" t="n">
        <f aca="false">B132</f>
        <v>0</v>
      </c>
      <c r="D132" s="126" t="n">
        <v>0</v>
      </c>
      <c r="E132" s="117" t="n">
        <f aca="false">D132</f>
        <v>0</v>
      </c>
      <c r="F132" s="126" t="n">
        <v>0</v>
      </c>
      <c r="G132" s="117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26" t="n">
        <f aca="false">(B130*B131)+B132</f>
        <v>0</v>
      </c>
      <c r="C133" s="127" t="n">
        <f aca="false">(C130*C131/100)+C132</f>
        <v>0</v>
      </c>
      <c r="D133" s="126" t="n">
        <f aca="false">(D130*D131)+D132</f>
        <v>0</v>
      </c>
      <c r="E133" s="127" t="n">
        <f aca="false">(E130*E131/100)+E132</f>
        <v>0</v>
      </c>
      <c r="F133" s="126" t="n">
        <f aca="false">(F130*F131)+F132</f>
        <v>0</v>
      </c>
      <c r="G133" s="1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28" t="n">
        <f aca="false">B130-B133</f>
        <v>23949.996</v>
      </c>
      <c r="C134" s="129" t="n">
        <f aca="false">C130-C133</f>
        <v>21875</v>
      </c>
      <c r="D134" s="128" t="n">
        <f aca="false">D130-D133</f>
        <v>0</v>
      </c>
      <c r="E134" s="129" t="n">
        <f aca="false">E130-E133</f>
        <v>0</v>
      </c>
      <c r="F134" s="128" t="n">
        <f aca="false">F130-F133</f>
        <v>0</v>
      </c>
      <c r="G134" s="129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130"/>
      <c r="C135" s="130"/>
      <c r="D135" s="130"/>
      <c r="E135" s="130"/>
      <c r="F135" s="130"/>
      <c r="G135" s="130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2"/>
      <c r="C136" s="132"/>
      <c r="D136" s="132"/>
      <c r="E136" s="132"/>
      <c r="F136" s="132"/>
      <c r="G136" s="133" t="s">
        <v>147</v>
      </c>
      <c r="H136" s="134" t="s">
        <v>148</v>
      </c>
      <c r="J136" s="131"/>
      <c r="K136" s="135"/>
      <c r="L136" s="135"/>
      <c r="M136" s="135"/>
      <c r="N136" s="135"/>
      <c r="O136" s="135"/>
      <c r="P136" s="136" t="s">
        <v>147</v>
      </c>
      <c r="Q136" s="134" t="s">
        <v>148</v>
      </c>
      <c r="S136" s="131"/>
      <c r="T136" s="135"/>
      <c r="U136" s="135"/>
      <c r="V136" s="135"/>
      <c r="W136" s="135"/>
      <c r="X136" s="135"/>
      <c r="Y136" s="136" t="s">
        <v>147</v>
      </c>
      <c r="Z136" s="134" t="s">
        <v>148</v>
      </c>
      <c r="AB136" s="131"/>
      <c r="AC136" s="135"/>
      <c r="AD136" s="135"/>
      <c r="AE136" s="135"/>
      <c r="AF136" s="135"/>
      <c r="AG136" s="135"/>
      <c r="AH136" s="136" t="s">
        <v>147</v>
      </c>
      <c r="AI136" s="134" t="s">
        <v>148</v>
      </c>
    </row>
    <row r="137" customFormat="false" ht="17.35" hidden="false" customHeight="false" outlineLevel="0" collapsed="false">
      <c r="A137" s="137" t="s">
        <v>154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154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154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154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130"/>
      <c r="C138" s="130"/>
      <c r="D138" s="130"/>
      <c r="E138" s="130"/>
      <c r="F138" s="130"/>
      <c r="G138" s="141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155</v>
      </c>
      <c r="B139" s="141" t="s">
        <v>156</v>
      </c>
      <c r="C139" s="141"/>
      <c r="D139" s="141" t="s">
        <v>157</v>
      </c>
      <c r="E139" s="141"/>
      <c r="F139" s="141" t="s">
        <v>151</v>
      </c>
      <c r="G139" s="141"/>
      <c r="H139" s="142" t="s">
        <v>148</v>
      </c>
      <c r="J139" s="144" t="s">
        <v>155</v>
      </c>
      <c r="K139" s="145" t="s">
        <v>156</v>
      </c>
      <c r="L139" s="145"/>
      <c r="M139" s="141" t="s">
        <v>157</v>
      </c>
      <c r="N139" s="141"/>
      <c r="O139" s="141" t="s">
        <v>151</v>
      </c>
      <c r="P139" s="141"/>
      <c r="Q139" s="142" t="s">
        <v>148</v>
      </c>
      <c r="S139" s="144" t="s">
        <v>155</v>
      </c>
      <c r="T139" s="141" t="s">
        <v>156</v>
      </c>
      <c r="U139" s="141"/>
      <c r="V139" s="141" t="s">
        <v>157</v>
      </c>
      <c r="W139" s="141"/>
      <c r="X139" s="141" t="s">
        <v>151</v>
      </c>
      <c r="Y139" s="141"/>
      <c r="Z139" s="142" t="s">
        <v>148</v>
      </c>
      <c r="AB139" s="144" t="s">
        <v>155</v>
      </c>
      <c r="AC139" s="141" t="s">
        <v>156</v>
      </c>
      <c r="AD139" s="141"/>
      <c r="AE139" s="141" t="s">
        <v>157</v>
      </c>
      <c r="AF139" s="141"/>
      <c r="AG139" s="141" t="s">
        <v>151</v>
      </c>
      <c r="AH139" s="141"/>
      <c r="AI139" s="142" t="s">
        <v>148</v>
      </c>
    </row>
    <row r="140" customFormat="false" ht="17.35" hidden="false" customHeight="false" outlineLevel="0" collapsed="false">
      <c r="A140" s="31" t="s">
        <v>158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158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158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158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159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159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159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160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160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160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130"/>
      <c r="C143" s="130"/>
      <c r="D143" s="130"/>
      <c r="E143" s="130"/>
      <c r="F143" s="130"/>
      <c r="G143" s="141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161</v>
      </c>
      <c r="B144" s="149"/>
      <c r="C144" s="149"/>
      <c r="D144" s="149"/>
      <c r="E144" s="149"/>
      <c r="F144" s="149"/>
      <c r="G144" s="133" t="n">
        <f aca="false">E21</f>
        <v>19958.33</v>
      </c>
      <c r="H144" s="150" t="n">
        <f aca="false">C134+E134+G134+H137</f>
        <v>21875</v>
      </c>
      <c r="J144" s="149" t="s">
        <v>161</v>
      </c>
      <c r="K144" s="149"/>
      <c r="L144" s="149"/>
      <c r="M144" s="149"/>
      <c r="N144" s="149"/>
      <c r="O144" s="149"/>
      <c r="P144" s="136" t="n">
        <f aca="false">H9</f>
        <v>0</v>
      </c>
      <c r="Q144" s="150" t="e">
        <f aca="false">L134+N134+P134+Q137</f>
        <v>#VALUE!</v>
      </c>
      <c r="S144" s="149" t="s">
        <v>161</v>
      </c>
      <c r="T144" s="149"/>
      <c r="U144" s="149"/>
      <c r="V144" s="149"/>
      <c r="W144" s="149"/>
      <c r="X144" s="149"/>
      <c r="Y144" s="136" t="n">
        <f aca="false">H9</f>
        <v>0</v>
      </c>
      <c r="Z144" s="150" t="e">
        <f aca="false">U134+W134+Y134+Z137</f>
        <v>#VALUE!</v>
      </c>
      <c r="AB144" s="149" t="s">
        <v>161</v>
      </c>
      <c r="AC144" s="149"/>
      <c r="AD144" s="149"/>
      <c r="AE144" s="149"/>
      <c r="AF144" s="149"/>
      <c r="AG144" s="149"/>
      <c r="AH144" s="136" t="n">
        <f aca="false">H9</f>
        <v>0</v>
      </c>
      <c r="AI144" s="150" t="e">
        <f aca="false">AD134+AF134+AH134+AI137</f>
        <v>#VALUE!</v>
      </c>
    </row>
    <row r="145" customFormat="false" ht="17.35" hidden="false" customHeight="false" outlineLevel="0" collapsed="false">
      <c r="A145" s="151" t="s">
        <v>162</v>
      </c>
      <c r="B145" s="151"/>
      <c r="C145" s="151"/>
      <c r="D145" s="151"/>
      <c r="E145" s="151"/>
      <c r="F145" s="151"/>
      <c r="G145" s="152" t="n">
        <f aca="false">H19</f>
        <v>0</v>
      </c>
      <c r="H145" s="33" t="n">
        <f aca="false">G145</f>
        <v>0</v>
      </c>
      <c r="J145" s="151" t="s">
        <v>162</v>
      </c>
      <c r="K145" s="151"/>
      <c r="L145" s="151"/>
      <c r="M145" s="151"/>
      <c r="N145" s="151"/>
      <c r="O145" s="151"/>
      <c r="P145" s="153" t="n">
        <f aca="false">H10</f>
        <v>0</v>
      </c>
      <c r="Q145" s="33" t="n">
        <f aca="false">P145</f>
        <v>0</v>
      </c>
      <c r="S145" s="151" t="s">
        <v>162</v>
      </c>
      <c r="T145" s="151"/>
      <c r="U145" s="151"/>
      <c r="V145" s="151"/>
      <c r="W145" s="151"/>
      <c r="X145" s="151"/>
      <c r="Y145" s="153" t="n">
        <f aca="false">H10</f>
        <v>0</v>
      </c>
      <c r="Z145" s="33" t="n">
        <f aca="false">Y145</f>
        <v>0</v>
      </c>
      <c r="AB145" s="151" t="s">
        <v>162</v>
      </c>
      <c r="AC145" s="151"/>
      <c r="AD145" s="151"/>
      <c r="AE145" s="151"/>
      <c r="AF145" s="151"/>
      <c r="AG145" s="151"/>
      <c r="AH145" s="153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1" t="s">
        <v>163</v>
      </c>
      <c r="B146" s="151"/>
      <c r="C146" s="151"/>
      <c r="D146" s="151"/>
      <c r="E146" s="151"/>
      <c r="F146" s="151"/>
      <c r="G146" s="33" t="n">
        <f aca="false">(G144+G145)*20%</f>
        <v>3991.666</v>
      </c>
      <c r="H146" s="33" t="n">
        <f aca="false">(H144+H145)*20%</f>
        <v>4375</v>
      </c>
      <c r="J146" s="151" t="s">
        <v>163</v>
      </c>
      <c r="K146" s="151"/>
      <c r="L146" s="151"/>
      <c r="M146" s="151"/>
      <c r="N146" s="151"/>
      <c r="O146" s="151"/>
      <c r="P146" s="153" t="n">
        <f aca="false">H11</f>
        <v>0</v>
      </c>
      <c r="Q146" s="33" t="e">
        <f aca="false">(Q144+Q145)*20%</f>
        <v>#VALUE!</v>
      </c>
      <c r="S146" s="151" t="s">
        <v>163</v>
      </c>
      <c r="T146" s="151"/>
      <c r="U146" s="151"/>
      <c r="V146" s="151"/>
      <c r="W146" s="151"/>
      <c r="X146" s="151"/>
      <c r="Y146" s="153" t="n">
        <f aca="false">H11</f>
        <v>0</v>
      </c>
      <c r="Z146" s="33" t="e">
        <f aca="false">(Z144+Z145)*20%</f>
        <v>#VALUE!</v>
      </c>
      <c r="AB146" s="151" t="s">
        <v>163</v>
      </c>
      <c r="AC146" s="151"/>
      <c r="AD146" s="151"/>
      <c r="AE146" s="151"/>
      <c r="AF146" s="151"/>
      <c r="AG146" s="151"/>
      <c r="AH146" s="153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1" t="s">
        <v>164</v>
      </c>
      <c r="B147" s="151"/>
      <c r="C147" s="151"/>
      <c r="D147" s="151"/>
      <c r="E147" s="151"/>
      <c r="F147" s="151"/>
      <c r="G147" s="152" t="n">
        <f aca="false">H21</f>
        <v>0</v>
      </c>
      <c r="H147" s="33" t="n">
        <v>0</v>
      </c>
      <c r="J147" s="151" t="s">
        <v>164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164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164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165</v>
      </c>
      <c r="B148" s="151"/>
      <c r="C148" s="151"/>
      <c r="D148" s="151"/>
      <c r="E148" s="151"/>
      <c r="F148" s="151"/>
      <c r="G148" s="152" t="n">
        <f aca="false">H22</f>
        <v>0</v>
      </c>
      <c r="H148" s="33" t="n">
        <f aca="false">G148</f>
        <v>0</v>
      </c>
      <c r="J148" s="151" t="s">
        <v>165</v>
      </c>
      <c r="K148" s="151"/>
      <c r="L148" s="151"/>
      <c r="M148" s="151"/>
      <c r="N148" s="151"/>
      <c r="O148" s="151"/>
      <c r="P148" s="153" t="n">
        <f aca="false">H13</f>
        <v>0</v>
      </c>
      <c r="Q148" s="33" t="n">
        <f aca="false">P148</f>
        <v>0</v>
      </c>
      <c r="S148" s="151" t="s">
        <v>165</v>
      </c>
      <c r="T148" s="151"/>
      <c r="U148" s="151"/>
      <c r="V148" s="151"/>
      <c r="W148" s="151"/>
      <c r="X148" s="151"/>
      <c r="Y148" s="153" t="n">
        <f aca="false">H13</f>
        <v>0</v>
      </c>
      <c r="Z148" s="33" t="n">
        <f aca="false">Y148</f>
        <v>0</v>
      </c>
      <c r="AB148" s="151" t="s">
        <v>165</v>
      </c>
      <c r="AC148" s="151"/>
      <c r="AD148" s="151"/>
      <c r="AE148" s="151"/>
      <c r="AF148" s="151"/>
      <c r="AG148" s="151"/>
      <c r="AH148" s="153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1" t="s">
        <v>166</v>
      </c>
      <c r="B149" s="151"/>
      <c r="C149" s="151"/>
      <c r="D149" s="151"/>
      <c r="E149" s="151"/>
      <c r="F149" s="151"/>
      <c r="G149" s="152" t="n">
        <f aca="false">H23</f>
        <v>0</v>
      </c>
      <c r="H149" s="33" t="n">
        <v>0</v>
      </c>
      <c r="J149" s="151" t="s">
        <v>166</v>
      </c>
      <c r="K149" s="151"/>
      <c r="L149" s="151"/>
      <c r="M149" s="151"/>
      <c r="N149" s="151"/>
      <c r="O149" s="151"/>
      <c r="P149" s="153" t="n">
        <f aca="false">H14</f>
        <v>0</v>
      </c>
      <c r="Q149" s="33" t="n">
        <v>55</v>
      </c>
      <c r="S149" s="151" t="s">
        <v>166</v>
      </c>
      <c r="T149" s="151"/>
      <c r="U149" s="151"/>
      <c r="V149" s="151"/>
      <c r="W149" s="151"/>
      <c r="X149" s="151"/>
      <c r="Y149" s="153" t="n">
        <f aca="false">H14</f>
        <v>0</v>
      </c>
      <c r="Z149" s="33" t="n">
        <v>55</v>
      </c>
      <c r="AB149" s="151" t="s">
        <v>166</v>
      </c>
      <c r="AC149" s="151"/>
      <c r="AD149" s="151"/>
      <c r="AE149" s="151"/>
      <c r="AF149" s="151"/>
      <c r="AG149" s="151"/>
      <c r="AH149" s="153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1" t="s">
        <v>167</v>
      </c>
      <c r="B150" s="151"/>
      <c r="C150" s="151"/>
      <c r="D150" s="151"/>
      <c r="E150" s="151"/>
      <c r="F150" s="151"/>
      <c r="G150" s="154" t="n">
        <f aca="false">(G144+G145+G148+G149+G146)-G147</f>
        <v>23949.996</v>
      </c>
      <c r="H150" s="154" t="n">
        <f aca="false">(H144+H145+H148+H149+H146)-H147</f>
        <v>26250</v>
      </c>
      <c r="J150" s="151" t="s">
        <v>167</v>
      </c>
      <c r="K150" s="151"/>
      <c r="L150" s="151"/>
      <c r="M150" s="151"/>
      <c r="N150" s="151"/>
      <c r="O150" s="151"/>
      <c r="P150" s="155" t="n">
        <f aca="false">H15</f>
        <v>0</v>
      </c>
      <c r="Q150" s="154" t="e">
        <f aca="false">(Q144+Q145+Q148+Q149+Q146)-Q147</f>
        <v>#VALUE!</v>
      </c>
      <c r="S150" s="151" t="s">
        <v>167</v>
      </c>
      <c r="T150" s="151"/>
      <c r="U150" s="151"/>
      <c r="V150" s="151"/>
      <c r="W150" s="151"/>
      <c r="X150" s="151"/>
      <c r="Y150" s="155" t="n">
        <f aca="false">H15</f>
        <v>0</v>
      </c>
      <c r="Z150" s="154" t="e">
        <f aca="false">(Z144+Z145+Z148+Z149+Z146)-Z147</f>
        <v>#VALUE!</v>
      </c>
      <c r="AB150" s="151" t="s">
        <v>167</v>
      </c>
      <c r="AC150" s="151"/>
      <c r="AD150" s="151"/>
      <c r="AE150" s="151"/>
      <c r="AF150" s="151"/>
      <c r="AG150" s="151"/>
      <c r="AH150" s="155" t="n">
        <f aca="false">H15</f>
        <v>0</v>
      </c>
      <c r="AI150" s="154" t="e">
        <f aca="false">(AI144+AI145+AI148+AI149+AI146)-AI147</f>
        <v>#VALUE!</v>
      </c>
    </row>
    <row r="151" customFormat="false" ht="17.35" hidden="false" customHeight="false" outlineLevel="0" collapsed="false">
      <c r="A151" s="151" t="s">
        <v>168</v>
      </c>
      <c r="B151" s="151"/>
      <c r="C151" s="151"/>
      <c r="D151" s="151"/>
      <c r="E151" s="151"/>
      <c r="F151" s="151"/>
      <c r="G151" s="40" t="n">
        <f aca="false">F151</f>
        <v>0</v>
      </c>
      <c r="H151" s="40" t="n">
        <f aca="false">G151</f>
        <v>0</v>
      </c>
      <c r="J151" s="151" t="s">
        <v>168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168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168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169</v>
      </c>
      <c r="B152" s="107"/>
      <c r="C152" s="107"/>
      <c r="D152" s="107"/>
      <c r="E152" s="107" t="n">
        <v>0</v>
      </c>
      <c r="F152" s="107"/>
      <c r="G152" s="33" t="n">
        <v>0</v>
      </c>
      <c r="H152" s="33"/>
      <c r="J152" s="156" t="s">
        <v>169</v>
      </c>
      <c r="K152" s="156"/>
      <c r="L152" s="156"/>
      <c r="M152" s="156"/>
      <c r="N152" s="156"/>
      <c r="O152" s="156"/>
      <c r="P152" s="38"/>
      <c r="Q152" s="33"/>
      <c r="S152" s="107" t="s">
        <v>169</v>
      </c>
      <c r="T152" s="107"/>
      <c r="U152" s="107"/>
      <c r="V152" s="107"/>
      <c r="W152" s="107"/>
      <c r="X152" s="107"/>
      <c r="Y152" s="38"/>
      <c r="Z152" s="33"/>
      <c r="AB152" s="107" t="s">
        <v>169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n">
        <v>0</v>
      </c>
      <c r="C153" s="158"/>
      <c r="D153" s="158"/>
      <c r="E153" s="158"/>
      <c r="F153" s="158"/>
      <c r="G153" s="40" t="n">
        <v>0</v>
      </c>
      <c r="H153" s="40" t="n">
        <v>0</v>
      </c>
      <c r="J153" s="157" t="s">
        <v>13</v>
      </c>
      <c r="K153" s="158" t="s">
        <v>170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170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170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170</v>
      </c>
      <c r="C154" s="158"/>
      <c r="D154" s="158"/>
      <c r="E154" s="158"/>
      <c r="F154" s="158"/>
      <c r="G154" s="40" t="n"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170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170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170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170</v>
      </c>
      <c r="C155" s="160"/>
      <c r="D155" s="160"/>
      <c r="E155" s="160"/>
      <c r="F155" s="160"/>
      <c r="G155" s="40" t="n"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170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170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170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171</v>
      </c>
      <c r="B156" s="151"/>
      <c r="C156" s="151"/>
      <c r="D156" s="151"/>
      <c r="E156" s="151"/>
      <c r="F156" s="151"/>
      <c r="G156" s="161" t="n">
        <f aca="false">G150-((G153*1.2)+(G154*1.2)+(G155*1.2)+(G151*1.2))</f>
        <v>23949.996</v>
      </c>
      <c r="H156" s="161" t="n">
        <f aca="false">H150-((H153*1.2)+(H154*1.2)+(H155*1.2)+(H151*1.2))</f>
        <v>26250</v>
      </c>
      <c r="J156" s="162" t="s">
        <v>171</v>
      </c>
      <c r="K156" s="162"/>
      <c r="L156" s="162"/>
      <c r="M156" s="162"/>
      <c r="N156" s="162"/>
      <c r="O156" s="162"/>
      <c r="P156" s="155" t="n">
        <f aca="false">P150-((P153*1.2)+(P154*1.2)+(P155*1.2)+(P151*1.2))</f>
        <v>0</v>
      </c>
      <c r="Q156" s="161" t="e">
        <f aca="false">Q150-((Q153*1.2)+(Q154*1.2)+(Q155*1.2)+(Q151*1.2))</f>
        <v>#VALUE!</v>
      </c>
      <c r="S156" s="151" t="s">
        <v>171</v>
      </c>
      <c r="T156" s="151"/>
      <c r="U156" s="151"/>
      <c r="V156" s="151"/>
      <c r="W156" s="151"/>
      <c r="X156" s="151"/>
      <c r="Y156" s="155" t="n">
        <f aca="false">Y150-((Y153*1.2)+(Y154*1.2)+(Y155*1.2)+(Y151*1.2))</f>
        <v>0</v>
      </c>
      <c r="Z156" s="161" t="e">
        <f aca="false">Z150-((Z153*1.2)+(Z154*1.2)+(Z155*1.2)+(Z151*1.2))</f>
        <v>#VALUE!</v>
      </c>
      <c r="AB156" s="151" t="s">
        <v>171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0</v>
      </c>
      <c r="AI156" s="161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1" t="s">
        <v>172</v>
      </c>
      <c r="B157" s="151"/>
      <c r="C157" s="151"/>
      <c r="D157" s="151"/>
      <c r="E157" s="151"/>
      <c r="F157" s="151"/>
      <c r="G157" s="152"/>
      <c r="H157" s="40" t="n">
        <f aca="false">((H156-G156)-(H146-G146))+((I155-I154)*0.2)</f>
        <v>1916.67</v>
      </c>
      <c r="I157" s="1" t="n">
        <f aca="false">(H157-G90)/1.2</f>
        <v>1597.225</v>
      </c>
      <c r="J157" s="151" t="s">
        <v>172</v>
      </c>
      <c r="K157" s="151"/>
      <c r="L157" s="151"/>
      <c r="M157" s="151"/>
      <c r="N157" s="151"/>
      <c r="O157" s="151"/>
      <c r="P157" s="153"/>
      <c r="Q157" s="40" t="e">
        <f aca="false">Q156-P156</f>
        <v>#VALUE!</v>
      </c>
      <c r="S157" s="151" t="s">
        <v>172</v>
      </c>
      <c r="T157" s="151"/>
      <c r="U157" s="151"/>
      <c r="V157" s="151"/>
      <c r="W157" s="151"/>
      <c r="X157" s="151"/>
      <c r="Y157" s="153"/>
      <c r="Z157" s="40" t="e">
        <f aca="false">Z156-Y156</f>
        <v>#VALUE!</v>
      </c>
      <c r="AB157" s="151" t="s">
        <v>172</v>
      </c>
      <c r="AC157" s="151"/>
      <c r="AD157" s="151"/>
      <c r="AE157" s="151"/>
      <c r="AF157" s="151"/>
      <c r="AG157" s="151"/>
      <c r="AH157" s="153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174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174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174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175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175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175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176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176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176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177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177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177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178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178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178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179</v>
      </c>
      <c r="B167" s="32"/>
      <c r="C167" s="32"/>
      <c r="D167" s="23"/>
      <c r="E167" s="32"/>
      <c r="F167" s="23"/>
      <c r="G167" s="167" t="n">
        <f aca="false">H156-G163-G166</f>
        <v>26250</v>
      </c>
      <c r="H167" s="167"/>
      <c r="J167" s="166" t="s">
        <v>179</v>
      </c>
      <c r="K167" s="32"/>
      <c r="L167" s="32"/>
      <c r="M167" s="23"/>
      <c r="N167" s="32"/>
      <c r="O167" s="23"/>
      <c r="P167" s="167" t="e">
        <f aca="false">Q156-P163-P166</f>
        <v>#VALUE!</v>
      </c>
      <c r="Q167" s="167"/>
      <c r="S167" s="166" t="s">
        <v>179</v>
      </c>
      <c r="T167" s="32"/>
      <c r="U167" s="32"/>
      <c r="V167" s="23"/>
      <c r="W167" s="32"/>
      <c r="X167" s="23"/>
      <c r="Y167" s="167" t="e">
        <f aca="false">Z156-Y163-Y166</f>
        <v>#VALUE!</v>
      </c>
      <c r="Z167" s="167"/>
      <c r="AB167" s="166" t="s">
        <v>179</v>
      </c>
      <c r="AC167" s="32"/>
      <c r="AD167" s="32"/>
      <c r="AE167" s="23"/>
      <c r="AF167" s="32"/>
      <c r="AG167" s="23"/>
      <c r="AH167" s="167" t="e">
        <f aca="false">AI156-AH163-AH166</f>
        <v>#VALUE!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239.99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181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181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181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182</v>
      </c>
      <c r="B175" s="171" t="s">
        <v>183</v>
      </c>
      <c r="C175" s="171"/>
      <c r="D175" s="171"/>
      <c r="E175" s="171" t="s">
        <v>184</v>
      </c>
      <c r="F175" s="23"/>
      <c r="G175" s="23"/>
      <c r="H175" s="33"/>
      <c r="J175" s="170" t="s">
        <v>182</v>
      </c>
      <c r="K175" s="172" t="s">
        <v>183</v>
      </c>
      <c r="L175" s="172"/>
      <c r="M175" s="172"/>
      <c r="N175" s="172" t="s">
        <v>184</v>
      </c>
      <c r="O175" s="23"/>
      <c r="P175" s="23"/>
      <c r="Q175" s="33"/>
      <c r="S175" s="170" t="s">
        <v>182</v>
      </c>
      <c r="T175" s="172" t="s">
        <v>183</v>
      </c>
      <c r="U175" s="172"/>
      <c r="V175" s="172"/>
      <c r="W175" s="172" t="s">
        <v>184</v>
      </c>
      <c r="X175" s="23"/>
      <c r="Y175" s="23"/>
      <c r="Z175" s="33"/>
      <c r="AB175" s="170" t="s">
        <v>182</v>
      </c>
      <c r="AC175" s="172" t="s">
        <v>183</v>
      </c>
      <c r="AD175" s="172"/>
      <c r="AE175" s="172"/>
      <c r="AF175" s="172" t="s">
        <v>184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1245.34926241148</v>
      </c>
      <c r="B176" s="174" t="n">
        <f aca="false">B103</f>
        <v>0</v>
      </c>
      <c r="C176" s="171"/>
      <c r="D176" s="171"/>
      <c r="E176" s="174" t="n">
        <f aca="false">B105</f>
        <v>1245.34926241148</v>
      </c>
      <c r="F176" s="23"/>
      <c r="G176" s="23"/>
      <c r="H176" s="33"/>
      <c r="J176" s="173" t="e">
        <f aca="false">K104</f>
        <v>#VALUE!</v>
      </c>
      <c r="K176" s="175" t="n">
        <f aca="false">K103</f>
        <v>0</v>
      </c>
      <c r="L176" s="172"/>
      <c r="M176" s="172"/>
      <c r="N176" s="175" t="e">
        <f aca="false">K105</f>
        <v>#VALUE!</v>
      </c>
      <c r="O176" s="23"/>
      <c r="P176" s="23"/>
      <c r="Q176" s="33"/>
      <c r="S176" s="173" t="e">
        <f aca="false">T104</f>
        <v>#VALUE!</v>
      </c>
      <c r="T176" s="175" t="n">
        <f aca="false">T103</f>
        <v>0</v>
      </c>
      <c r="U176" s="172"/>
      <c r="V176" s="172"/>
      <c r="W176" s="175" t="e">
        <f aca="false">T105</f>
        <v>#VALUE!</v>
      </c>
      <c r="X176" s="23"/>
      <c r="Y176" s="23"/>
      <c r="Z176" s="33"/>
      <c r="AB176" s="173" t="e">
        <f aca="false">AC104</f>
        <v>#VALUE!</v>
      </c>
      <c r="AC176" s="175" t="n">
        <f aca="false">AC103</f>
        <v>0</v>
      </c>
      <c r="AD176" s="172"/>
      <c r="AE176" s="172"/>
      <c r="AF176" s="175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130" t="s">
        <v>83</v>
      </c>
      <c r="C178" s="130"/>
      <c r="D178" s="23"/>
      <c r="E178" s="130" t="s">
        <v>185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185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185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185</v>
      </c>
      <c r="AG178" s="23"/>
      <c r="AH178" s="23"/>
      <c r="AI178" s="33"/>
    </row>
    <row r="179" customFormat="false" ht="17.35" hidden="false" customHeight="false" outlineLevel="0" collapsed="false">
      <c r="A179" s="176" t="n">
        <f aca="false">B38</f>
        <v>0</v>
      </c>
      <c r="B179" s="177" t="n">
        <f aca="false">B39</f>
        <v>0</v>
      </c>
      <c r="C179" s="178"/>
      <c r="D179" s="23"/>
      <c r="E179" s="179" t="n">
        <v>6000</v>
      </c>
      <c r="F179" s="23"/>
      <c r="G179" s="23"/>
      <c r="H179" s="33"/>
      <c r="J179" s="176" t="str">
        <f aca="false">K29</f>
        <v>12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12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12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186</v>
      </c>
      <c r="B181" s="130" t="s">
        <v>187</v>
      </c>
      <c r="C181" s="130"/>
      <c r="D181" s="23"/>
      <c r="E181" s="130" t="s">
        <v>188</v>
      </c>
      <c r="F181" s="23"/>
      <c r="G181" s="23"/>
      <c r="H181" s="33"/>
      <c r="J181" s="31" t="s">
        <v>186</v>
      </c>
      <c r="K181" s="32" t="s">
        <v>187</v>
      </c>
      <c r="L181" s="32"/>
      <c r="M181" s="23"/>
      <c r="N181" s="32" t="s">
        <v>188</v>
      </c>
      <c r="O181" s="23"/>
      <c r="P181" s="23"/>
      <c r="Q181" s="33"/>
      <c r="S181" s="31" t="s">
        <v>186</v>
      </c>
      <c r="T181" s="32" t="s">
        <v>187</v>
      </c>
      <c r="U181" s="32"/>
      <c r="V181" s="23"/>
      <c r="W181" s="32" t="s">
        <v>188</v>
      </c>
      <c r="X181" s="23"/>
      <c r="Y181" s="23"/>
      <c r="Z181" s="33"/>
      <c r="AB181" s="31" t="s">
        <v>186</v>
      </c>
      <c r="AC181" s="32" t="s">
        <v>187</v>
      </c>
      <c r="AD181" s="32"/>
      <c r="AE181" s="23"/>
      <c r="AF181" s="32" t="s">
        <v>188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21875</v>
      </c>
      <c r="B182" s="99" t="n">
        <f aca="false">H146</f>
        <v>4375</v>
      </c>
      <c r="C182" s="183"/>
      <c r="D182" s="23"/>
      <c r="E182" s="179" t="n">
        <f aca="false">H148+H149</f>
        <v>0</v>
      </c>
      <c r="F182" s="23"/>
      <c r="G182" s="23"/>
      <c r="H182" s="33"/>
      <c r="J182" s="182" t="e">
        <f aca="false">Q150-Q146-Q148-Q149</f>
        <v>#VALUE!</v>
      </c>
      <c r="K182" s="38" t="e">
        <f aca="false">Q146</f>
        <v>#VALUE!</v>
      </c>
      <c r="L182" s="43"/>
      <c r="M182" s="23"/>
      <c r="N182" s="181" t="n">
        <f aca="false">Q148+Q149</f>
        <v>55</v>
      </c>
      <c r="O182" s="23"/>
      <c r="P182" s="23"/>
      <c r="Q182" s="33"/>
      <c r="S182" s="182" t="e">
        <f aca="false">Z150-Z146-Z148-Z149</f>
        <v>#VALUE!</v>
      </c>
      <c r="T182" s="38" t="e">
        <f aca="false">Z146</f>
        <v>#VALUE!</v>
      </c>
      <c r="U182" s="43"/>
      <c r="V182" s="23"/>
      <c r="W182" s="181" t="n">
        <f aca="false">Z148+Z149</f>
        <v>55</v>
      </c>
      <c r="X182" s="23"/>
      <c r="Y182" s="23"/>
      <c r="Z182" s="33"/>
      <c r="AB182" s="182" t="e">
        <f aca="false">AI150-AI146-AI148-AI149</f>
        <v>#VALUE!</v>
      </c>
      <c r="AC182" s="38" t="e">
        <f aca="false">AI146</f>
        <v>#VALUE!</v>
      </c>
      <c r="AD182" s="43"/>
      <c r="AE182" s="23"/>
      <c r="AF182" s="181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189</v>
      </c>
      <c r="B184" s="130" t="s">
        <v>136</v>
      </c>
      <c r="C184" s="130"/>
      <c r="D184" s="23"/>
      <c r="E184" s="130" t="s">
        <v>137</v>
      </c>
      <c r="F184" s="23"/>
      <c r="G184" s="23"/>
      <c r="H184" s="33"/>
      <c r="J184" s="31" t="s">
        <v>189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189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189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26250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130" t="s">
        <v>174</v>
      </c>
      <c r="C187" s="130"/>
      <c r="D187" s="23"/>
      <c r="E187" s="130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26250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190</v>
      </c>
      <c r="B190" s="130" t="s">
        <v>53</v>
      </c>
      <c r="C190" s="130"/>
      <c r="D190" s="23"/>
      <c r="E190" s="130" t="s">
        <v>191</v>
      </c>
      <c r="F190" s="23"/>
      <c r="G190" s="23"/>
      <c r="H190" s="33"/>
      <c r="J190" s="31" t="s">
        <v>190</v>
      </c>
      <c r="K190" s="32" t="s">
        <v>53</v>
      </c>
      <c r="L190" s="32"/>
      <c r="M190" s="23"/>
      <c r="N190" s="32" t="s">
        <v>191</v>
      </c>
      <c r="O190" s="23"/>
      <c r="P190" s="23"/>
      <c r="Q190" s="33"/>
      <c r="S190" s="31" t="s">
        <v>190</v>
      </c>
      <c r="T190" s="32" t="s">
        <v>53</v>
      </c>
      <c r="U190" s="32"/>
      <c r="V190" s="23"/>
      <c r="W190" s="32" t="s">
        <v>191</v>
      </c>
      <c r="X190" s="23"/>
      <c r="Y190" s="23"/>
      <c r="Z190" s="33"/>
      <c r="AB190" s="31" t="s">
        <v>190</v>
      </c>
      <c r="AC190" s="32" t="s">
        <v>53</v>
      </c>
      <c r="AD190" s="32"/>
      <c r="AE190" s="23"/>
      <c r="AF190" s="32" t="s">
        <v>191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-6551.15811347375</v>
      </c>
      <c r="B191" s="99" t="str">
        <f aca="false">B123</f>
        <v>239.99</v>
      </c>
      <c r="C191" s="99"/>
      <c r="D191" s="23"/>
      <c r="E191" s="99" t="n">
        <f aca="false">E188+A191+B191+A194</f>
        <v>19948.8318865263</v>
      </c>
      <c r="F191" s="23"/>
      <c r="G191" s="23"/>
      <c r="H191" s="101"/>
      <c r="J191" s="107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1"/>
      <c r="S191" s="107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1"/>
      <c r="AB191" s="107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192</v>
      </c>
      <c r="B193" s="130" t="s">
        <v>193</v>
      </c>
      <c r="C193" s="130"/>
      <c r="D193" s="23"/>
      <c r="E193" s="130" t="s">
        <v>194</v>
      </c>
      <c r="F193" s="23"/>
      <c r="G193" s="23"/>
      <c r="H193" s="33"/>
      <c r="J193" s="31" t="s">
        <v>192</v>
      </c>
      <c r="K193" s="32" t="s">
        <v>193</v>
      </c>
      <c r="L193" s="32"/>
      <c r="M193" s="23"/>
      <c r="N193" s="32" t="s">
        <v>194</v>
      </c>
      <c r="O193" s="23"/>
      <c r="P193" s="23"/>
      <c r="Q193" s="33"/>
      <c r="S193" s="31" t="s">
        <v>192</v>
      </c>
      <c r="T193" s="32" t="s">
        <v>193</v>
      </c>
      <c r="U193" s="32"/>
      <c r="V193" s="23"/>
      <c r="W193" s="32" t="s">
        <v>194</v>
      </c>
      <c r="X193" s="23"/>
      <c r="Y193" s="23"/>
      <c r="Z193" s="33"/>
      <c r="AB193" s="31" t="s">
        <v>192</v>
      </c>
      <c r="AC193" s="32" t="s">
        <v>193</v>
      </c>
      <c r="AD193" s="32"/>
      <c r="AE193" s="23"/>
      <c r="AF193" s="32" t="s">
        <v>194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</f>
        <v>239.99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195</v>
      </c>
      <c r="B196" s="130" t="s">
        <v>196</v>
      </c>
      <c r="C196" s="130"/>
      <c r="D196" s="130"/>
      <c r="E196" s="163" t="s">
        <v>197</v>
      </c>
      <c r="F196" s="23"/>
      <c r="G196" s="23"/>
      <c r="H196" s="33"/>
      <c r="J196" s="31" t="s">
        <v>195</v>
      </c>
      <c r="K196" s="32" t="s">
        <v>196</v>
      </c>
      <c r="L196" s="32"/>
      <c r="M196" s="32"/>
      <c r="N196" s="39" t="s">
        <v>197</v>
      </c>
      <c r="O196" s="23"/>
      <c r="P196" s="23"/>
      <c r="Q196" s="33"/>
      <c r="S196" s="31" t="s">
        <v>195</v>
      </c>
      <c r="T196" s="32" t="s">
        <v>196</v>
      </c>
      <c r="U196" s="32"/>
      <c r="V196" s="32"/>
      <c r="W196" s="39" t="s">
        <v>197</v>
      </c>
      <c r="X196" s="32"/>
      <c r="Y196" s="32"/>
      <c r="Z196" s="33"/>
      <c r="AB196" s="31" t="s">
        <v>195</v>
      </c>
      <c r="AC196" s="32" t="s">
        <v>196</v>
      </c>
      <c r="AD196" s="32"/>
      <c r="AE196" s="32"/>
      <c r="AF196" s="39" t="s">
        <v>197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J18*0.000002*100*1.2</f>
        <v>9.72624</v>
      </c>
      <c r="B197" s="99" t="n">
        <f aca="false">(G167*B76)/1.2</f>
        <v>109.375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198</v>
      </c>
      <c r="B199" s="163" t="s">
        <v>199</v>
      </c>
      <c r="C199" s="130"/>
      <c r="D199" s="130"/>
      <c r="E199" s="163" t="s">
        <v>200</v>
      </c>
      <c r="F199" s="23"/>
      <c r="G199" s="23"/>
      <c r="H199" s="33"/>
      <c r="J199" s="60" t="s">
        <v>198</v>
      </c>
      <c r="K199" s="39" t="s">
        <v>199</v>
      </c>
      <c r="L199" s="32"/>
      <c r="M199" s="32"/>
      <c r="N199" s="39" t="s">
        <v>200</v>
      </c>
      <c r="O199" s="23"/>
      <c r="P199" s="23"/>
      <c r="Q199" s="33"/>
      <c r="S199" s="60" t="s">
        <v>198</v>
      </c>
      <c r="T199" s="39" t="s">
        <v>199</v>
      </c>
      <c r="U199" s="32"/>
      <c r="V199" s="32"/>
      <c r="W199" s="39" t="s">
        <v>200</v>
      </c>
      <c r="X199" s="32"/>
      <c r="Y199" s="32"/>
      <c r="Z199" s="33"/>
      <c r="AB199" s="60" t="s">
        <v>198</v>
      </c>
      <c r="AC199" s="39" t="s">
        <v>199</v>
      </c>
      <c r="AD199" s="32"/>
      <c r="AE199" s="32"/>
      <c r="AF199" s="39" t="s">
        <v>200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(B191/1.2)-100</f>
        <v>99.9916666666667</v>
      </c>
      <c r="B200" s="99" t="n">
        <f aca="false">B197+E197+A200</f>
        <v>209.366666666667</v>
      </c>
      <c r="C200" s="130"/>
      <c r="D200" s="130"/>
      <c r="E200" s="99" t="n">
        <f aca="false">H157</f>
        <v>1916.67</v>
      </c>
      <c r="F200" s="23"/>
      <c r="G200" s="23"/>
      <c r="H200" s="33"/>
      <c r="J200" s="107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07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07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201</v>
      </c>
      <c r="B202" s="130"/>
      <c r="C202" s="130"/>
      <c r="D202" s="67"/>
      <c r="E202" s="67"/>
      <c r="F202" s="67"/>
      <c r="G202" s="67"/>
      <c r="H202" s="68"/>
      <c r="J202" s="66" t="s">
        <v>201</v>
      </c>
      <c r="K202" s="32"/>
      <c r="L202" s="32"/>
      <c r="M202" s="67"/>
      <c r="N202" s="67"/>
      <c r="O202" s="67"/>
      <c r="P202" s="67"/>
      <c r="Q202" s="68"/>
      <c r="S202" s="66" t="s">
        <v>201</v>
      </c>
      <c r="T202" s="32"/>
      <c r="U202" s="32"/>
      <c r="V202" s="67"/>
      <c r="W202" s="67"/>
      <c r="X202" s="67"/>
      <c r="Y202" s="67"/>
      <c r="Z202" s="68"/>
      <c r="AB202" s="66" t="s">
        <v>201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4" t="s">
        <v>82</v>
      </c>
      <c r="K204" s="185" t="s">
        <v>83</v>
      </c>
      <c r="L204" s="185"/>
      <c r="M204" s="185"/>
      <c r="N204" s="23"/>
      <c r="O204" s="23"/>
      <c r="P204" s="23"/>
      <c r="Q204" s="33"/>
      <c r="S204" s="184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4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1245.34926241148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180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125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202</v>
      </c>
      <c r="B218" s="171" t="str">
        <f aca="false">A206</f>
        <v>12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182</v>
      </c>
      <c r="B220" s="189" t="s">
        <v>183</v>
      </c>
      <c r="C220" s="189"/>
      <c r="D220" s="189"/>
      <c r="E220" s="189" t="s">
        <v>184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1245.34926241148</v>
      </c>
      <c r="B221" s="174" t="n">
        <f aca="false">B176</f>
        <v>0</v>
      </c>
      <c r="C221" s="171"/>
      <c r="D221" s="171"/>
      <c r="E221" s="174" t="n">
        <f aca="false">E176</f>
        <v>1245.34926241148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186</v>
      </c>
      <c r="B223" s="130" t="s">
        <v>187</v>
      </c>
      <c r="C223" s="130"/>
      <c r="D223" s="109"/>
      <c r="E223" s="130" t="s">
        <v>188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21875</v>
      </c>
      <c r="B224" s="99" t="n">
        <f aca="false">B182</f>
        <v>4375</v>
      </c>
      <c r="C224" s="183"/>
      <c r="D224" s="109"/>
      <c r="E224" s="179" t="n">
        <f aca="false">E182</f>
        <v>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189</v>
      </c>
      <c r="B226" s="130" t="s">
        <v>136</v>
      </c>
      <c r="C226" s="130"/>
      <c r="D226" s="109"/>
      <c r="E226" s="130" t="s">
        <v>137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26250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138</v>
      </c>
      <c r="B229" s="130" t="s">
        <v>174</v>
      </c>
      <c r="C229" s="130"/>
      <c r="D229" s="109"/>
      <c r="E229" s="130" t="s">
        <v>179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26250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190</v>
      </c>
      <c r="B232" s="130" t="s">
        <v>53</v>
      </c>
      <c r="C232" s="130"/>
      <c r="D232" s="109"/>
      <c r="E232" s="130" t="s">
        <v>191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-6551.15811347375</v>
      </c>
      <c r="B233" s="99" t="str">
        <f aca="false">B191</f>
        <v>239.99</v>
      </c>
      <c r="C233" s="99"/>
      <c r="D233" s="109"/>
      <c r="E233" s="99" t="n">
        <f aca="false">E191</f>
        <v>19948.8318865263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192</v>
      </c>
      <c r="B235" s="130" t="s">
        <v>193</v>
      </c>
      <c r="C235" s="130"/>
      <c r="D235" s="109"/>
      <c r="E235" s="130" t="s">
        <v>203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239.99</v>
      </c>
      <c r="C236" s="99"/>
      <c r="D236" s="109"/>
      <c r="E236" s="99" t="n">
        <f aca="false">B68</f>
        <v>11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182</v>
      </c>
      <c r="B238" s="130" t="s">
        <v>183</v>
      </c>
      <c r="C238" s="130"/>
      <c r="D238" s="130"/>
      <c r="E238" s="130" t="s">
        <v>184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1245.34926241148</v>
      </c>
      <c r="B239" s="99" t="n">
        <f aca="false">B176</f>
        <v>0</v>
      </c>
      <c r="C239" s="183"/>
      <c r="D239" s="183"/>
      <c r="E239" s="99" t="n">
        <f aca="false">E176</f>
        <v>1245.34926241148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204</v>
      </c>
      <c r="B241" s="130" t="s">
        <v>205</v>
      </c>
      <c r="C241" s="130"/>
      <c r="D241" s="130"/>
      <c r="E241" s="130" t="s">
        <v>67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J18*0.000006*100*1.2</f>
        <v>29.17872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206</v>
      </c>
      <c r="B244" s="163" t="s">
        <v>72</v>
      </c>
      <c r="C244" s="130"/>
      <c r="D244" s="130"/>
      <c r="E244" s="163" t="s">
        <v>130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9.72624</v>
      </c>
      <c r="B245" s="99" t="n">
        <f aca="false">E242+A245</f>
        <v>38.90496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207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208</v>
      </c>
      <c r="B248" s="130" t="s">
        <v>196</v>
      </c>
      <c r="C248" s="130"/>
      <c r="D248" s="130"/>
      <c r="E248" s="163" t="s">
        <v>197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1916.67</v>
      </c>
      <c r="B249" s="99" t="n">
        <f aca="false">B197</f>
        <v>109.375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198</v>
      </c>
      <c r="B251" s="163" t="s">
        <v>199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99.9916666666667</v>
      </c>
      <c r="B252" s="99" t="n">
        <f aca="false">B249+E249+A252+A249</f>
        <v>2126.03666666666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209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210</v>
      </c>
      <c r="B262" s="193" t="n">
        <f aca="false">B72</f>
        <v>0.065</v>
      </c>
      <c r="C262" s="194"/>
      <c r="D262" s="195" t="s">
        <v>211</v>
      </c>
      <c r="E262" s="195"/>
      <c r="F262" s="193" t="n">
        <f aca="false">B92</f>
        <v>0.1475</v>
      </c>
      <c r="G262" s="23"/>
      <c r="H262" s="33"/>
    </row>
    <row r="263" customFormat="false" ht="17.35" hidden="false" customHeight="false" outlineLevel="0" collapsed="false">
      <c r="A263" s="188" t="s">
        <v>212</v>
      </c>
      <c r="B263" s="196"/>
      <c r="C263" s="194"/>
      <c r="D263" s="195" t="s">
        <v>213</v>
      </c>
      <c r="E263" s="195"/>
      <c r="F263" s="196" t="n">
        <f aca="false">F270+F276+F278+B279+B280</f>
        <v>131.25</v>
      </c>
      <c r="G263" s="23"/>
      <c r="H263" s="33"/>
    </row>
    <row r="264" customFormat="false" ht="17.35" hidden="false" customHeight="false" outlineLevel="0" collapsed="false">
      <c r="A264" s="188" t="s">
        <v>214</v>
      </c>
      <c r="B264" s="196" t="n">
        <f aca="false">F271+B272</f>
        <v>99.9916666666667</v>
      </c>
      <c r="C264" s="194"/>
      <c r="D264" s="195" t="s">
        <v>215</v>
      </c>
      <c r="E264" s="195"/>
      <c r="F264" s="196" t="n">
        <f aca="false">(B263-F263)+B264</f>
        <v>-31.2583333333333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210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216</v>
      </c>
      <c r="B268" s="201" t="n">
        <f aca="false">B73</f>
        <v>0.072</v>
      </c>
      <c r="C268" s="32"/>
      <c r="D268" s="163" t="s">
        <v>217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211</v>
      </c>
      <c r="B269" s="205" t="n">
        <f aca="false">B92</f>
        <v>0.1475</v>
      </c>
      <c r="C269" s="43"/>
      <c r="D269" s="163" t="s">
        <v>212</v>
      </c>
      <c r="E269" s="163"/>
      <c r="F269" s="143" t="n">
        <f aca="false">(B98*B68)-(C98*B68)</f>
        <v>13698.8418865263</v>
      </c>
      <c r="G269" s="23"/>
      <c r="H269" s="33"/>
    </row>
    <row r="270" customFormat="false" ht="17.35" hidden="false" customHeight="false" outlineLevel="0" collapsed="false">
      <c r="A270" s="31" t="s">
        <v>218</v>
      </c>
      <c r="B270" s="205" t="n">
        <f aca="false">B76</f>
        <v>0.005</v>
      </c>
      <c r="C270" s="32"/>
      <c r="D270" s="163" t="s">
        <v>218</v>
      </c>
      <c r="E270" s="163"/>
      <c r="F270" s="148" t="n">
        <f aca="false">B77</f>
        <v>131.25</v>
      </c>
      <c r="G270" s="23"/>
      <c r="H270" s="33"/>
    </row>
    <row r="271" customFormat="false" ht="17.35" hidden="false" customHeight="false" outlineLevel="0" collapsed="false">
      <c r="A271" s="31" t="s">
        <v>219</v>
      </c>
      <c r="B271" s="201" t="n">
        <f aca="false">A117</f>
        <v>0.2</v>
      </c>
      <c r="C271" s="32"/>
      <c r="D271" s="163" t="s">
        <v>219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220</v>
      </c>
      <c r="B272" s="143" t="n">
        <f aca="false">A252</f>
        <v>99.9916666666667</v>
      </c>
      <c r="C272" s="32"/>
      <c r="D272" s="39" t="s">
        <v>215</v>
      </c>
      <c r="E272" s="39"/>
      <c r="F272" s="143" t="n">
        <f aca="false">(B263-F263)+B264</f>
        <v>-31.2583333333333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221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222</v>
      </c>
      <c r="B275" s="148" t="n">
        <v>0</v>
      </c>
      <c r="C275" s="32"/>
      <c r="D275" s="206" t="s">
        <v>223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224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225</v>
      </c>
      <c r="B277" s="207" t="s">
        <v>4</v>
      </c>
      <c r="C277" s="32"/>
      <c r="D277" s="163" t="s">
        <v>226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227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228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229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6" activeCellId="0" sqref="A16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20500</v>
      </c>
      <c r="B37" s="32"/>
      <c r="C37" s="41" t="s">
        <v>45</v>
      </c>
      <c r="D37" s="41"/>
      <c r="E37" s="32"/>
      <c r="F37" s="43" t="n">
        <f aca="false">A37-C37</f>
        <v>19500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4100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258.333333333333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291.666666666667</v>
      </c>
      <c r="L45" s="2"/>
    </row>
    <row r="46" customFormat="false" ht="17.35" hidden="false" customHeight="false" outlineLevel="0" collapsed="false">
      <c r="A46" s="40" t="s">
        <v>230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294.333333333333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244.333333333333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231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294.333333333333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0.072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14269.273195982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294.333333333333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294.333333333333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294.333333333333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19500</v>
      </c>
      <c r="C90" s="32"/>
      <c r="D90" s="32"/>
      <c r="E90" s="23"/>
      <c r="F90" s="23"/>
      <c r="G90" s="23"/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23"/>
      <c r="G91" s="23"/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0.1475</v>
      </c>
      <c r="C92" s="32"/>
      <c r="D92" s="32"/>
      <c r="E92" s="23"/>
      <c r="F92" s="23"/>
      <c r="G92" s="23"/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0.0122916666666667</v>
      </c>
      <c r="C93" s="32"/>
      <c r="D93" s="32"/>
      <c r="E93" s="23"/>
      <c r="F93" s="23"/>
      <c r="G93" s="23"/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23"/>
      <c r="G94" s="23"/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6218.19813516518</v>
      </c>
      <c r="C95" s="32"/>
      <c r="D95" s="32"/>
      <c r="E95" s="23"/>
      <c r="F95" s="23"/>
      <c r="G95" s="23"/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10.2301677524304</v>
      </c>
      <c r="C96" s="32"/>
      <c r="D96" s="32"/>
      <c r="E96" s="23"/>
      <c r="F96" s="23"/>
      <c r="G96" s="23"/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13281.8018648348</v>
      </c>
      <c r="C97" s="32"/>
      <c r="D97" s="32"/>
      <c r="E97" s="23"/>
      <c r="F97" s="23"/>
      <c r="G97" s="23"/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1298.29756327109</v>
      </c>
      <c r="C98" s="32"/>
      <c r="D98" s="32"/>
      <c r="E98" s="23"/>
      <c r="F98" s="23"/>
      <c r="G98" s="23"/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14281.273195982</v>
      </c>
      <c r="C99" s="32"/>
      <c r="D99" s="32"/>
      <c r="E99" s="23"/>
      <c r="F99" s="23"/>
      <c r="G99" s="23"/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14281.273195982</v>
      </c>
      <c r="C101" s="32"/>
      <c r="D101" s="32"/>
      <c r="E101" s="23"/>
      <c r="F101" s="23"/>
      <c r="G101" s="23"/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65.4545454545455</v>
      </c>
      <c r="C103" s="32"/>
      <c r="D103" s="32"/>
      <c r="E103" s="23"/>
      <c r="F103" s="23"/>
      <c r="G103" s="23"/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118</v>
      </c>
      <c r="B104" s="92" t="n">
        <f aca="false">B101/(B94)</f>
        <v>1298.29756327109</v>
      </c>
      <c r="C104" s="32"/>
      <c r="D104" s="32"/>
      <c r="E104" s="23"/>
      <c r="F104" s="23"/>
      <c r="G104" s="23"/>
      <c r="H104" s="33"/>
      <c r="J104" s="91" t="s">
        <v>118</v>
      </c>
      <c r="K104" s="92" t="e">
        <f aca="false">K101/(K94)</f>
        <v>#VALUE!</v>
      </c>
      <c r="L104" s="32"/>
      <c r="M104" s="32"/>
      <c r="N104" s="23"/>
      <c r="O104" s="23"/>
      <c r="P104" s="23"/>
      <c r="Q104" s="33"/>
      <c r="S104" s="91" t="s">
        <v>118</v>
      </c>
      <c r="T104" s="92" t="e">
        <f aca="false">T101/(T94)</f>
        <v>#VALUE!</v>
      </c>
      <c r="U104" s="32"/>
      <c r="V104" s="32"/>
      <c r="W104" s="23"/>
      <c r="X104" s="23"/>
      <c r="Y104" s="23"/>
      <c r="Z104" s="33"/>
      <c r="AB104" s="91" t="s">
        <v>118</v>
      </c>
      <c r="AC104" s="92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119</v>
      </c>
      <c r="B105" s="94" t="n">
        <f aca="false">B103+B104</f>
        <v>1363.75210872564</v>
      </c>
      <c r="C105" s="32"/>
      <c r="D105" s="32"/>
      <c r="E105" s="23" t="s">
        <v>18</v>
      </c>
      <c r="F105" s="23"/>
      <c r="G105" s="23"/>
      <c r="H105" s="33"/>
      <c r="J105" s="93" t="s">
        <v>119</v>
      </c>
      <c r="K105" s="94" t="e">
        <f aca="false">(K103+K104)</f>
        <v>#VALUE!</v>
      </c>
      <c r="L105" s="32"/>
      <c r="M105" s="32"/>
      <c r="N105" s="23"/>
      <c r="O105" s="23"/>
      <c r="P105" s="23"/>
      <c r="Q105" s="33"/>
      <c r="S105" s="93" t="s">
        <v>119</v>
      </c>
      <c r="T105" s="94" t="e">
        <f aca="false">T103+T104</f>
        <v>#VALUE!</v>
      </c>
      <c r="U105" s="32"/>
      <c r="V105" s="32"/>
      <c r="W105" s="23"/>
      <c r="X105" s="23"/>
      <c r="Y105" s="23"/>
      <c r="Z105" s="33"/>
      <c r="AB105" s="93" t="s">
        <v>119</v>
      </c>
      <c r="AC105" s="94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232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120</v>
      </c>
      <c r="B109" s="96"/>
      <c r="C109" s="96"/>
      <c r="D109" s="96"/>
      <c r="E109" s="96"/>
      <c r="F109" s="96"/>
      <c r="G109" s="96"/>
      <c r="H109" s="96"/>
      <c r="J109" s="24" t="s">
        <v>121</v>
      </c>
      <c r="K109" s="24"/>
      <c r="L109" s="24"/>
      <c r="M109" s="24"/>
      <c r="N109" s="24"/>
      <c r="O109" s="24"/>
      <c r="P109" s="24"/>
      <c r="Q109" s="24"/>
      <c r="S109" s="96" t="s">
        <v>122</v>
      </c>
      <c r="T109" s="96"/>
      <c r="U109" s="96"/>
      <c r="V109" s="96"/>
      <c r="W109" s="96"/>
      <c r="X109" s="96"/>
      <c r="Y109" s="96"/>
      <c r="Z109" s="96"/>
      <c r="AB109" s="96" t="s">
        <v>123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99" t="s">
        <v>233</v>
      </c>
      <c r="C114" s="99"/>
      <c r="D114" s="99"/>
      <c r="E114" s="100" t="s">
        <v>19</v>
      </c>
      <c r="F114" s="100"/>
      <c r="G114" s="100"/>
      <c r="H114" s="98"/>
      <c r="J114" s="36" t="s">
        <v>127</v>
      </c>
      <c r="K114" s="101" t="s">
        <v>128</v>
      </c>
      <c r="L114" s="101"/>
      <c r="M114" s="101"/>
      <c r="N114" s="100" t="s">
        <v>18</v>
      </c>
      <c r="O114" s="100"/>
      <c r="P114" s="100"/>
      <c r="Q114" s="98"/>
      <c r="S114" s="36" t="s">
        <v>127</v>
      </c>
      <c r="T114" s="99" t="s">
        <v>128</v>
      </c>
      <c r="U114" s="99"/>
      <c r="V114" s="99"/>
      <c r="W114" s="100" t="s">
        <v>18</v>
      </c>
      <c r="X114" s="100"/>
      <c r="Y114" s="100"/>
      <c r="Z114" s="98"/>
      <c r="AB114" s="36" t="s">
        <v>127</v>
      </c>
      <c r="AC114" s="99" t="s">
        <v>128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98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98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98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132</v>
      </c>
      <c r="C117" s="103"/>
      <c r="D117" s="103"/>
      <c r="E117" s="104" t="n">
        <f aca="false">B92</f>
        <v>0.1475</v>
      </c>
      <c r="F117" s="104"/>
      <c r="G117" s="104"/>
      <c r="H117" s="47"/>
      <c r="J117" s="102" t="n">
        <v>0.3</v>
      </c>
      <c r="K117" s="103" t="s">
        <v>132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133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133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98"/>
      <c r="J122" s="106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98"/>
      <c r="S122" s="106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98"/>
      <c r="AB122" s="106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233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109"/>
      <c r="C127" s="109"/>
      <c r="D127" s="109"/>
      <c r="E127" s="109"/>
      <c r="F127" s="109"/>
      <c r="G127" s="109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143</v>
      </c>
      <c r="C128" s="110"/>
      <c r="D128" s="110" t="s">
        <v>144</v>
      </c>
      <c r="E128" s="110"/>
      <c r="F128" s="110" t="s">
        <v>145</v>
      </c>
      <c r="G128" s="110"/>
      <c r="H128" s="111" t="s">
        <v>146</v>
      </c>
      <c r="J128" s="78"/>
      <c r="K128" s="110" t="s">
        <v>143</v>
      </c>
      <c r="L128" s="110"/>
      <c r="M128" s="110" t="s">
        <v>144</v>
      </c>
      <c r="N128" s="110"/>
      <c r="O128" s="110" t="s">
        <v>145</v>
      </c>
      <c r="P128" s="110"/>
      <c r="Q128" s="111" t="s">
        <v>146</v>
      </c>
      <c r="S128" s="78"/>
      <c r="T128" s="110" t="s">
        <v>143</v>
      </c>
      <c r="U128" s="110"/>
      <c r="V128" s="110" t="s">
        <v>144</v>
      </c>
      <c r="W128" s="110"/>
      <c r="X128" s="110" t="s">
        <v>145</v>
      </c>
      <c r="Y128" s="110"/>
      <c r="Z128" s="111" t="s">
        <v>146</v>
      </c>
      <c r="AB128" s="78"/>
      <c r="AC128" s="110" t="s">
        <v>143</v>
      </c>
      <c r="AD128" s="110"/>
      <c r="AE128" s="110" t="s">
        <v>144</v>
      </c>
      <c r="AF128" s="110"/>
      <c r="AG128" s="110" t="s">
        <v>145</v>
      </c>
      <c r="AH128" s="110"/>
      <c r="AI128" s="111" t="s">
        <v>146</v>
      </c>
    </row>
    <row r="129" customFormat="false" ht="19.7" hidden="false" customHeight="false" outlineLevel="0" collapsed="false">
      <c r="A129" s="80"/>
      <c r="B129" s="112" t="s">
        <v>147</v>
      </c>
      <c r="C129" s="113" t="s">
        <v>148</v>
      </c>
      <c r="D129" s="112" t="s">
        <v>147</v>
      </c>
      <c r="E129" s="114" t="s">
        <v>148</v>
      </c>
      <c r="F129" s="112" t="s">
        <v>147</v>
      </c>
      <c r="G129" s="114" t="s">
        <v>148</v>
      </c>
      <c r="H129" s="115"/>
      <c r="J129" s="80"/>
      <c r="K129" s="112" t="s">
        <v>147</v>
      </c>
      <c r="L129" s="113" t="s">
        <v>148</v>
      </c>
      <c r="M129" s="112" t="s">
        <v>147</v>
      </c>
      <c r="N129" s="114" t="s">
        <v>148</v>
      </c>
      <c r="O129" s="112" t="s">
        <v>147</v>
      </c>
      <c r="P129" s="114" t="s">
        <v>148</v>
      </c>
      <c r="Q129" s="115"/>
      <c r="S129" s="80"/>
      <c r="T129" s="112" t="s">
        <v>147</v>
      </c>
      <c r="U129" s="113" t="s">
        <v>148</v>
      </c>
      <c r="V129" s="112" t="s">
        <v>147</v>
      </c>
      <c r="W129" s="114" t="s">
        <v>148</v>
      </c>
      <c r="X129" s="112" t="s">
        <v>147</v>
      </c>
      <c r="Y129" s="114" t="s">
        <v>148</v>
      </c>
      <c r="Z129" s="115"/>
      <c r="AB129" s="80"/>
      <c r="AC129" s="112" t="s">
        <v>147</v>
      </c>
      <c r="AD129" s="113" t="s">
        <v>148</v>
      </c>
      <c r="AE129" s="112" t="s">
        <v>147</v>
      </c>
      <c r="AF129" s="114" t="s">
        <v>148</v>
      </c>
      <c r="AG129" s="112" t="s">
        <v>147</v>
      </c>
      <c r="AH129" s="114" t="s">
        <v>148</v>
      </c>
      <c r="AI129" s="115"/>
    </row>
    <row r="130" customFormat="false" ht="17.35" hidden="false" customHeight="false" outlineLevel="0" collapsed="false">
      <c r="A130" s="25" t="s">
        <v>149</v>
      </c>
      <c r="B130" s="116" t="n">
        <f aca="false">E19</f>
        <v>24600</v>
      </c>
      <c r="C130" s="117" t="n">
        <v>22500</v>
      </c>
      <c r="D130" s="116" t="n">
        <f aca="false">D12</f>
        <v>0</v>
      </c>
      <c r="E130" s="117" t="n">
        <f aca="false">D130</f>
        <v>0</v>
      </c>
      <c r="F130" s="116" t="n">
        <v>0</v>
      </c>
      <c r="G130" s="117" t="n">
        <f aca="false">F130</f>
        <v>0</v>
      </c>
      <c r="H130" s="118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18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18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19" t="n">
        <v>0</v>
      </c>
      <c r="C131" s="120" t="n">
        <f aca="false">B131</f>
        <v>0</v>
      </c>
      <c r="D131" s="119" t="n">
        <v>0</v>
      </c>
      <c r="E131" s="120" t="n">
        <f aca="false">D131</f>
        <v>0</v>
      </c>
      <c r="F131" s="119" t="n">
        <v>0</v>
      </c>
      <c r="G131" s="121" t="n">
        <f aca="false">F131</f>
        <v>0</v>
      </c>
      <c r="H131" s="122"/>
      <c r="J131" s="31" t="s">
        <v>150</v>
      </c>
      <c r="K131" s="123" t="n">
        <f aca="false">B4</f>
        <v>24600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str">
        <f aca="false">F4</f>
        <v> </v>
      </c>
      <c r="P131" s="124" t="str">
        <f aca="false">O131</f>
        <v> </v>
      </c>
      <c r="Q131" s="125"/>
      <c r="S131" s="31" t="s">
        <v>150</v>
      </c>
      <c r="T131" s="123" t="n">
        <f aca="false">B4</f>
        <v>24600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str">
        <f aca="false">F4</f>
        <v> </v>
      </c>
      <c r="Y131" s="124" t="str">
        <f aca="false">X131</f>
        <v> </v>
      </c>
      <c r="Z131" s="125"/>
      <c r="AB131" s="31" t="s">
        <v>150</v>
      </c>
      <c r="AC131" s="123" t="n">
        <f aca="false">B4</f>
        <v>24600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str">
        <f aca="false">F4</f>
        <v> </v>
      </c>
      <c r="AH131" s="124" t="str">
        <f aca="false">AG131</f>
        <v> </v>
      </c>
      <c r="AI131" s="125"/>
    </row>
    <row r="132" customFormat="false" ht="17.35" hidden="false" customHeight="false" outlineLevel="0" collapsed="false">
      <c r="A132" s="31" t="s">
        <v>151</v>
      </c>
      <c r="B132" s="126" t="n">
        <v>0</v>
      </c>
      <c r="C132" s="117" t="n">
        <f aca="false">B132</f>
        <v>0</v>
      </c>
      <c r="D132" s="126" t="n">
        <v>0</v>
      </c>
      <c r="E132" s="117" t="n">
        <f aca="false">D132</f>
        <v>0</v>
      </c>
      <c r="F132" s="126" t="n">
        <v>0</v>
      </c>
      <c r="G132" s="117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26" t="n">
        <f aca="false">(B130*B131)+B132</f>
        <v>0</v>
      </c>
      <c r="C133" s="127" t="n">
        <f aca="false">(C130*C131/100)+C132</f>
        <v>0</v>
      </c>
      <c r="D133" s="126" t="n">
        <f aca="false">(D130*D131)+D132</f>
        <v>0</v>
      </c>
      <c r="E133" s="127" t="n">
        <f aca="false">(E130*E131/100)+E132</f>
        <v>0</v>
      </c>
      <c r="F133" s="126" t="n">
        <f aca="false">(F130*F131)+F132</f>
        <v>0</v>
      </c>
      <c r="G133" s="1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28" t="n">
        <f aca="false">B130-B133</f>
        <v>24600</v>
      </c>
      <c r="C134" s="129" t="n">
        <f aca="false">C130-C133</f>
        <v>22500</v>
      </c>
      <c r="D134" s="128" t="n">
        <f aca="false">D130-D133</f>
        <v>0</v>
      </c>
      <c r="E134" s="129" t="n">
        <f aca="false">E130-E133</f>
        <v>0</v>
      </c>
      <c r="F134" s="128" t="n">
        <f aca="false">F130-F133</f>
        <v>0</v>
      </c>
      <c r="G134" s="129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130"/>
      <c r="C135" s="130"/>
      <c r="D135" s="130"/>
      <c r="E135" s="130"/>
      <c r="F135" s="130"/>
      <c r="G135" s="130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2"/>
      <c r="C136" s="132"/>
      <c r="D136" s="132"/>
      <c r="E136" s="132"/>
      <c r="F136" s="132"/>
      <c r="G136" s="133" t="s">
        <v>147</v>
      </c>
      <c r="H136" s="134" t="s">
        <v>148</v>
      </c>
      <c r="J136" s="131"/>
      <c r="K136" s="135"/>
      <c r="L136" s="135"/>
      <c r="M136" s="135"/>
      <c r="N136" s="135"/>
      <c r="O136" s="135"/>
      <c r="P136" s="136" t="s">
        <v>147</v>
      </c>
      <c r="Q136" s="134" t="s">
        <v>148</v>
      </c>
      <c r="S136" s="131"/>
      <c r="T136" s="135"/>
      <c r="U136" s="135"/>
      <c r="V136" s="135"/>
      <c r="W136" s="135"/>
      <c r="X136" s="135"/>
      <c r="Y136" s="136" t="s">
        <v>147</v>
      </c>
      <c r="Z136" s="134" t="s">
        <v>148</v>
      </c>
      <c r="AB136" s="131"/>
      <c r="AC136" s="135"/>
      <c r="AD136" s="135"/>
      <c r="AE136" s="135"/>
      <c r="AF136" s="135"/>
      <c r="AG136" s="135"/>
      <c r="AH136" s="136" t="s">
        <v>147</v>
      </c>
      <c r="AI136" s="134" t="s">
        <v>148</v>
      </c>
    </row>
    <row r="137" customFormat="false" ht="17.35" hidden="false" customHeight="false" outlineLevel="0" collapsed="false">
      <c r="A137" s="137" t="s">
        <v>154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154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154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154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130"/>
      <c r="C138" s="130"/>
      <c r="D138" s="130"/>
      <c r="E138" s="130"/>
      <c r="F138" s="130"/>
      <c r="G138" s="141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155</v>
      </c>
      <c r="B139" s="141" t="s">
        <v>156</v>
      </c>
      <c r="C139" s="141"/>
      <c r="D139" s="141" t="s">
        <v>157</v>
      </c>
      <c r="E139" s="141"/>
      <c r="F139" s="141" t="s">
        <v>151</v>
      </c>
      <c r="G139" s="141"/>
      <c r="H139" s="142" t="s">
        <v>148</v>
      </c>
      <c r="J139" s="144" t="s">
        <v>155</v>
      </c>
      <c r="K139" s="145" t="s">
        <v>156</v>
      </c>
      <c r="L139" s="145"/>
      <c r="M139" s="141" t="s">
        <v>157</v>
      </c>
      <c r="N139" s="141"/>
      <c r="O139" s="141" t="s">
        <v>151</v>
      </c>
      <c r="P139" s="141"/>
      <c r="Q139" s="142" t="s">
        <v>148</v>
      </c>
      <c r="S139" s="144" t="s">
        <v>155</v>
      </c>
      <c r="T139" s="141" t="s">
        <v>156</v>
      </c>
      <c r="U139" s="141"/>
      <c r="V139" s="141" t="s">
        <v>157</v>
      </c>
      <c r="W139" s="141"/>
      <c r="X139" s="141" t="s">
        <v>151</v>
      </c>
      <c r="Y139" s="141"/>
      <c r="Z139" s="142" t="s">
        <v>148</v>
      </c>
      <c r="AB139" s="144" t="s">
        <v>155</v>
      </c>
      <c r="AC139" s="141" t="s">
        <v>156</v>
      </c>
      <c r="AD139" s="141"/>
      <c r="AE139" s="141" t="s">
        <v>157</v>
      </c>
      <c r="AF139" s="141"/>
      <c r="AG139" s="141" t="s">
        <v>151</v>
      </c>
      <c r="AH139" s="141"/>
      <c r="AI139" s="142" t="s">
        <v>148</v>
      </c>
    </row>
    <row r="140" customFormat="false" ht="17.35" hidden="false" customHeight="false" outlineLevel="0" collapsed="false">
      <c r="A140" s="31" t="s">
        <v>158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158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158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158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159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159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159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160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160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160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130"/>
      <c r="C143" s="130"/>
      <c r="D143" s="130"/>
      <c r="E143" s="130"/>
      <c r="F143" s="130"/>
      <c r="G143" s="141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161</v>
      </c>
      <c r="B144" s="149"/>
      <c r="C144" s="149"/>
      <c r="D144" s="149"/>
      <c r="E144" s="149"/>
      <c r="F144" s="149"/>
      <c r="G144" s="133" t="n">
        <f aca="false">E21</f>
        <v>20500</v>
      </c>
      <c r="H144" s="150" t="n">
        <f aca="false">C134+E134+G134+H137</f>
        <v>22500</v>
      </c>
      <c r="J144" s="149" t="s">
        <v>161</v>
      </c>
      <c r="K144" s="149"/>
      <c r="L144" s="149"/>
      <c r="M144" s="149"/>
      <c r="N144" s="149"/>
      <c r="O144" s="149"/>
      <c r="P144" s="136" t="n">
        <f aca="false">H9</f>
        <v>0</v>
      </c>
      <c r="Q144" s="150" t="e">
        <f aca="false">L134+N134+P134+Q137</f>
        <v>#VALUE!</v>
      </c>
      <c r="S144" s="149" t="s">
        <v>161</v>
      </c>
      <c r="T144" s="149"/>
      <c r="U144" s="149"/>
      <c r="V144" s="149"/>
      <c r="W144" s="149"/>
      <c r="X144" s="149"/>
      <c r="Y144" s="136" t="n">
        <f aca="false">H9</f>
        <v>0</v>
      </c>
      <c r="Z144" s="150" t="e">
        <f aca="false">U134+W134+Y134+Z137</f>
        <v>#VALUE!</v>
      </c>
      <c r="AB144" s="149" t="s">
        <v>161</v>
      </c>
      <c r="AC144" s="149"/>
      <c r="AD144" s="149"/>
      <c r="AE144" s="149"/>
      <c r="AF144" s="149"/>
      <c r="AG144" s="149"/>
      <c r="AH144" s="136" t="n">
        <f aca="false">H9</f>
        <v>0</v>
      </c>
      <c r="AI144" s="150" t="e">
        <f aca="false">AD134+AF134+AH134+AI137</f>
        <v>#VALUE!</v>
      </c>
    </row>
    <row r="145" customFormat="false" ht="17.35" hidden="false" customHeight="false" outlineLevel="0" collapsed="false">
      <c r="A145" s="151" t="s">
        <v>162</v>
      </c>
      <c r="B145" s="151"/>
      <c r="C145" s="151"/>
      <c r="D145" s="151"/>
      <c r="E145" s="151"/>
      <c r="F145" s="151"/>
      <c r="G145" s="152" t="n">
        <f aca="false">H19</f>
        <v>0</v>
      </c>
      <c r="H145" s="33" t="n">
        <f aca="false">G145</f>
        <v>0</v>
      </c>
      <c r="J145" s="151" t="s">
        <v>162</v>
      </c>
      <c r="K145" s="151"/>
      <c r="L145" s="151"/>
      <c r="M145" s="151"/>
      <c r="N145" s="151"/>
      <c r="O145" s="151"/>
      <c r="P145" s="153" t="n">
        <f aca="false">H10</f>
        <v>0</v>
      </c>
      <c r="Q145" s="33" t="n">
        <f aca="false">P145</f>
        <v>0</v>
      </c>
      <c r="S145" s="151" t="s">
        <v>162</v>
      </c>
      <c r="T145" s="151"/>
      <c r="U145" s="151"/>
      <c r="V145" s="151"/>
      <c r="W145" s="151"/>
      <c r="X145" s="151"/>
      <c r="Y145" s="153" t="n">
        <f aca="false">H10</f>
        <v>0</v>
      </c>
      <c r="Z145" s="33" t="n">
        <f aca="false">Y145</f>
        <v>0</v>
      </c>
      <c r="AB145" s="151" t="s">
        <v>162</v>
      </c>
      <c r="AC145" s="151"/>
      <c r="AD145" s="151"/>
      <c r="AE145" s="151"/>
      <c r="AF145" s="151"/>
      <c r="AG145" s="151"/>
      <c r="AH145" s="153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1" t="s">
        <v>163</v>
      </c>
      <c r="B146" s="151"/>
      <c r="C146" s="151"/>
      <c r="D146" s="151"/>
      <c r="E146" s="151"/>
      <c r="F146" s="151"/>
      <c r="G146" s="33" t="n">
        <f aca="false">(G144+G145)*20%</f>
        <v>4100</v>
      </c>
      <c r="H146" s="33" t="n">
        <f aca="false">(H144+H145)*20%</f>
        <v>4500</v>
      </c>
      <c r="J146" s="151" t="s">
        <v>163</v>
      </c>
      <c r="K146" s="151"/>
      <c r="L146" s="151"/>
      <c r="M146" s="151"/>
      <c r="N146" s="151"/>
      <c r="O146" s="151"/>
      <c r="P146" s="153" t="n">
        <f aca="false">H11</f>
        <v>0</v>
      </c>
      <c r="Q146" s="33" t="e">
        <f aca="false">(Q144+Q145)*20%</f>
        <v>#VALUE!</v>
      </c>
      <c r="S146" s="151" t="s">
        <v>163</v>
      </c>
      <c r="T146" s="151"/>
      <c r="U146" s="151"/>
      <c r="V146" s="151"/>
      <c r="W146" s="151"/>
      <c r="X146" s="151"/>
      <c r="Y146" s="153" t="n">
        <f aca="false">H11</f>
        <v>0</v>
      </c>
      <c r="Z146" s="33" t="e">
        <f aca="false">(Z144+Z145)*20%</f>
        <v>#VALUE!</v>
      </c>
      <c r="AB146" s="151" t="s">
        <v>163</v>
      </c>
      <c r="AC146" s="151"/>
      <c r="AD146" s="151"/>
      <c r="AE146" s="151"/>
      <c r="AF146" s="151"/>
      <c r="AG146" s="151"/>
      <c r="AH146" s="153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1" t="s">
        <v>164</v>
      </c>
      <c r="B147" s="151"/>
      <c r="C147" s="151"/>
      <c r="D147" s="151"/>
      <c r="E147" s="151"/>
      <c r="F147" s="151"/>
      <c r="G147" s="152" t="n">
        <f aca="false">H21</f>
        <v>0</v>
      </c>
      <c r="H147" s="33" t="n">
        <v>0</v>
      </c>
      <c r="J147" s="151" t="s">
        <v>164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164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164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165</v>
      </c>
      <c r="B148" s="151"/>
      <c r="C148" s="151"/>
      <c r="D148" s="151"/>
      <c r="E148" s="151"/>
      <c r="F148" s="151"/>
      <c r="G148" s="152" t="n">
        <f aca="false">H22</f>
        <v>0</v>
      </c>
      <c r="H148" s="33" t="n">
        <f aca="false">G148</f>
        <v>0</v>
      </c>
      <c r="J148" s="151" t="s">
        <v>165</v>
      </c>
      <c r="K148" s="151"/>
      <c r="L148" s="151"/>
      <c r="M148" s="151"/>
      <c r="N148" s="151"/>
      <c r="O148" s="151"/>
      <c r="P148" s="153" t="n">
        <f aca="false">H13</f>
        <v>0</v>
      </c>
      <c r="Q148" s="33" t="n">
        <f aca="false">P148</f>
        <v>0</v>
      </c>
      <c r="S148" s="151" t="s">
        <v>165</v>
      </c>
      <c r="T148" s="151"/>
      <c r="U148" s="151"/>
      <c r="V148" s="151"/>
      <c r="W148" s="151"/>
      <c r="X148" s="151"/>
      <c r="Y148" s="153" t="n">
        <f aca="false">H13</f>
        <v>0</v>
      </c>
      <c r="Z148" s="33" t="n">
        <f aca="false">Y148</f>
        <v>0</v>
      </c>
      <c r="AB148" s="151" t="s">
        <v>165</v>
      </c>
      <c r="AC148" s="151"/>
      <c r="AD148" s="151"/>
      <c r="AE148" s="151"/>
      <c r="AF148" s="151"/>
      <c r="AG148" s="151"/>
      <c r="AH148" s="153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1" t="s">
        <v>166</v>
      </c>
      <c r="B149" s="151"/>
      <c r="C149" s="151"/>
      <c r="D149" s="151"/>
      <c r="E149" s="151"/>
      <c r="F149" s="151"/>
      <c r="G149" s="152" t="n">
        <f aca="false">H23</f>
        <v>0</v>
      </c>
      <c r="H149" s="33" t="n">
        <v>0</v>
      </c>
      <c r="J149" s="151" t="s">
        <v>166</v>
      </c>
      <c r="K149" s="151"/>
      <c r="L149" s="151"/>
      <c r="M149" s="151"/>
      <c r="N149" s="151"/>
      <c r="O149" s="151"/>
      <c r="P149" s="153" t="n">
        <f aca="false">H14</f>
        <v>0</v>
      </c>
      <c r="Q149" s="33" t="n">
        <v>55</v>
      </c>
      <c r="S149" s="151" t="s">
        <v>166</v>
      </c>
      <c r="T149" s="151"/>
      <c r="U149" s="151"/>
      <c r="V149" s="151"/>
      <c r="W149" s="151"/>
      <c r="X149" s="151"/>
      <c r="Y149" s="153" t="n">
        <f aca="false">H14</f>
        <v>0</v>
      </c>
      <c r="Z149" s="33" t="n">
        <v>55</v>
      </c>
      <c r="AB149" s="151" t="s">
        <v>166</v>
      </c>
      <c r="AC149" s="151"/>
      <c r="AD149" s="151"/>
      <c r="AE149" s="151"/>
      <c r="AF149" s="151"/>
      <c r="AG149" s="151"/>
      <c r="AH149" s="153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1" t="s">
        <v>167</v>
      </c>
      <c r="B150" s="151"/>
      <c r="C150" s="151"/>
      <c r="D150" s="151"/>
      <c r="E150" s="151"/>
      <c r="F150" s="151"/>
      <c r="G150" s="154" t="n">
        <f aca="false">(G144+G145+G148+G149+G146)-G147</f>
        <v>24600</v>
      </c>
      <c r="H150" s="154" t="n">
        <f aca="false">(H144+H145+H148+H149+H146)-H147</f>
        <v>27000</v>
      </c>
      <c r="J150" s="151" t="s">
        <v>167</v>
      </c>
      <c r="K150" s="151"/>
      <c r="L150" s="151"/>
      <c r="M150" s="151"/>
      <c r="N150" s="151"/>
      <c r="O150" s="151"/>
      <c r="P150" s="155" t="n">
        <f aca="false">H15</f>
        <v>0</v>
      </c>
      <c r="Q150" s="154" t="e">
        <f aca="false">(Q144+Q145+Q148+Q149+Q146)-Q147</f>
        <v>#VALUE!</v>
      </c>
      <c r="S150" s="151" t="s">
        <v>167</v>
      </c>
      <c r="T150" s="151"/>
      <c r="U150" s="151"/>
      <c r="V150" s="151"/>
      <c r="W150" s="151"/>
      <c r="X150" s="151"/>
      <c r="Y150" s="155" t="n">
        <f aca="false">H15</f>
        <v>0</v>
      </c>
      <c r="Z150" s="154" t="e">
        <f aca="false">(Z144+Z145+Z148+Z149+Z146)-Z147</f>
        <v>#VALUE!</v>
      </c>
      <c r="AB150" s="151" t="s">
        <v>167</v>
      </c>
      <c r="AC150" s="151"/>
      <c r="AD150" s="151"/>
      <c r="AE150" s="151"/>
      <c r="AF150" s="151"/>
      <c r="AG150" s="151"/>
      <c r="AH150" s="155" t="n">
        <f aca="false">H15</f>
        <v>0</v>
      </c>
      <c r="AI150" s="154" t="e">
        <f aca="false">(AI144+AI145+AI148+AI149+AI146)-AI147</f>
        <v>#VALUE!</v>
      </c>
    </row>
    <row r="151" customFormat="false" ht="17.35" hidden="false" customHeight="false" outlineLevel="0" collapsed="false">
      <c r="A151" s="151" t="s">
        <v>168</v>
      </c>
      <c r="B151" s="151"/>
      <c r="C151" s="151"/>
      <c r="D151" s="151"/>
      <c r="E151" s="151"/>
      <c r="F151" s="151"/>
      <c r="G151" s="40" t="n">
        <f aca="false">F151</f>
        <v>0</v>
      </c>
      <c r="H151" s="40" t="n">
        <f aca="false">G151</f>
        <v>0</v>
      </c>
      <c r="J151" s="151" t="s">
        <v>168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168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168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169</v>
      </c>
      <c r="B152" s="107"/>
      <c r="C152" s="107"/>
      <c r="D152" s="107"/>
      <c r="E152" s="107" t="n">
        <v>0</v>
      </c>
      <c r="F152" s="107"/>
      <c r="G152" s="33" t="n">
        <v>0</v>
      </c>
      <c r="H152" s="33"/>
      <c r="J152" s="156" t="s">
        <v>169</v>
      </c>
      <c r="K152" s="156"/>
      <c r="L152" s="156"/>
      <c r="M152" s="156"/>
      <c r="N152" s="156"/>
      <c r="O152" s="156"/>
      <c r="P152" s="38"/>
      <c r="Q152" s="33"/>
      <c r="S152" s="107" t="s">
        <v>169</v>
      </c>
      <c r="T152" s="107"/>
      <c r="U152" s="107"/>
      <c r="V152" s="107"/>
      <c r="W152" s="107"/>
      <c r="X152" s="107"/>
      <c r="Y152" s="38"/>
      <c r="Z152" s="33"/>
      <c r="AB152" s="107" t="s">
        <v>169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n">
        <v>0</v>
      </c>
      <c r="C153" s="158"/>
      <c r="D153" s="158"/>
      <c r="E153" s="158"/>
      <c r="F153" s="158"/>
      <c r="G153" s="40" t="n">
        <v>0</v>
      </c>
      <c r="H153" s="40" t="n">
        <v>0</v>
      </c>
      <c r="J153" s="157" t="s">
        <v>13</v>
      </c>
      <c r="K153" s="158" t="s">
        <v>170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170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170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170</v>
      </c>
      <c r="C154" s="158"/>
      <c r="D154" s="158"/>
      <c r="E154" s="158"/>
      <c r="F154" s="158"/>
      <c r="G154" s="40" t="n"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170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170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170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170</v>
      </c>
      <c r="C155" s="160"/>
      <c r="D155" s="160"/>
      <c r="E155" s="160"/>
      <c r="F155" s="160"/>
      <c r="G155" s="40" t="n"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170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170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170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171</v>
      </c>
      <c r="B156" s="151"/>
      <c r="C156" s="151"/>
      <c r="D156" s="151"/>
      <c r="E156" s="151"/>
      <c r="F156" s="151"/>
      <c r="G156" s="161" t="n">
        <f aca="false">G150-((G153*1.2)+(G154*1.2)+(G155*1.2)+(G151*1.2))</f>
        <v>24600</v>
      </c>
      <c r="H156" s="161" t="n">
        <f aca="false">H150-((H153*1.2)+(H154*1.2)+(H155*1.2)+(H151*1.2))</f>
        <v>27000</v>
      </c>
      <c r="J156" s="162" t="s">
        <v>171</v>
      </c>
      <c r="K156" s="162"/>
      <c r="L156" s="162"/>
      <c r="M156" s="162"/>
      <c r="N156" s="162"/>
      <c r="O156" s="162"/>
      <c r="P156" s="155" t="n">
        <f aca="false">P150-((P153*1.2)+(P154*1.2)+(P155*1.2)+(P151*1.2))</f>
        <v>0</v>
      </c>
      <c r="Q156" s="161" t="e">
        <f aca="false">Q150-((Q153*1.2)+(Q154*1.2)+(Q155*1.2)+(Q151*1.2))</f>
        <v>#VALUE!</v>
      </c>
      <c r="S156" s="151" t="s">
        <v>171</v>
      </c>
      <c r="T156" s="151"/>
      <c r="U156" s="151"/>
      <c r="V156" s="151"/>
      <c r="W156" s="151"/>
      <c r="X156" s="151"/>
      <c r="Y156" s="155" t="n">
        <f aca="false">Y150-((Y153*1.2)+(Y154*1.2)+(Y155*1.2)+(Y151*1.2))</f>
        <v>0</v>
      </c>
      <c r="Z156" s="161" t="e">
        <f aca="false">Z150-((Z153*1.2)+(Z154*1.2)+(Z155*1.2)+(Z151*1.2))</f>
        <v>#VALUE!</v>
      </c>
      <c r="AB156" s="151" t="s">
        <v>171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0</v>
      </c>
      <c r="AI156" s="161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1" t="s">
        <v>172</v>
      </c>
      <c r="B157" s="151"/>
      <c r="C157" s="151"/>
      <c r="D157" s="151"/>
      <c r="E157" s="151"/>
      <c r="F157" s="151"/>
      <c r="G157" s="152"/>
      <c r="H157" s="40" t="n">
        <f aca="false">((H156-G156)-(H146-G146))+((I155-I154)*0.2)</f>
        <v>2000</v>
      </c>
      <c r="I157" s="1" t="n">
        <f aca="false">(H157-G90)/1.2</f>
        <v>1666.66666666667</v>
      </c>
      <c r="J157" s="151" t="s">
        <v>172</v>
      </c>
      <c r="K157" s="151"/>
      <c r="L157" s="151"/>
      <c r="M157" s="151"/>
      <c r="N157" s="151"/>
      <c r="O157" s="151"/>
      <c r="P157" s="153"/>
      <c r="Q157" s="40" t="e">
        <f aca="false">Q156-P156</f>
        <v>#VALUE!</v>
      </c>
      <c r="S157" s="151" t="s">
        <v>172</v>
      </c>
      <c r="T157" s="151"/>
      <c r="U157" s="151"/>
      <c r="V157" s="151"/>
      <c r="W157" s="151"/>
      <c r="X157" s="151"/>
      <c r="Y157" s="153"/>
      <c r="Z157" s="40" t="e">
        <f aca="false">Z156-Y156</f>
        <v>#VALUE!</v>
      </c>
      <c r="AB157" s="151" t="s">
        <v>172</v>
      </c>
      <c r="AC157" s="151"/>
      <c r="AD157" s="151"/>
      <c r="AE157" s="151"/>
      <c r="AF157" s="151"/>
      <c r="AG157" s="151"/>
      <c r="AH157" s="153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174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174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174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175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175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175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176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176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176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177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177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177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178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178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178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179</v>
      </c>
      <c r="B167" s="32"/>
      <c r="C167" s="32"/>
      <c r="D167" s="23"/>
      <c r="E167" s="32"/>
      <c r="F167" s="23"/>
      <c r="G167" s="167" t="n">
        <f aca="false">H156-G163-G166</f>
        <v>27000</v>
      </c>
      <c r="H167" s="167"/>
      <c r="J167" s="166" t="s">
        <v>179</v>
      </c>
      <c r="K167" s="32"/>
      <c r="L167" s="32"/>
      <c r="M167" s="23"/>
      <c r="N167" s="32"/>
      <c r="O167" s="23"/>
      <c r="P167" s="167" t="e">
        <f aca="false">Q156-P163-P166</f>
        <v>#VALUE!</v>
      </c>
      <c r="Q167" s="167"/>
      <c r="S167" s="166" t="s">
        <v>179</v>
      </c>
      <c r="T167" s="32"/>
      <c r="U167" s="32"/>
      <c r="V167" s="23"/>
      <c r="W167" s="32"/>
      <c r="X167" s="23"/>
      <c r="Y167" s="167" t="e">
        <f aca="false">Z156-Y163-Y166</f>
        <v>#VALUE!</v>
      </c>
      <c r="Z167" s="167"/>
      <c r="AB167" s="166" t="s">
        <v>179</v>
      </c>
      <c r="AC167" s="32"/>
      <c r="AD167" s="32"/>
      <c r="AE167" s="23"/>
      <c r="AF167" s="32"/>
      <c r="AG167" s="23"/>
      <c r="AH167" s="167" t="e">
        <f aca="false">AI156-AH163-AH166</f>
        <v>#VALUE!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199.99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181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181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181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182</v>
      </c>
      <c r="B175" s="171" t="s">
        <v>183</v>
      </c>
      <c r="C175" s="171"/>
      <c r="D175" s="171"/>
      <c r="E175" s="171" t="s">
        <v>184</v>
      </c>
      <c r="F175" s="23"/>
      <c r="G175" s="23"/>
      <c r="H175" s="33"/>
      <c r="J175" s="170" t="s">
        <v>182</v>
      </c>
      <c r="K175" s="172" t="s">
        <v>183</v>
      </c>
      <c r="L175" s="172"/>
      <c r="M175" s="172"/>
      <c r="N175" s="172" t="s">
        <v>184</v>
      </c>
      <c r="O175" s="23"/>
      <c r="P175" s="23"/>
      <c r="Q175" s="33"/>
      <c r="S175" s="170" t="s">
        <v>182</v>
      </c>
      <c r="T175" s="172" t="s">
        <v>183</v>
      </c>
      <c r="U175" s="172"/>
      <c r="V175" s="172"/>
      <c r="W175" s="172" t="s">
        <v>184</v>
      </c>
      <c r="X175" s="23"/>
      <c r="Y175" s="23"/>
      <c r="Z175" s="33"/>
      <c r="AB175" s="170" t="s">
        <v>182</v>
      </c>
      <c r="AC175" s="172" t="s">
        <v>183</v>
      </c>
      <c r="AD175" s="172"/>
      <c r="AE175" s="172"/>
      <c r="AF175" s="172" t="s">
        <v>184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1298.29756327109</v>
      </c>
      <c r="B176" s="174" t="n">
        <f aca="false">B103</f>
        <v>65.4545454545455</v>
      </c>
      <c r="C176" s="171"/>
      <c r="D176" s="171"/>
      <c r="E176" s="174" t="n">
        <f aca="false">B105</f>
        <v>1363.75210872564</v>
      </c>
      <c r="F176" s="23"/>
      <c r="G176" s="23"/>
      <c r="H176" s="33"/>
      <c r="J176" s="173" t="e">
        <f aca="false">K104</f>
        <v>#VALUE!</v>
      </c>
      <c r="K176" s="175" t="n">
        <f aca="false">K103</f>
        <v>0</v>
      </c>
      <c r="L176" s="172"/>
      <c r="M176" s="172"/>
      <c r="N176" s="175" t="e">
        <f aca="false">K105</f>
        <v>#VALUE!</v>
      </c>
      <c r="O176" s="23"/>
      <c r="P176" s="23"/>
      <c r="Q176" s="33"/>
      <c r="S176" s="173" t="e">
        <f aca="false">T104</f>
        <v>#VALUE!</v>
      </c>
      <c r="T176" s="175" t="n">
        <f aca="false">T103</f>
        <v>0</v>
      </c>
      <c r="U176" s="172"/>
      <c r="V176" s="172"/>
      <c r="W176" s="175" t="e">
        <f aca="false">T105</f>
        <v>#VALUE!</v>
      </c>
      <c r="X176" s="23"/>
      <c r="Y176" s="23"/>
      <c r="Z176" s="33"/>
      <c r="AB176" s="173" t="e">
        <f aca="false">AC104</f>
        <v>#VALUE!</v>
      </c>
      <c r="AC176" s="175" t="n">
        <f aca="false">AC103</f>
        <v>0</v>
      </c>
      <c r="AD176" s="172"/>
      <c r="AE176" s="172"/>
      <c r="AF176" s="175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130" t="s">
        <v>83</v>
      </c>
      <c r="C178" s="130"/>
      <c r="D178" s="23"/>
      <c r="E178" s="130" t="s">
        <v>185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185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185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185</v>
      </c>
      <c r="AG178" s="23"/>
      <c r="AH178" s="23"/>
      <c r="AI178" s="33"/>
    </row>
    <row r="179" customFormat="false" ht="17.35" hidden="false" customHeight="false" outlineLevel="0" collapsed="false">
      <c r="A179" s="176" t="str">
        <f aca="false">K29</f>
        <v>12</v>
      </c>
      <c r="B179" s="177" t="str">
        <f aca="false">K30</f>
        <v>5000</v>
      </c>
      <c r="C179" s="178"/>
      <c r="D179" s="23"/>
      <c r="E179" s="179" t="n">
        <v>6000</v>
      </c>
      <c r="F179" s="23"/>
      <c r="G179" s="23"/>
      <c r="H179" s="33"/>
      <c r="J179" s="176" t="str">
        <f aca="false">K29</f>
        <v>12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12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12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186</v>
      </c>
      <c r="B181" s="130" t="s">
        <v>187</v>
      </c>
      <c r="C181" s="130"/>
      <c r="D181" s="23"/>
      <c r="E181" s="130" t="s">
        <v>188</v>
      </c>
      <c r="F181" s="23"/>
      <c r="G181" s="23"/>
      <c r="H181" s="33"/>
      <c r="J181" s="31" t="s">
        <v>186</v>
      </c>
      <c r="K181" s="32" t="s">
        <v>187</v>
      </c>
      <c r="L181" s="32"/>
      <c r="M181" s="23"/>
      <c r="N181" s="32" t="s">
        <v>188</v>
      </c>
      <c r="O181" s="23"/>
      <c r="P181" s="23"/>
      <c r="Q181" s="33"/>
      <c r="S181" s="31" t="s">
        <v>186</v>
      </c>
      <c r="T181" s="32" t="s">
        <v>187</v>
      </c>
      <c r="U181" s="32"/>
      <c r="V181" s="23"/>
      <c r="W181" s="32" t="s">
        <v>188</v>
      </c>
      <c r="X181" s="23"/>
      <c r="Y181" s="23"/>
      <c r="Z181" s="33"/>
      <c r="AB181" s="31" t="s">
        <v>186</v>
      </c>
      <c r="AC181" s="32" t="s">
        <v>187</v>
      </c>
      <c r="AD181" s="32"/>
      <c r="AE181" s="23"/>
      <c r="AF181" s="32" t="s">
        <v>188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22500</v>
      </c>
      <c r="B182" s="99" t="n">
        <f aca="false">H146</f>
        <v>4500</v>
      </c>
      <c r="C182" s="183"/>
      <c r="D182" s="23"/>
      <c r="E182" s="179" t="n">
        <f aca="false">H148+H149</f>
        <v>0</v>
      </c>
      <c r="F182" s="23"/>
      <c r="G182" s="23"/>
      <c r="H182" s="33"/>
      <c r="J182" s="182" t="e">
        <f aca="false">Q150-Q146-Q148-Q149</f>
        <v>#VALUE!</v>
      </c>
      <c r="K182" s="38" t="e">
        <f aca="false">Q146</f>
        <v>#VALUE!</v>
      </c>
      <c r="L182" s="43"/>
      <c r="M182" s="23"/>
      <c r="N182" s="181" t="n">
        <f aca="false">Q148+Q149</f>
        <v>55</v>
      </c>
      <c r="O182" s="23"/>
      <c r="P182" s="23"/>
      <c r="Q182" s="33"/>
      <c r="S182" s="182" t="e">
        <f aca="false">Z150-Z146-Z148-Z149</f>
        <v>#VALUE!</v>
      </c>
      <c r="T182" s="38" t="e">
        <f aca="false">Z146</f>
        <v>#VALUE!</v>
      </c>
      <c r="U182" s="43"/>
      <c r="V182" s="23"/>
      <c r="W182" s="181" t="n">
        <f aca="false">Z148+Z149</f>
        <v>55</v>
      </c>
      <c r="X182" s="23"/>
      <c r="Y182" s="23"/>
      <c r="Z182" s="33"/>
      <c r="AB182" s="182" t="e">
        <f aca="false">AI150-AI146-AI148-AI149</f>
        <v>#VALUE!</v>
      </c>
      <c r="AC182" s="38" t="e">
        <f aca="false">AI146</f>
        <v>#VALUE!</v>
      </c>
      <c r="AD182" s="43"/>
      <c r="AE182" s="23"/>
      <c r="AF182" s="181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189</v>
      </c>
      <c r="B184" s="130" t="s">
        <v>136</v>
      </c>
      <c r="C184" s="130"/>
      <c r="D184" s="23"/>
      <c r="E184" s="130" t="s">
        <v>137</v>
      </c>
      <c r="F184" s="23"/>
      <c r="G184" s="23"/>
      <c r="H184" s="33"/>
      <c r="J184" s="31" t="s">
        <v>189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189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189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27000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130" t="s">
        <v>174</v>
      </c>
      <c r="C187" s="130"/>
      <c r="D187" s="23"/>
      <c r="E187" s="130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27000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190</v>
      </c>
      <c r="B190" s="130" t="s">
        <v>53</v>
      </c>
      <c r="C190" s="130"/>
      <c r="D190" s="23"/>
      <c r="E190" s="130" t="s">
        <v>191</v>
      </c>
      <c r="F190" s="23"/>
      <c r="G190" s="23"/>
      <c r="H190" s="33"/>
      <c r="J190" s="31" t="s">
        <v>190</v>
      </c>
      <c r="K190" s="32" t="s">
        <v>53</v>
      </c>
      <c r="L190" s="32"/>
      <c r="M190" s="23"/>
      <c r="N190" s="32" t="s">
        <v>191</v>
      </c>
      <c r="O190" s="23"/>
      <c r="P190" s="23"/>
      <c r="Q190" s="33"/>
      <c r="S190" s="31" t="s">
        <v>190</v>
      </c>
      <c r="T190" s="32" t="s">
        <v>53</v>
      </c>
      <c r="U190" s="32"/>
      <c r="V190" s="23"/>
      <c r="W190" s="32" t="s">
        <v>191</v>
      </c>
      <c r="X190" s="23"/>
      <c r="Y190" s="23"/>
      <c r="Z190" s="33"/>
      <c r="AB190" s="31" t="s">
        <v>190</v>
      </c>
      <c r="AC190" s="32" t="s">
        <v>53</v>
      </c>
      <c r="AD190" s="32"/>
      <c r="AE190" s="23"/>
      <c r="AF190" s="32" t="s">
        <v>191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-6718.726804018</v>
      </c>
      <c r="B191" s="99" t="str">
        <f aca="false">B123</f>
        <v>199.99</v>
      </c>
      <c r="C191" s="99"/>
      <c r="D191" s="23"/>
      <c r="E191" s="99" t="n">
        <f aca="false">E188+A191+B191+A194</f>
        <v>20491.263195982</v>
      </c>
      <c r="F191" s="23"/>
      <c r="G191" s="23"/>
      <c r="H191" s="101"/>
      <c r="J191" s="107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1"/>
      <c r="S191" s="107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1"/>
      <c r="AB191" s="107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192</v>
      </c>
      <c r="B193" s="130" t="s">
        <v>193</v>
      </c>
      <c r="C193" s="130"/>
      <c r="D193" s="23"/>
      <c r="E193" s="130" t="s">
        <v>194</v>
      </c>
      <c r="F193" s="23"/>
      <c r="G193" s="23"/>
      <c r="H193" s="33"/>
      <c r="J193" s="31" t="s">
        <v>192</v>
      </c>
      <c r="K193" s="32" t="s">
        <v>193</v>
      </c>
      <c r="L193" s="32"/>
      <c r="M193" s="23"/>
      <c r="N193" s="32" t="s">
        <v>194</v>
      </c>
      <c r="O193" s="23"/>
      <c r="P193" s="23"/>
      <c r="Q193" s="33"/>
      <c r="S193" s="31" t="s">
        <v>192</v>
      </c>
      <c r="T193" s="32" t="s">
        <v>193</v>
      </c>
      <c r="U193" s="32"/>
      <c r="V193" s="23"/>
      <c r="W193" s="32" t="s">
        <v>194</v>
      </c>
      <c r="X193" s="23"/>
      <c r="Y193" s="23"/>
      <c r="Z193" s="33"/>
      <c r="AB193" s="31" t="s">
        <v>192</v>
      </c>
      <c r="AC193" s="32" t="s">
        <v>193</v>
      </c>
      <c r="AD193" s="32"/>
      <c r="AE193" s="23"/>
      <c r="AF193" s="32" t="s">
        <v>194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A188+B191*1.2</f>
        <v>239.988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195</v>
      </c>
      <c r="B196" s="130" t="s">
        <v>196</v>
      </c>
      <c r="C196" s="130"/>
      <c r="D196" s="130"/>
      <c r="E196" s="163" t="s">
        <v>197</v>
      </c>
      <c r="F196" s="23"/>
      <c r="G196" s="23"/>
      <c r="H196" s="33"/>
      <c r="J196" s="31" t="s">
        <v>195</v>
      </c>
      <c r="K196" s="32" t="s">
        <v>196</v>
      </c>
      <c r="L196" s="32"/>
      <c r="M196" s="32"/>
      <c r="N196" s="39" t="s">
        <v>197</v>
      </c>
      <c r="O196" s="23"/>
      <c r="P196" s="23"/>
      <c r="Q196" s="33"/>
      <c r="S196" s="31" t="s">
        <v>195</v>
      </c>
      <c r="T196" s="32" t="s">
        <v>196</v>
      </c>
      <c r="U196" s="32"/>
      <c r="V196" s="32"/>
      <c r="W196" s="39" t="s">
        <v>197</v>
      </c>
      <c r="X196" s="32"/>
      <c r="Y196" s="32"/>
      <c r="Z196" s="33"/>
      <c r="AB196" s="31" t="s">
        <v>195</v>
      </c>
      <c r="AC196" s="32" t="s">
        <v>196</v>
      </c>
      <c r="AD196" s="32"/>
      <c r="AE196" s="32"/>
      <c r="AF196" s="39" t="s">
        <v>197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</f>
        <v>8.1052</v>
      </c>
      <c r="B197" s="99" t="n">
        <f aca="false">(G167*B76)/1.2</f>
        <v>112.5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198</v>
      </c>
      <c r="B199" s="163" t="s">
        <v>199</v>
      </c>
      <c r="C199" s="130"/>
      <c r="D199" s="130"/>
      <c r="E199" s="163" t="s">
        <v>200</v>
      </c>
      <c r="F199" s="23"/>
      <c r="G199" s="23"/>
      <c r="H199" s="33"/>
      <c r="J199" s="60" t="s">
        <v>198</v>
      </c>
      <c r="K199" s="39" t="s">
        <v>199</v>
      </c>
      <c r="L199" s="32"/>
      <c r="M199" s="32"/>
      <c r="N199" s="39" t="s">
        <v>200</v>
      </c>
      <c r="O199" s="23"/>
      <c r="P199" s="23"/>
      <c r="Q199" s="33"/>
      <c r="S199" s="60" t="s">
        <v>198</v>
      </c>
      <c r="T199" s="39" t="s">
        <v>199</v>
      </c>
      <c r="U199" s="32"/>
      <c r="V199" s="32"/>
      <c r="W199" s="39" t="s">
        <v>200</v>
      </c>
      <c r="X199" s="32"/>
      <c r="Y199" s="32"/>
      <c r="Z199" s="33"/>
      <c r="AB199" s="60" t="s">
        <v>198</v>
      </c>
      <c r="AC199" s="39" t="s">
        <v>199</v>
      </c>
      <c r="AD199" s="32"/>
      <c r="AE199" s="32"/>
      <c r="AF199" s="39" t="s">
        <v>200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B191-100</f>
        <v>99.99</v>
      </c>
      <c r="B200" s="99" t="n">
        <f aca="false">B197+E197+A200</f>
        <v>212.49</v>
      </c>
      <c r="C200" s="130"/>
      <c r="D200" s="130"/>
      <c r="E200" s="99" t="n">
        <f aca="false">H157</f>
        <v>2000</v>
      </c>
      <c r="F200" s="23"/>
      <c r="G200" s="23"/>
      <c r="H200" s="33"/>
      <c r="J200" s="107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07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07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201</v>
      </c>
      <c r="B202" s="130"/>
      <c r="C202" s="130"/>
      <c r="D202" s="67"/>
      <c r="E202" s="67"/>
      <c r="F202" s="67"/>
      <c r="G202" s="67"/>
      <c r="H202" s="68"/>
      <c r="J202" s="66" t="s">
        <v>201</v>
      </c>
      <c r="K202" s="32"/>
      <c r="L202" s="32"/>
      <c r="M202" s="67"/>
      <c r="N202" s="67"/>
      <c r="O202" s="67"/>
      <c r="P202" s="67"/>
      <c r="Q202" s="68"/>
      <c r="S202" s="66" t="s">
        <v>201</v>
      </c>
      <c r="T202" s="32"/>
      <c r="U202" s="32"/>
      <c r="V202" s="67"/>
      <c r="W202" s="67"/>
      <c r="X202" s="67"/>
      <c r="Y202" s="67"/>
      <c r="Z202" s="68"/>
      <c r="AB202" s="66" t="s">
        <v>201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4" t="s">
        <v>82</v>
      </c>
      <c r="K204" s="185" t="s">
        <v>83</v>
      </c>
      <c r="L204" s="185"/>
      <c r="M204" s="185"/>
      <c r="N204" s="23"/>
      <c r="O204" s="23"/>
      <c r="P204" s="23"/>
      <c r="Q204" s="33"/>
      <c r="S204" s="184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4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1363.75210872564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180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125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202</v>
      </c>
      <c r="B218" s="171" t="str">
        <f aca="false">A206</f>
        <v>12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182</v>
      </c>
      <c r="B220" s="189" t="s">
        <v>183</v>
      </c>
      <c r="C220" s="189"/>
      <c r="D220" s="189"/>
      <c r="E220" s="189" t="s">
        <v>184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1298.29756327109</v>
      </c>
      <c r="B221" s="174" t="n">
        <f aca="false">B176</f>
        <v>65.4545454545455</v>
      </c>
      <c r="C221" s="171"/>
      <c r="D221" s="171"/>
      <c r="E221" s="174" t="n">
        <f aca="false">E176</f>
        <v>1363.75210872564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186</v>
      </c>
      <c r="B223" s="130" t="s">
        <v>187</v>
      </c>
      <c r="C223" s="130"/>
      <c r="D223" s="109"/>
      <c r="E223" s="130" t="s">
        <v>188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22500</v>
      </c>
      <c r="B224" s="99" t="n">
        <f aca="false">B182</f>
        <v>4500</v>
      </c>
      <c r="C224" s="183"/>
      <c r="D224" s="109"/>
      <c r="E224" s="179" t="n">
        <f aca="false">E182</f>
        <v>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189</v>
      </c>
      <c r="B226" s="130" t="s">
        <v>136</v>
      </c>
      <c r="C226" s="130"/>
      <c r="D226" s="109"/>
      <c r="E226" s="130" t="s">
        <v>137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27000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138</v>
      </c>
      <c r="B229" s="130" t="s">
        <v>174</v>
      </c>
      <c r="C229" s="130"/>
      <c r="D229" s="109"/>
      <c r="E229" s="130" t="s">
        <v>179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27000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190</v>
      </c>
      <c r="B232" s="130" t="s">
        <v>53</v>
      </c>
      <c r="C232" s="130"/>
      <c r="D232" s="109"/>
      <c r="E232" s="130" t="s">
        <v>191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-6718.726804018</v>
      </c>
      <c r="B233" s="99" t="str">
        <f aca="false">B191</f>
        <v>199.99</v>
      </c>
      <c r="C233" s="99"/>
      <c r="D233" s="109"/>
      <c r="E233" s="99" t="n">
        <f aca="false">E191</f>
        <v>20491.263195982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192</v>
      </c>
      <c r="B235" s="130" t="s">
        <v>193</v>
      </c>
      <c r="C235" s="130"/>
      <c r="D235" s="109"/>
      <c r="E235" s="130" t="s">
        <v>203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239.988</v>
      </c>
      <c r="C236" s="99"/>
      <c r="D236" s="109"/>
      <c r="E236" s="99" t="n">
        <f aca="false">B68</f>
        <v>11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182</v>
      </c>
      <c r="B238" s="130" t="s">
        <v>183</v>
      </c>
      <c r="C238" s="130"/>
      <c r="D238" s="130"/>
      <c r="E238" s="130" t="s">
        <v>184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1298.29756327109</v>
      </c>
      <c r="B239" s="99" t="n">
        <f aca="false">B176</f>
        <v>65.4545454545455</v>
      </c>
      <c r="C239" s="183"/>
      <c r="D239" s="183"/>
      <c r="E239" s="99" t="n">
        <f aca="false">E176</f>
        <v>1363.75210872564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204</v>
      </c>
      <c r="B241" s="130" t="s">
        <v>205</v>
      </c>
      <c r="C241" s="130"/>
      <c r="D241" s="130"/>
      <c r="E241" s="130" t="s">
        <v>67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</f>
        <v>24.3156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206</v>
      </c>
      <c r="B244" s="163" t="s">
        <v>72</v>
      </c>
      <c r="C244" s="130"/>
      <c r="D244" s="130"/>
      <c r="E244" s="163" t="s">
        <v>130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8.1052</v>
      </c>
      <c r="B245" s="99" t="n">
        <f aca="false">E242+A245</f>
        <v>32.4208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207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208</v>
      </c>
      <c r="B248" s="130" t="s">
        <v>196</v>
      </c>
      <c r="C248" s="130"/>
      <c r="D248" s="130"/>
      <c r="E248" s="163" t="s">
        <v>197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2000</v>
      </c>
      <c r="B249" s="99" t="n">
        <f aca="false">B197</f>
        <v>112.5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198</v>
      </c>
      <c r="B251" s="163" t="s">
        <v>199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</v>
      </c>
      <c r="B252" s="99" t="n">
        <f aca="false">B249+E249+A252+A249</f>
        <v>2212.49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209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210</v>
      </c>
      <c r="B262" s="193" t="n">
        <f aca="false">B72</f>
        <v>0.065</v>
      </c>
      <c r="C262" s="194"/>
      <c r="D262" s="195" t="s">
        <v>211</v>
      </c>
      <c r="E262" s="195"/>
      <c r="F262" s="193" t="n">
        <f aca="false">B92</f>
        <v>0.1475</v>
      </c>
      <c r="G262" s="23"/>
      <c r="H262" s="33"/>
    </row>
    <row r="263" customFormat="false" ht="17.35" hidden="false" customHeight="false" outlineLevel="0" collapsed="false">
      <c r="A263" s="188" t="s">
        <v>212</v>
      </c>
      <c r="B263" s="196"/>
      <c r="C263" s="194"/>
      <c r="D263" s="195" t="s">
        <v>213</v>
      </c>
      <c r="E263" s="195"/>
      <c r="F263" s="196" t="n">
        <f aca="false">F270+F276+F278+B279+B280</f>
        <v>135</v>
      </c>
      <c r="G263" s="23"/>
      <c r="H263" s="33"/>
    </row>
    <row r="264" customFormat="false" ht="17.35" hidden="false" customHeight="false" outlineLevel="0" collapsed="false">
      <c r="A264" s="188" t="s">
        <v>214</v>
      </c>
      <c r="B264" s="196" t="n">
        <f aca="false">F271+B272</f>
        <v>99.99</v>
      </c>
      <c r="C264" s="194"/>
      <c r="D264" s="195" t="s">
        <v>215</v>
      </c>
      <c r="E264" s="195"/>
      <c r="F264" s="196" t="n">
        <f aca="false">(B263-F263)+B264</f>
        <v>-35.01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210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216</v>
      </c>
      <c r="B268" s="201" t="n">
        <f aca="false">B73</f>
        <v>0.072</v>
      </c>
      <c r="C268" s="32"/>
      <c r="D268" s="163" t="s">
        <v>217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211</v>
      </c>
      <c r="B269" s="205" t="n">
        <f aca="false">B92</f>
        <v>0.1475</v>
      </c>
      <c r="C269" s="43"/>
      <c r="D269" s="163" t="s">
        <v>212</v>
      </c>
      <c r="E269" s="163"/>
      <c r="F269" s="143" t="n">
        <f aca="false">(B98*B68)-(C98*B68)</f>
        <v>14281.273195982</v>
      </c>
      <c r="G269" s="23"/>
      <c r="H269" s="33"/>
    </row>
    <row r="270" customFormat="false" ht="17.35" hidden="false" customHeight="false" outlineLevel="0" collapsed="false">
      <c r="A270" s="31" t="s">
        <v>218</v>
      </c>
      <c r="B270" s="205" t="n">
        <f aca="false">B76</f>
        <v>0.005</v>
      </c>
      <c r="C270" s="32"/>
      <c r="D270" s="163" t="s">
        <v>218</v>
      </c>
      <c r="E270" s="163"/>
      <c r="F270" s="148" t="n">
        <f aca="false">B77</f>
        <v>135</v>
      </c>
      <c r="G270" s="23"/>
      <c r="H270" s="33"/>
    </row>
    <row r="271" customFormat="false" ht="17.35" hidden="false" customHeight="false" outlineLevel="0" collapsed="false">
      <c r="A271" s="31" t="s">
        <v>219</v>
      </c>
      <c r="B271" s="201" t="n">
        <f aca="false">A117</f>
        <v>0.2</v>
      </c>
      <c r="C271" s="32"/>
      <c r="D271" s="163" t="s">
        <v>219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220</v>
      </c>
      <c r="B272" s="143" t="n">
        <f aca="false">A252</f>
        <v>99.99</v>
      </c>
      <c r="C272" s="32"/>
      <c r="D272" s="39" t="s">
        <v>215</v>
      </c>
      <c r="E272" s="39"/>
      <c r="F272" s="143" t="n">
        <f aca="false">(B263-F263)+B264</f>
        <v>-35.01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221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222</v>
      </c>
      <c r="B275" s="148" t="n">
        <v>0</v>
      </c>
      <c r="C275" s="32"/>
      <c r="D275" s="206" t="s">
        <v>223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224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225</v>
      </c>
      <c r="B277" s="207" t="s">
        <v>4</v>
      </c>
      <c r="C277" s="32"/>
      <c r="D277" s="163" t="s">
        <v>226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227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228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229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8" colorId="64" zoomScale="85" zoomScaleNormal="85" zoomScalePageLayoutView="100" workbookViewId="0">
      <selection pane="topLeft" activeCell="J19" activeCellId="0" sqref="J1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45" t="s">
        <v>242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246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s">
        <v>247</v>
      </c>
      <c r="I36" s="0"/>
      <c r="J36" s="44" t="s">
        <v>51</v>
      </c>
      <c r="K36" s="52" t="n">
        <f aca="false">K32-K34</f>
        <v>19500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n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500.363636363636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49" t="s">
        <v>4</v>
      </c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500.363636363636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16106.9928207431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253.125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5255.82391109543</v>
      </c>
      <c r="C86" s="130" t="n">
        <f aca="false">(B82/((1+B84)^(B85+1)))</f>
        <v>5255.82391109543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130" t="n">
        <f aca="false">((1-(1/((1+B84)^B85)))/B84)</f>
        <v>27.4464895133802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14244.1760889046</v>
      </c>
      <c r="C88" s="130" t="n">
        <f aca="false">B81-B86</f>
        <v>14244.1760889046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518.979889284584</v>
      </c>
      <c r="C89" s="130" t="n">
        <f aca="false">(B88/B87)</f>
        <v>518.979889284584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16607.3564571067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16607.3564571067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n">
        <f aca="false">IF(B38="YES",((H36/B85)*(1+A108)*1.2),"0")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518.979889284584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518.979889284584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232</v>
      </c>
      <c r="C108" s="103"/>
      <c r="D108" s="103" t="n">
        <v>0</v>
      </c>
      <c r="E108" s="104" t="n">
        <f aca="false">B83</f>
        <v>0.115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24600</v>
      </c>
      <c r="C121" s="117" t="n">
        <v>22500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24600</v>
      </c>
      <c r="C125" s="129" t="n">
        <f aca="false">C121-C124</f>
        <v>22500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20500</v>
      </c>
      <c r="H135" s="150" t="n">
        <f aca="false">C125+E125+G125+H128</f>
        <v>22500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4100</v>
      </c>
      <c r="H137" s="33" t="n">
        <f aca="false">(H135+H136)*20%</f>
        <v>4500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24600</v>
      </c>
      <c r="H141" s="154" t="n">
        <f aca="false">(H135+H136+H139+H140+H137)-H138</f>
        <v>27000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24600</v>
      </c>
      <c r="H147" s="161" t="n">
        <f aca="false">H141-((H144*1.2)+(H145*1.2)+(H146*1.2)+(H142*1.2))</f>
        <v>27000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27000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518.979889284584</v>
      </c>
      <c r="B167" s="174" t="n">
        <f aca="false">B94</f>
        <v>0</v>
      </c>
      <c r="C167" s="171"/>
      <c r="D167" s="171"/>
      <c r="E167" s="174" t="n">
        <f aca="false">B96</f>
        <v>518.979889284584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n">
        <f aca="false">B29</f>
        <v>12345</v>
      </c>
      <c r="B170" s="177" t="n">
        <f aca="false">B30</f>
        <v>0</v>
      </c>
      <c r="C170" s="178"/>
      <c r="D170" s="23"/>
      <c r="E170" s="179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22500</v>
      </c>
      <c r="B173" s="99" t="n">
        <f aca="false">H137</f>
        <v>4500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27000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27000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-3192.64354289331</v>
      </c>
      <c r="B182" s="99" t="str">
        <f aca="false">B114</f>
        <v>239.99</v>
      </c>
      <c r="C182" s="99"/>
      <c r="D182" s="23"/>
      <c r="E182" s="99" t="n">
        <f aca="false">E179+A182+B182+A185</f>
        <v>24057.3464571067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7210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9.72624</v>
      </c>
      <c r="B188" s="99" t="n">
        <f aca="false">(G158*B67)/1.2</f>
        <v>210.9375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310.929166666667</v>
      </c>
      <c r="C191" s="130"/>
      <c r="D191" s="130"/>
      <c r="E191" s="99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518.979889284584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518.979889284584</v>
      </c>
      <c r="B212" s="174" t="n">
        <f aca="false">B167</f>
        <v>0</v>
      </c>
      <c r="C212" s="171"/>
      <c r="D212" s="171"/>
      <c r="E212" s="174" t="n">
        <f aca="false">E167</f>
        <v>518.979889284584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22500</v>
      </c>
      <c r="B215" s="99" t="n">
        <f aca="false">B173</f>
        <v>4500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27000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27000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-3192.64354289331</v>
      </c>
      <c r="B224" s="99" t="str">
        <f aca="false">B182</f>
        <v>239.99</v>
      </c>
      <c r="C224" s="99"/>
      <c r="D224" s="109"/>
      <c r="E224" s="99" t="n">
        <f aca="false">E182</f>
        <v>24057.3464571067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518.979889284584</v>
      </c>
      <c r="B230" s="99" t="n">
        <f aca="false">B167</f>
        <v>0</v>
      </c>
      <c r="C230" s="183"/>
      <c r="D230" s="183"/>
      <c r="E230" s="99" t="n">
        <f aca="false">E167</f>
        <v>518.979889284584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7200</v>
      </c>
      <c r="B233" s="99" t="n">
        <f aca="false">E185</f>
        <v>7210</v>
      </c>
      <c r="C233" s="130"/>
      <c r="D233" s="130"/>
      <c r="E233" s="99" t="n">
        <f aca="false">J18*0.000006*100*1.2</f>
        <v>29.17872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9.72624</v>
      </c>
      <c r="B236" s="99" t="n">
        <f aca="false">E233+A236</f>
        <v>38.90496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B188</f>
        <v>210.9375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2310.92916666667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253.125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-153.133333333333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0.009375</v>
      </c>
      <c r="C261" s="32"/>
      <c r="D261" s="163" t="s">
        <v>218</v>
      </c>
      <c r="E261" s="163"/>
      <c r="F261" s="148" t="n">
        <f aca="false">B68</f>
        <v>253.125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-153.133333333333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C1" colorId="64" zoomScale="85" zoomScaleNormal="85" zoomScalePageLayoutView="100" workbookViewId="0">
      <selection pane="topLeft" activeCell="J19" activeCellId="0" sqref="J1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45" t="s">
        <v>242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19500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0.072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13780.273195982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0.1475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0.0122916666666667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6218.19813516518</v>
      </c>
      <c r="C86" s="130" t="n">
        <f aca="false">(B82/((1+B84)^(B85+1)))</f>
        <v>6218.19813516518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10.2301677524304</v>
      </c>
      <c r="C87" s="130" t="n">
        <f aca="false">((1-(1/((1+B84)^B85)))/B84)</f>
        <v>10.2301677524304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13281.8018648348</v>
      </c>
      <c r="C88" s="130" t="n">
        <f aca="false">B81-B86</f>
        <v>13281.8018648348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1298.29756327109</v>
      </c>
      <c r="C89" s="130" t="n">
        <f aca="false">(B88/B87)</f>
        <v>1298.29756327109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14281.273195982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14281.273195982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1298.29756327109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1298.29756327109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232</v>
      </c>
      <c r="C108" s="103"/>
      <c r="D108" s="103" t="n">
        <v>0</v>
      </c>
      <c r="E108" s="104" t="n">
        <f aca="false">B83</f>
        <v>0.1475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233</v>
      </c>
      <c r="C114" s="103"/>
      <c r="D114" s="103"/>
      <c r="E114" s="103" t="s">
        <v>18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24600</v>
      </c>
      <c r="C121" s="117" t="n">
        <v>22500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24600</v>
      </c>
      <c r="C125" s="129" t="n">
        <f aca="false">C121-C124</f>
        <v>22500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20500</v>
      </c>
      <c r="H135" s="150" t="n">
        <f aca="false">C125+E125+G125+H128</f>
        <v>22500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4100</v>
      </c>
      <c r="H137" s="33" t="n">
        <f aca="false">(H135+H136)*20%</f>
        <v>4500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24600</v>
      </c>
      <c r="H141" s="154" t="n">
        <f aca="false">(H135+H136+H139+H140+H137)-H138</f>
        <v>27000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24600</v>
      </c>
      <c r="H147" s="161" t="n">
        <f aca="false">H141-((H144*1.2)+(H145*1.2)+(H146*1.2)+(H142*1.2))</f>
        <v>27000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27000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1298.29756327109</v>
      </c>
      <c r="B167" s="174" t="str">
        <f aca="false">B94</f>
        <v>0</v>
      </c>
      <c r="C167" s="171"/>
      <c r="D167" s="171"/>
      <c r="E167" s="174" t="n">
        <f aca="false">B96</f>
        <v>1298.29756327109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177" t="str">
        <f aca="false">H30</f>
        <v>5000</v>
      </c>
      <c r="C170" s="178"/>
      <c r="D170" s="23"/>
      <c r="E170" s="179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22500</v>
      </c>
      <c r="B173" s="99" t="n">
        <f aca="false">H137</f>
        <v>4500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27000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27000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-5518.726804018</v>
      </c>
      <c r="B182" s="99" t="str">
        <f aca="false">B114</f>
        <v>199.99</v>
      </c>
      <c r="C182" s="99"/>
      <c r="D182" s="23"/>
      <c r="E182" s="99" t="n">
        <f aca="false">E179+A182+B182+A185</f>
        <v>21691.263195982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239.988</v>
      </c>
      <c r="C185" s="99"/>
      <c r="D185" s="23"/>
      <c r="E185" s="99" t="n">
        <f aca="false">E170+A185</f>
        <v>7210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8.1052</v>
      </c>
      <c r="B188" s="99" t="n">
        <f aca="false">(G158*B67)/1.2</f>
        <v>112.5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212.49</v>
      </c>
      <c r="C191" s="130"/>
      <c r="D191" s="130"/>
      <c r="E191" s="99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1298.29756327109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1298.29756327109</v>
      </c>
      <c r="B212" s="174" t="str">
        <f aca="false">B167</f>
        <v>0</v>
      </c>
      <c r="C212" s="171"/>
      <c r="D212" s="171"/>
      <c r="E212" s="174" t="n">
        <f aca="false">E167</f>
        <v>1298.29756327109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22500</v>
      </c>
      <c r="B215" s="99" t="n">
        <f aca="false">B173</f>
        <v>4500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27000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27000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-5518.726804018</v>
      </c>
      <c r="B224" s="99" t="str">
        <f aca="false">B182</f>
        <v>199.99</v>
      </c>
      <c r="C224" s="99"/>
      <c r="D224" s="109"/>
      <c r="E224" s="99" t="n">
        <f aca="false">E182</f>
        <v>21691.263195982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1298.29756327109</v>
      </c>
      <c r="B230" s="99" t="str">
        <f aca="false">B167</f>
        <v>0</v>
      </c>
      <c r="C230" s="183"/>
      <c r="D230" s="183"/>
      <c r="E230" s="99" t="n">
        <f aca="false">E167</f>
        <v>1298.29756327109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7200</v>
      </c>
      <c r="B233" s="99" t="n">
        <f aca="false">E185</f>
        <v>7210</v>
      </c>
      <c r="C233" s="130"/>
      <c r="D233" s="130"/>
      <c r="E233" s="99" t="n">
        <f aca="false">J18*0.000006*100</f>
        <v>24.3156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8.1052</v>
      </c>
      <c r="B236" s="99" t="n">
        <f aca="false">E233+A236</f>
        <v>32.4208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B188</f>
        <v>112.5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2212.49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-35.01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0.072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0.1475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-35.01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C13" colorId="64" zoomScale="85" zoomScaleNormal="85" zoomScalePageLayoutView="100" workbookViewId="0">
      <selection pane="topLeft" activeCell="K18" activeCellId="0" sqref="K1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45" t="s">
        <v>242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19500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13483.2104278209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0.1255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0.0104583333333333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130" t="n">
        <f aca="false">(B82/((1+B84)^(B85+1)))</f>
        <v>6354.94179987962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130" t="n">
        <f aca="false">((1-(1/((1+B84)^B85)))/B84)</f>
        <v>10.3399216528992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13145.0582001204</v>
      </c>
      <c r="C88" s="130" t="n">
        <f aca="false">B81-B86</f>
        <v>13145.0582001204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1271.29185707463</v>
      </c>
      <c r="C89" s="130" t="n">
        <f aca="false">(B88/B87)</f>
        <v>1271.29185707463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13984.2104278209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13984.2104278209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IF(B38="YES",((H36/B85)*(1+A108)*1.2),"0")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1271.29185707463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1271.29185707463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269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270</v>
      </c>
      <c r="C108" s="103"/>
      <c r="D108" s="103" t="n">
        <v>0</v>
      </c>
      <c r="E108" s="104" t="n">
        <f aca="false">B83</f>
        <v>0.1255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24600</v>
      </c>
      <c r="C121" s="117" t="n">
        <v>22500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24600</v>
      </c>
      <c r="C125" s="129" t="n">
        <f aca="false">C121-C124</f>
        <v>22500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20500</v>
      </c>
      <c r="H135" s="150" t="n">
        <f aca="false">C125+E125+G125+H128</f>
        <v>22500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4100</v>
      </c>
      <c r="H137" s="33" t="n">
        <f aca="false">(H135+H136)*20%</f>
        <v>4500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24600</v>
      </c>
      <c r="H141" s="154" t="n">
        <f aca="false">(H135+H136+H139+H140+H137)-H138</f>
        <v>27000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24600</v>
      </c>
      <c r="H147" s="161" t="n">
        <f aca="false">H141-((H144*1.2)+(H145*1.2)+(H146*1.2)+(H142*1.2))</f>
        <v>27000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27000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1271.29185707463</v>
      </c>
      <c r="B167" s="174" t="str">
        <f aca="false">B94</f>
        <v>0</v>
      </c>
      <c r="C167" s="171"/>
      <c r="D167" s="171"/>
      <c r="E167" s="174" t="n">
        <f aca="false">B96</f>
        <v>1271.29185707463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225" t="str">
        <f aca="false">H30</f>
        <v>5000</v>
      </c>
      <c r="C170" s="178"/>
      <c r="D170" s="23"/>
      <c r="E170" s="179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22500</v>
      </c>
      <c r="B173" s="99" t="n">
        <f aca="false">H137</f>
        <v>4500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27000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27000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-5815.78957217909</v>
      </c>
      <c r="B182" s="99" t="str">
        <f aca="false">B114</f>
        <v>239.99</v>
      </c>
      <c r="C182" s="99"/>
      <c r="D182" s="23"/>
      <c r="E182" s="99" t="n">
        <f aca="false">E179+A182+B182+A185</f>
        <v>21434.2004278209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7210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9.72624</v>
      </c>
      <c r="B188" s="99" t="n">
        <f aca="false">(G158*B67)/1.2</f>
        <v>112.5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212.491666666667</v>
      </c>
      <c r="C191" s="130"/>
      <c r="D191" s="130"/>
      <c r="E191" s="99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1271.29185707463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1271.29185707463</v>
      </c>
      <c r="B212" s="174" t="str">
        <f aca="false">B167</f>
        <v>0</v>
      </c>
      <c r="C212" s="171"/>
      <c r="D212" s="171"/>
      <c r="E212" s="174" t="n">
        <f aca="false">E167</f>
        <v>1271.29185707463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22500</v>
      </c>
      <c r="B215" s="99" t="n">
        <f aca="false">B173</f>
        <v>4500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27000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27000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-5815.78957217909</v>
      </c>
      <c r="B224" s="99" t="str">
        <f aca="false">B182</f>
        <v>239.99</v>
      </c>
      <c r="C224" s="99"/>
      <c r="D224" s="109"/>
      <c r="E224" s="99" t="n">
        <f aca="false">E182</f>
        <v>21434.2004278209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1271.29185707463</v>
      </c>
      <c r="B230" s="99" t="str">
        <f aca="false">B167</f>
        <v>0</v>
      </c>
      <c r="C230" s="183"/>
      <c r="D230" s="183"/>
      <c r="E230" s="99" t="n">
        <f aca="false">E167</f>
        <v>1271.29185707463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7200</v>
      </c>
      <c r="B233" s="99" t="n">
        <f aca="false">E185</f>
        <v>7210</v>
      </c>
      <c r="C233" s="130"/>
      <c r="D233" s="130"/>
      <c r="E233" s="99" t="n">
        <f aca="false">A188</f>
        <v>9.72624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B188</f>
        <v>112.5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2212.49166666667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-35.0083333333333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0.1255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-35.0083333333333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02" colorId="64" zoomScale="85" zoomScaleNormal="85" zoomScalePageLayoutView="100" workbookViewId="0">
      <selection pane="topLeft" activeCell="B68" activeCellId="0" sqref="B6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262" t="s">
        <v>242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19500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263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13483.2104278209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0.1255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0.0104583333333333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130" t="n">
        <f aca="false">(B82/((1+B84)^(B85+1)))</f>
        <v>6354.94179987962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130" t="n">
        <f aca="false">((1-(1/((1+B84)^B85)))/B84)</f>
        <v>10.3399216528992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13145.0582001204</v>
      </c>
      <c r="C88" s="130" t="n">
        <f aca="false">B81-B86</f>
        <v>13145.0582001204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1271.29185707463</v>
      </c>
      <c r="C89" s="130" t="n">
        <f aca="false">(B88/B87)</f>
        <v>1271.29185707463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13984.2104278209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13984.2104278209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1271.29185707463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1271.29185707463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232</v>
      </c>
      <c r="C108" s="103"/>
      <c r="D108" s="103" t="n">
        <v>0</v>
      </c>
      <c r="E108" s="104" t="n">
        <f aca="false">B83</f>
        <v>0.1255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233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24600</v>
      </c>
      <c r="C121" s="117" t="n">
        <v>22500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24600</v>
      </c>
      <c r="C125" s="129" t="n">
        <f aca="false">C121-C124</f>
        <v>22500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20500</v>
      </c>
      <c r="H135" s="150" t="n">
        <f aca="false">C125+E125+G125+H128</f>
        <v>22500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4100</v>
      </c>
      <c r="H137" s="33" t="n">
        <f aca="false">(H135+H136)*20%</f>
        <v>4500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24600</v>
      </c>
      <c r="H141" s="154" t="n">
        <f aca="false">(H135+H136+H139+H140+H137)-H138</f>
        <v>27000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24600</v>
      </c>
      <c r="H147" s="161" t="n">
        <f aca="false">H141-((H144*1.2)+(H145*1.2)+(H146*1.2)+(H142*1.2))</f>
        <v>27000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27000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1271.29185707463</v>
      </c>
      <c r="B167" s="174" t="str">
        <f aca="false">B94</f>
        <v>0</v>
      </c>
      <c r="C167" s="171"/>
      <c r="D167" s="171"/>
      <c r="E167" s="174" t="n">
        <f aca="false">B96</f>
        <v>1271.29185707463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225" t="str">
        <f aca="false">H30</f>
        <v>5000</v>
      </c>
      <c r="C170" s="178"/>
      <c r="D170" s="23"/>
      <c r="E170" s="179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22500</v>
      </c>
      <c r="B173" s="99" t="n">
        <f aca="false">H137</f>
        <v>4500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27000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27000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-5815.78957217909</v>
      </c>
      <c r="B182" s="99" t="str">
        <f aca="false">B114</f>
        <v>199.99</v>
      </c>
      <c r="C182" s="99"/>
      <c r="D182" s="23"/>
      <c r="E182" s="99" t="n">
        <f aca="false">E179+A182+B182+A185</f>
        <v>21394.2004278209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E170+A185</f>
        <v>7210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8.1052</v>
      </c>
      <c r="B188" s="99" t="n">
        <f aca="false">(G158*B67)/1.2</f>
        <v>112.5</v>
      </c>
      <c r="C188" s="130"/>
      <c r="D188" s="130"/>
      <c r="E188" s="99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212.49</v>
      </c>
      <c r="C191" s="130"/>
      <c r="D191" s="130"/>
      <c r="E191" s="99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1271.29185707463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1271.29185707463</v>
      </c>
      <c r="B212" s="174" t="str">
        <f aca="false">B167</f>
        <v>0</v>
      </c>
      <c r="C212" s="171"/>
      <c r="D212" s="171"/>
      <c r="E212" s="174" t="n">
        <f aca="false">E167</f>
        <v>1271.29185707463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22500</v>
      </c>
      <c r="B215" s="99" t="n">
        <f aca="false">B173</f>
        <v>4500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27000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27000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-5815.78957217909</v>
      </c>
      <c r="B224" s="99" t="str">
        <f aca="false">B182</f>
        <v>199.99</v>
      </c>
      <c r="C224" s="99"/>
      <c r="D224" s="109"/>
      <c r="E224" s="99" t="n">
        <f aca="false">E182</f>
        <v>21394.2004278209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1271.29185707463</v>
      </c>
      <c r="B230" s="99" t="str">
        <f aca="false">B167</f>
        <v>0</v>
      </c>
      <c r="C230" s="183"/>
      <c r="D230" s="183"/>
      <c r="E230" s="99" t="n">
        <f aca="false">E167</f>
        <v>1271.29185707463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7200</v>
      </c>
      <c r="B233" s="99" t="n">
        <f aca="false">E185</f>
        <v>7210</v>
      </c>
      <c r="C233" s="130"/>
      <c r="D233" s="130"/>
      <c r="E233" s="99" t="n">
        <f aca="false">A188</f>
        <v>8.1052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B188</f>
        <v>112.5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2212.49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-35.01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0.1255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-35.01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0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62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50</v>
      </c>
      <c r="E32" s="222"/>
      <c r="F32" s="63"/>
      <c r="G32" s="223" t="s">
        <v>241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139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252</v>
      </c>
      <c r="B43" s="236" t="s">
        <v>253</v>
      </c>
      <c r="C43" s="226"/>
      <c r="D43" s="236" t="s">
        <v>257</v>
      </c>
      <c r="E43" s="239"/>
      <c r="F43" s="63"/>
      <c r="G43" s="63" t="s">
        <v>254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1</v>
      </c>
      <c r="C44" s="100"/>
      <c r="D44" s="278" t="n">
        <f aca="false">A44+B44</f>
        <v>2</v>
      </c>
      <c r="E44" s="278"/>
      <c r="F44" s="63"/>
      <c r="G44" s="63" t="s">
        <v>255</v>
      </c>
      <c r="H44" s="234" t="n">
        <f aca="false">((A41*(B35-1))+D32)/B35</f>
        <v>50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272</v>
      </c>
      <c r="B46" s="226"/>
      <c r="C46" s="226"/>
      <c r="D46" s="226"/>
      <c r="E46" s="239"/>
      <c r="F46" s="63"/>
      <c r="G46" s="63" t="s">
        <v>260</v>
      </c>
      <c r="H46" s="234" t="n">
        <f aca="false">H43</f>
        <v>501</v>
      </c>
      <c r="I46" s="234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84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273</v>
      </c>
      <c r="D58" s="211"/>
      <c r="E58" s="212"/>
      <c r="F58" s="63"/>
      <c r="G58" s="210" t="s">
        <v>85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274</v>
      </c>
      <c r="B60" s="211" t="n">
        <f aca="false">E19</f>
        <v>24600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40526</v>
      </c>
      <c r="C61" s="211"/>
      <c r="D61" s="211"/>
      <c r="E61" s="212"/>
      <c r="F61" s="63"/>
      <c r="G61" s="210" t="s">
        <v>14</v>
      </c>
      <c r="H61" s="290" t="n">
        <f aca="false">G18</f>
        <v>40526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1722</v>
      </c>
      <c r="C64" s="211" t="n">
        <v>10000</v>
      </c>
      <c r="D64" s="290" t="n">
        <f aca="false">B64</f>
        <v>1722</v>
      </c>
      <c r="E64" s="212"/>
      <c r="F64" s="63"/>
      <c r="G64" s="284" t="s">
        <v>90</v>
      </c>
      <c r="H64" s="129" t="n">
        <f aca="false">H61*H63</f>
        <v>2836.82</v>
      </c>
      <c r="I64" s="211"/>
      <c r="J64" s="290" t="n">
        <f aca="false">H64</f>
        <v>2836.82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11"/>
      <c r="E65" s="212"/>
      <c r="F65" s="63"/>
      <c r="G65" s="291" t="s">
        <v>91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B60*B66</f>
        <v>246</v>
      </c>
      <c r="C67" s="211"/>
      <c r="D67" s="290"/>
      <c r="E67" s="212"/>
      <c r="F67" s="63"/>
      <c r="G67" s="284" t="s">
        <v>93</v>
      </c>
      <c r="H67" s="129" t="n">
        <f aca="false">H61*H66</f>
        <v>202.63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60</v>
      </c>
      <c r="C73" s="211"/>
      <c r="D73" s="290" t="n">
        <f aca="false">B73+B71</f>
        <v>260</v>
      </c>
      <c r="E73" s="212"/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 t="n">
        <f aca="false">IF(G18&gt;40000, 325, 0)</f>
        <v>325</v>
      </c>
      <c r="D75" s="211"/>
      <c r="E75" s="212"/>
      <c r="F75" s="63"/>
      <c r="G75" s="294" t="s">
        <v>278</v>
      </c>
      <c r="H75" s="298" t="n">
        <f aca="false">IF(G18&gt;40000, 325, 0)</f>
        <v>325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39.5833333333333</v>
      </c>
      <c r="I76" s="211"/>
      <c r="J76" s="290" t="n">
        <f aca="false">H76</f>
        <v>39.5833333333333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280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281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211"/>
      <c r="D79" s="290" t="n">
        <f aca="false">B79</f>
        <v>200</v>
      </c>
      <c r="E79" s="212"/>
      <c r="F79" s="63"/>
      <c r="G79" s="294" t="s">
        <v>100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211"/>
      <c r="D80" s="290" t="n">
        <f aca="false">B80</f>
        <v>200</v>
      </c>
      <c r="E80" s="212"/>
      <c r="F80" s="63"/>
      <c r="G80" s="300" t="s">
        <v>101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3048.66666666667</v>
      </c>
      <c r="C81" s="211"/>
      <c r="D81" s="211"/>
      <c r="E81" s="212"/>
      <c r="F81" s="63"/>
      <c r="G81" s="302" t="s">
        <v>102</v>
      </c>
      <c r="H81" s="303" t="n">
        <f aca="false">SUM(J64:J80)</f>
        <v>4490.40333333333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254.055555555556</v>
      </c>
      <c r="C82" s="211"/>
      <c r="D82" s="211"/>
      <c r="E82" s="212"/>
      <c r="F82" s="63"/>
      <c r="G82" s="210" t="s">
        <v>103</v>
      </c>
      <c r="H82" s="299" t="n">
        <f aca="false">H81/H29</f>
        <v>374.200277777778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H46</f>
        <v>501</v>
      </c>
      <c r="C83" s="211"/>
      <c r="D83" s="211"/>
      <c r="E83" s="212"/>
      <c r="F83" s="63"/>
      <c r="G83" s="304" t="s">
        <v>104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((B83*(H29)+B81))*1.2</f>
        <v>10872.8</v>
      </c>
      <c r="C85" s="211"/>
      <c r="D85" s="211"/>
      <c r="E85" s="212"/>
      <c r="F85" s="63"/>
      <c r="G85" s="287" t="s">
        <v>114</v>
      </c>
      <c r="H85" s="127" t="n">
        <f aca="false">((H83*(H27+H28))+H81)*1.2</f>
        <v>12602.884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(((B83*(H29))+B81)/(1-B70))*B70</f>
        <v>76.7543364259782</v>
      </c>
      <c r="C86" s="211"/>
      <c r="D86" s="211"/>
      <c r="E86" s="212"/>
      <c r="F86" s="63"/>
      <c r="G86" s="210" t="s">
        <v>115</v>
      </c>
      <c r="H86" s="299" t="n">
        <f aca="false">(((H83*(H27+H28))+H81)/(1-H70))*H70</f>
        <v>88.9675151270674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10949.554336426</v>
      </c>
      <c r="C87" s="211"/>
      <c r="D87" s="211"/>
      <c r="E87" s="212"/>
      <c r="F87" s="63"/>
      <c r="G87" s="284" t="s">
        <v>116</v>
      </c>
      <c r="H87" s="129" t="n">
        <f aca="false">IF(H110="YES",((H85+H86)-A151-K114),((H85+H86)-A151))</f>
        <v>12591.8615151271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6" t="n">
        <f aca="false">IF(B99=Z102,(((H44*B35)+(H44*B35)*(B105/100))/(B58))*1.2,(((H44*B35)+(H44*B35)*(B105/100))/(B57+B58))*1.2)</f>
        <v>72</v>
      </c>
      <c r="C89" s="211"/>
      <c r="D89" s="211"/>
      <c r="E89" s="212"/>
      <c r="F89" s="63"/>
      <c r="G89" s="302" t="s">
        <v>117</v>
      </c>
      <c r="H89" s="303" t="n">
        <f aca="false">(A41+(A41*H105))*1.2</f>
        <v>72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IF(B99=Z102, (B87-D105)/(B58), B87/(B57+B58))</f>
        <v>912.462861368832</v>
      </c>
      <c r="C90" s="211"/>
      <c r="D90" s="211"/>
      <c r="E90" s="212"/>
      <c r="F90" s="63"/>
      <c r="G90" s="307" t="s">
        <v>118</v>
      </c>
      <c r="H90" s="308" t="n">
        <f aca="false">IF(H99=AE98, (H87-J105)/(H58), H87/(H57+H58))</f>
        <v>1049.32179292726</v>
      </c>
      <c r="I90" s="211"/>
      <c r="J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984.462861368832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1121.32179292726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282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284</v>
      </c>
      <c r="B99" s="311" t="s">
        <v>285</v>
      </c>
      <c r="C99" s="311"/>
      <c r="D99" s="103" t="n">
        <v>1000</v>
      </c>
      <c r="E99" s="103"/>
      <c r="F99" s="63"/>
      <c r="G99" s="216" t="s">
        <v>284</v>
      </c>
      <c r="H99" s="311" t="s">
        <v>128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2" t="n">
        <f aca="false">199.99*1.2</f>
        <v>239.988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261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262</v>
      </c>
      <c r="AA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263</v>
      </c>
      <c r="AA104" s="63"/>
    </row>
    <row r="105" customFormat="false" ht="18.75" hidden="false" customHeight="true" outlineLevel="0" collapsed="false">
      <c r="A105" s="218" t="s">
        <v>18</v>
      </c>
      <c r="B105" s="311" t="n">
        <v>20</v>
      </c>
      <c r="C105" s="311"/>
      <c r="D105" s="103" t="s">
        <v>289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264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290</v>
      </c>
      <c r="B108" s="213" t="n">
        <v>0</v>
      </c>
      <c r="C108" s="213"/>
      <c r="D108" s="213" t="n">
        <v>0</v>
      </c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239.988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(E118+E117)-D115</f>
        <v>7239.988</v>
      </c>
      <c r="F119" s="63"/>
      <c r="G119" s="314" t="s">
        <v>292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82</v>
      </c>
      <c r="H126" s="211" t="s">
        <v>83</v>
      </c>
      <c r="I126" s="211"/>
      <c r="J126" s="211" t="s">
        <v>85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912.462861368832</v>
      </c>
      <c r="B128" s="320" t="n">
        <f aca="false">IF(A105="YES", B89, 0)</f>
        <v>72</v>
      </c>
      <c r="C128" s="325"/>
      <c r="D128" s="320" t="n">
        <f aca="false">B91</f>
        <v>984.462861368832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296</v>
      </c>
      <c r="H129" s="327" t="s">
        <v>297</v>
      </c>
      <c r="I129" s="327"/>
      <c r="J129" s="327" t="s">
        <v>298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332" t="n">
        <f aca="false">H90</f>
        <v>1049.32179292726</v>
      </c>
      <c r="H130" s="174" t="n">
        <f aca="false">IF(G105="YES", H89*H57, 0)</f>
        <v>72</v>
      </c>
      <c r="I130" s="174"/>
      <c r="J130" s="333" t="n">
        <f aca="false">H91</f>
        <v>1121.32179292726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8212.16575231948</v>
      </c>
      <c r="C131" s="316"/>
      <c r="D131" s="38" t="n">
        <f aca="false">IF(A105="YES", B89*B57, 0)</f>
        <v>648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1049.32179292726</v>
      </c>
      <c r="H133" s="99" t="n">
        <f aca="false">IF(G105="YES", H89*H57, 0)</f>
        <v>72</v>
      </c>
      <c r="I133" s="217"/>
      <c r="J133" s="181" t="n">
        <f aca="false">H91*H57</f>
        <v>1121.32179292726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8860.16575231949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912.462861368832</v>
      </c>
      <c r="B137" s="38" t="n">
        <f aca="false">IF(A105="YES", B89, 0)</f>
        <v>72</v>
      </c>
      <c r="C137" s="316"/>
      <c r="D137" s="38" t="n">
        <f aca="false">B91</f>
        <v>984.462861368832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239.988</v>
      </c>
      <c r="H139" s="99" t="n">
        <f aca="false">H67</f>
        <v>202.63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29.17872</v>
      </c>
      <c r="B140" s="342" t="n">
        <f aca="false">G18*0.000002 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H89*0.1, 0)</f>
        <v>7.2</v>
      </c>
      <c r="H142" s="99" t="n">
        <f aca="false">G102-100</f>
        <v>139.988</v>
      </c>
      <c r="I142" s="99"/>
      <c r="J142" s="99" t="n">
        <f aca="false">(H139+J139+G142+H142)-H145</f>
        <v>1429.818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239.988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246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757.99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1121.32179292726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984.462861368832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125</v>
      </c>
      <c r="B167" s="353" t="s">
        <v>39</v>
      </c>
      <c r="C167" s="354"/>
      <c r="D167" s="353" t="s">
        <v>83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284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118</v>
      </c>
      <c r="B170" s="353" t="s">
        <v>294</v>
      </c>
      <c r="C170" s="354"/>
      <c r="D170" s="353" t="s">
        <v>295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912.462861368832</v>
      </c>
      <c r="B171" s="354" t="n">
        <f aca="false">IF(A105="YES", B89, 0)</f>
        <v>72</v>
      </c>
      <c r="C171" s="357"/>
      <c r="D171" s="354" t="n">
        <f aca="false">B91</f>
        <v>984.462861368832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6"/>
      <c r="D173" s="358" t="s">
        <v>300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Terminal pause with 9 down </v>
      </c>
      <c r="B174" s="99" t="n">
        <f aca="false">B90*B57</f>
        <v>8212.16575231948</v>
      </c>
      <c r="C174" s="352"/>
      <c r="D174" s="99" t="n">
        <f aca="false">IF(A105="YES", B89*B57, 0)</f>
        <v>648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304</v>
      </c>
      <c r="B176" s="163" t="s">
        <v>305</v>
      </c>
      <c r="C176" s="359"/>
      <c r="D176" s="237" t="s">
        <v>203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8860.16575231949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2" t="s">
        <v>294</v>
      </c>
      <c r="C179" s="352"/>
      <c r="D179" s="352" t="s">
        <v>295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912.462861368832</v>
      </c>
      <c r="B180" s="99" t="n">
        <f aca="false">IF(A105="YES", B89, 0)</f>
        <v>72</v>
      </c>
      <c r="C180" s="352"/>
      <c r="D180" s="99" t="n">
        <f aca="false">B91</f>
        <v>984.462861368832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99"/>
      <c r="D182" s="363" t="s">
        <v>72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29.17872</v>
      </c>
      <c r="B183" s="364" t="n">
        <f aca="false">G18*0.000002 *1.2*100</f>
        <v>9.72624</v>
      </c>
      <c r="C183" s="352"/>
      <c r="D183" s="364" t="n">
        <f aca="false">A183+B183</f>
        <v>38.90496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99"/>
      <c r="D185" s="363" t="s">
        <v>280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239.988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246</v>
      </c>
      <c r="B191" s="99" t="n">
        <f aca="false">B102</f>
        <v>400</v>
      </c>
      <c r="C191" s="99"/>
      <c r="D191" s="99" t="n">
        <f aca="false">IF(A105="YES", (A38/100*B105)*B125, 0)*0.001</f>
        <v>12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(E118/1.2)-100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757.99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209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210</v>
      </c>
      <c r="B203" s="368" t="n">
        <f aca="false">B209</f>
        <v>0.065</v>
      </c>
      <c r="C203" s="320" t="s">
        <v>212</v>
      </c>
      <c r="D203" s="369" t="n">
        <f aca="false">D64</f>
        <v>1722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213</v>
      </c>
      <c r="B205" s="320" t="n">
        <f aca="false">B213</f>
        <v>246</v>
      </c>
      <c r="C205" s="319" t="s">
        <v>214</v>
      </c>
      <c r="D205" s="369" t="n">
        <f aca="false">B219+E215+B215+B217</f>
        <v>459.99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215</v>
      </c>
      <c r="B207" s="320" t="n">
        <f aca="false">E217</f>
        <v>1935.99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210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212</v>
      </c>
      <c r="B211" s="100" t="n">
        <f aca="false">D64</f>
        <v>1722</v>
      </c>
      <c r="C211" s="374" t="s">
        <v>218</v>
      </c>
      <c r="D211" s="316"/>
      <c r="E211" s="375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218</v>
      </c>
      <c r="B213" s="100" t="n">
        <f aca="false">B67</f>
        <v>246</v>
      </c>
      <c r="C213" s="335" t="s">
        <v>326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326</v>
      </c>
      <c r="B215" s="237" t="n">
        <f aca="false">B191*E213*100</f>
        <v>40</v>
      </c>
      <c r="C215" s="335" t="s">
        <v>220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327</v>
      </c>
      <c r="B217" s="237" t="n">
        <f aca="false">B78-(B78*(E213*100))</f>
        <v>200</v>
      </c>
      <c r="C217" s="335" t="s">
        <v>215</v>
      </c>
      <c r="D217" s="316"/>
      <c r="E217" s="33" t="n">
        <f aca="false">(B211-B205+D205)</f>
        <v>1935.99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328</v>
      </c>
      <c r="B219" s="340" t="n">
        <f aca="false">D191/0.1</f>
        <v>120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329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222</v>
      </c>
      <c r="B223" s="100" t="n">
        <f aca="false">B71</f>
        <v>200</v>
      </c>
      <c r="C223" s="335" t="s">
        <v>223</v>
      </c>
      <c r="D223" s="342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224</v>
      </c>
      <c r="D224" s="342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225</v>
      </c>
      <c r="B225" s="380" t="n">
        <f aca="false">B68</f>
        <v>0.0075</v>
      </c>
      <c r="C225" s="335" t="s">
        <v>226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227</v>
      </c>
      <c r="D226" s="342"/>
      <c r="E226" s="33" t="n">
        <f aca="false">B86</f>
        <v>76.7543364259782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228</v>
      </c>
      <c r="B227" s="100" t="n">
        <f aca="false">B79</f>
        <v>200</v>
      </c>
      <c r="C227" s="381" t="s">
        <v>330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229</v>
      </c>
      <c r="B229" s="100" t="n">
        <f aca="false">B80</f>
        <v>200</v>
      </c>
      <c r="C229" s="385" t="s">
        <v>331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3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62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50</v>
      </c>
      <c r="E32" s="222"/>
      <c r="F32" s="63"/>
      <c r="G32" s="223" t="s">
        <v>241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139</v>
      </c>
      <c r="E40" s="212"/>
      <c r="F40" s="63"/>
      <c r="G40" s="386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252</v>
      </c>
      <c r="B43" s="236" t="s">
        <v>253</v>
      </c>
      <c r="C43" s="226"/>
      <c r="D43" s="236" t="s">
        <v>257</v>
      </c>
      <c r="E43" s="239"/>
      <c r="F43" s="63"/>
      <c r="G43" s="63" t="s">
        <v>254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1</v>
      </c>
      <c r="C44" s="100"/>
      <c r="D44" s="278" t="n">
        <f aca="false">A44+B44</f>
        <v>2</v>
      </c>
      <c r="E44" s="278"/>
      <c r="F44" s="63"/>
      <c r="G44" s="63" t="s">
        <v>255</v>
      </c>
      <c r="H44" s="234" t="n">
        <f aca="false">((A41*(B35-1))+D32)/B35</f>
        <v>50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272</v>
      </c>
      <c r="B46" s="226"/>
      <c r="C46" s="226"/>
      <c r="D46" s="226"/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63"/>
      <c r="H48" s="234" t="n">
        <f aca="false">(A41*(B58+B57))</f>
        <v>600</v>
      </c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84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273</v>
      </c>
      <c r="D58" s="211"/>
      <c r="E58" s="212"/>
      <c r="F58" s="63"/>
      <c r="G58" s="210" t="s">
        <v>85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274</v>
      </c>
      <c r="B60" s="211" t="n">
        <f aca="false">E19</f>
        <v>24600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40526</v>
      </c>
      <c r="C61" s="211"/>
      <c r="D61" s="211"/>
      <c r="E61" s="212"/>
      <c r="F61" s="63"/>
      <c r="G61" s="210" t="s">
        <v>14</v>
      </c>
      <c r="H61" s="290" t="n">
        <f aca="false">G18</f>
        <v>40526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1722</v>
      </c>
      <c r="C64" s="211" t="n">
        <v>10000</v>
      </c>
      <c r="D64" s="290" t="n">
        <f aca="false">B64</f>
        <v>1722</v>
      </c>
      <c r="E64" s="212"/>
      <c r="F64" s="63"/>
      <c r="G64" s="284" t="s">
        <v>90</v>
      </c>
      <c r="H64" s="129" t="n">
        <f aca="false">H61*H63</f>
        <v>2836.82</v>
      </c>
      <c r="I64" s="211"/>
      <c r="J64" s="290" t="n">
        <f aca="false">H64</f>
        <v>2836.82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11"/>
      <c r="E65" s="212"/>
      <c r="F65" s="63"/>
      <c r="G65" s="291" t="s">
        <v>91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B60*B66</f>
        <v>246</v>
      </c>
      <c r="C67" s="211"/>
      <c r="D67" s="290"/>
      <c r="E67" s="212"/>
      <c r="F67" s="63"/>
      <c r="G67" s="284" t="s">
        <v>93</v>
      </c>
      <c r="H67" s="129" t="n">
        <f aca="false">H61*H66</f>
        <v>202.63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60</v>
      </c>
      <c r="C73" s="211"/>
      <c r="D73" s="290" t="n">
        <f aca="false">B73+B71</f>
        <v>260</v>
      </c>
      <c r="E73" s="212"/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f aca="false">IF(G18&gt;40000, 325, 0)</f>
        <v>325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39.5833333333333</v>
      </c>
      <c r="I76" s="211"/>
      <c r="J76" s="290" t="n">
        <f aca="false">H76</f>
        <v>39.5833333333333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280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281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211"/>
      <c r="D79" s="290" t="n">
        <f aca="false">B79</f>
        <v>200</v>
      </c>
      <c r="E79" s="212"/>
      <c r="F79" s="63"/>
      <c r="G79" s="294" t="s">
        <v>100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211"/>
      <c r="D80" s="290" t="n">
        <f aca="false">B80</f>
        <v>200</v>
      </c>
      <c r="E80" s="212"/>
      <c r="F80" s="63"/>
      <c r="G80" s="300" t="s">
        <v>101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3048.66666666667</v>
      </c>
      <c r="C81" s="211"/>
      <c r="D81" s="211"/>
      <c r="E81" s="212"/>
      <c r="F81" s="63"/>
      <c r="G81" s="302" t="s">
        <v>102</v>
      </c>
      <c r="H81" s="303" t="n">
        <f aca="false">SUM(J64:J80)</f>
        <v>4490.40333333333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254.055555555556</v>
      </c>
      <c r="C82" s="211"/>
      <c r="D82" s="211"/>
      <c r="E82" s="212"/>
      <c r="F82" s="63"/>
      <c r="G82" s="210" t="s">
        <v>103</v>
      </c>
      <c r="H82" s="299" t="n">
        <f aca="false">H81/H29</f>
        <v>374.200277777778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H46</f>
        <v>501</v>
      </c>
      <c r="C83" s="211"/>
      <c r="D83" s="211"/>
      <c r="E83" s="212"/>
      <c r="F83" s="63"/>
      <c r="G83" s="304" t="s">
        <v>104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((B83*(H29)+B81))</f>
        <v>9060.66666666667</v>
      </c>
      <c r="C85" s="211"/>
      <c r="D85" s="211"/>
      <c r="E85" s="212"/>
      <c r="F85" s="63"/>
      <c r="G85" s="287" t="s">
        <v>114</v>
      </c>
      <c r="H85" s="127" t="n">
        <f aca="false">((H83*(H27+H28))+H81)*1.2</f>
        <v>12602.884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(B85/(1-B70))*B70</f>
        <v>76.7543364259782</v>
      </c>
      <c r="C86" s="211"/>
      <c r="D86" s="211"/>
      <c r="E86" s="212"/>
      <c r="F86" s="63"/>
      <c r="G86" s="210" t="s">
        <v>115</v>
      </c>
      <c r="H86" s="299" t="n">
        <f aca="false">(((H83*(H27+H28))+H81)/(1-H70))*H70</f>
        <v>88.9675151270674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9137.42100309265</v>
      </c>
      <c r="C87" s="211"/>
      <c r="D87" s="211"/>
      <c r="E87" s="212"/>
      <c r="F87" s="63"/>
      <c r="G87" s="284" t="s">
        <v>116</v>
      </c>
      <c r="H87" s="129" t="n">
        <f aca="false">IF(H110="YES",((H85+H86)-A151-K114),((H85+H86)-A151))</f>
        <v>12591.8615151271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6" t="n">
        <f aca="false">IF(B99=Z102,(((H44*B35)+(H44*B35)*(B105/100))/(B58)),(((H44*B35)+(H44*B35)*(B105/100))/(B57+B58)))</f>
        <v>60</v>
      </c>
      <c r="C89" s="211" t="s">
        <v>4</v>
      </c>
      <c r="D89" s="211"/>
      <c r="E89" s="212"/>
      <c r="F89" s="63"/>
      <c r="G89" s="302" t="s">
        <v>117</v>
      </c>
      <c r="H89" s="303" t="n">
        <f aca="false">(A41+(A41*H105))*1.2</f>
        <v>72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IF(B99=Z102, (B87-D105)/(B58), B87/(B57+B58))</f>
        <v>761.451750257721</v>
      </c>
      <c r="C90" s="211"/>
      <c r="D90" s="211"/>
      <c r="E90" s="212"/>
      <c r="F90" s="63"/>
      <c r="G90" s="307" t="s">
        <v>118</v>
      </c>
      <c r="H90" s="308" t="n">
        <f aca="false">IF(H99=AE98, (H87-J105)/(H58), H87/(H57+H58))</f>
        <v>1049.32179292726</v>
      </c>
      <c r="I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821.451750257721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1121.32179292726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284</v>
      </c>
      <c r="B99" s="311" t="s">
        <v>285</v>
      </c>
      <c r="C99" s="311"/>
      <c r="D99" s="103" t="n">
        <v>1000</v>
      </c>
      <c r="E99" s="103"/>
      <c r="F99" s="63"/>
      <c r="G99" s="216" t="s">
        <v>284</v>
      </c>
      <c r="H99" s="311" t="s">
        <v>128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261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262</v>
      </c>
      <c r="AA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263</v>
      </c>
      <c r="AA104" s="63"/>
    </row>
    <row r="105" customFormat="false" ht="18.75" hidden="false" customHeight="true" outlineLevel="0" collapsed="false">
      <c r="A105" s="218" t="s">
        <v>18</v>
      </c>
      <c r="B105" s="311" t="n">
        <v>20</v>
      </c>
      <c r="C105" s="311"/>
      <c r="D105" s="103" t="s">
        <v>289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264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290</v>
      </c>
      <c r="B108" s="213" t="n">
        <v>0</v>
      </c>
      <c r="C108" s="213"/>
      <c r="D108" s="213" t="n">
        <v>0</v>
      </c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((E118*1.2)+E117)-D115</f>
        <v>7239.988</v>
      </c>
      <c r="F119" s="63"/>
      <c r="G119" s="314" t="s">
        <v>292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82</v>
      </c>
      <c r="H126" s="211" t="s">
        <v>83</v>
      </c>
      <c r="I126" s="211"/>
      <c r="J126" s="211" t="s">
        <v>85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761.451750257721</v>
      </c>
      <c r="B128" s="320" t="n">
        <f aca="false">IF(A105="YES", B89, 0)</f>
        <v>60</v>
      </c>
      <c r="C128" s="325"/>
      <c r="D128" s="320" t="n">
        <f aca="false">B91</f>
        <v>821.451750257721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296</v>
      </c>
      <c r="H129" s="327" t="s">
        <v>297</v>
      </c>
      <c r="I129" s="327"/>
      <c r="J129" s="327" t="s">
        <v>298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332" t="n">
        <f aca="false">H90</f>
        <v>1049.32179292726</v>
      </c>
      <c r="H130" s="174" t="n">
        <f aca="false">IF(G105="YES", H89*H57, 0)</f>
        <v>72</v>
      </c>
      <c r="I130" s="174"/>
      <c r="J130" s="333" t="n">
        <f aca="false">H91</f>
        <v>1121.32179292726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6853.06575231948</v>
      </c>
      <c r="C131" s="316"/>
      <c r="D131" s="38" t="n">
        <f aca="false">IF(A105="YES", B89*B57, 0)</f>
        <v>540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1049.32179292726</v>
      </c>
      <c r="H133" s="99" t="n">
        <f aca="false">IF(G105="YES", H89*H57, 0)</f>
        <v>72</v>
      </c>
      <c r="I133" s="217"/>
      <c r="J133" s="181" t="n">
        <f aca="false">H91*H57</f>
        <v>1121.32179292726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7393.06575231948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761.451750257721</v>
      </c>
      <c r="B137" s="38" t="n">
        <f aca="false">IF(A105="YES", B89, 0)</f>
        <v>60</v>
      </c>
      <c r="C137" s="316"/>
      <c r="D137" s="38" t="n">
        <f aca="false">B91</f>
        <v>821.451750257721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239.988</v>
      </c>
      <c r="H139" s="99" t="n">
        <f aca="false">H67</f>
        <v>202.63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29.17872</v>
      </c>
      <c r="B140" s="342" t="n">
        <f aca="false">G18*0.000002 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H89*0.1, 0)</f>
        <v>7.2</v>
      </c>
      <c r="H142" s="99" t="n">
        <f aca="false">G102-100</f>
        <v>139.988</v>
      </c>
      <c r="I142" s="99"/>
      <c r="J142" s="99" t="n">
        <f aca="false">(H139+J139+G142+H142)-H145</f>
        <v>1429.818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246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757.99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1121.32179292726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821.451750257721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125</v>
      </c>
      <c r="B167" s="353" t="s">
        <v>39</v>
      </c>
      <c r="C167" s="354"/>
      <c r="D167" s="353" t="s">
        <v>83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284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118</v>
      </c>
      <c r="B170" s="353" t="s">
        <v>294</v>
      </c>
      <c r="C170" s="354"/>
      <c r="D170" s="353" t="s">
        <v>295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761.451750257721</v>
      </c>
      <c r="B171" s="354" t="n">
        <f aca="false">IF(A105="YES", B89, 0)</f>
        <v>60</v>
      </c>
      <c r="C171" s="357"/>
      <c r="D171" s="354" t="n">
        <f aca="false">B91</f>
        <v>821.451750257721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6"/>
      <c r="D173" s="358" t="s">
        <v>300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Terminal pause with 9 down </v>
      </c>
      <c r="B174" s="99" t="n">
        <f aca="false">B90*B57</f>
        <v>6853.06575231948</v>
      </c>
      <c r="C174" s="352"/>
      <c r="D174" s="99" t="n">
        <f aca="false">IF(A105="YES", B89*B57, 0)</f>
        <v>540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304</v>
      </c>
      <c r="B176" s="163" t="s">
        <v>305</v>
      </c>
      <c r="C176" s="359"/>
      <c r="D176" s="237" t="s">
        <v>203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7393.06575231948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2" t="s">
        <v>294</v>
      </c>
      <c r="C179" s="352"/>
      <c r="D179" s="352" t="s">
        <v>295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761.451750257721</v>
      </c>
      <c r="B180" s="99" t="n">
        <f aca="false">IF(A105="YES", B89, 0)</f>
        <v>60</v>
      </c>
      <c r="C180" s="352"/>
      <c r="D180" s="99" t="n">
        <f aca="false">B91</f>
        <v>821.451750257721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99"/>
      <c r="D182" s="363" t="s">
        <v>72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29.17872</v>
      </c>
      <c r="B183" s="364" t="n">
        <f aca="false">G18*0.000002 *1.2*100</f>
        <v>9.72624</v>
      </c>
      <c r="C183" s="352"/>
      <c r="D183" s="364" t="n">
        <f aca="false">A183+B183</f>
        <v>38.90496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99"/>
      <c r="D185" s="363" t="s">
        <v>280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199.99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246</v>
      </c>
      <c r="B191" s="99" t="n">
        <f aca="false">B102</f>
        <v>400</v>
      </c>
      <c r="C191" s="99"/>
      <c r="D191" s="99" t="n">
        <f aca="false">IF(A105="YES", (A38/100*B105)*B125, 0)*0.001</f>
        <v>12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E118-100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757.99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209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210</v>
      </c>
      <c r="B203" s="368" t="n">
        <f aca="false">H29</f>
        <v>12</v>
      </c>
      <c r="C203" s="320" t="s">
        <v>212</v>
      </c>
      <c r="D203" s="369" t="n">
        <f aca="false">D64</f>
        <v>1722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213</v>
      </c>
      <c r="B205" s="320" t="n">
        <f aca="false">B213</f>
        <v>246</v>
      </c>
      <c r="C205" s="319" t="s">
        <v>214</v>
      </c>
      <c r="D205" s="369" t="n">
        <f aca="false">B219+E215+B215+B217</f>
        <v>459.99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215</v>
      </c>
      <c r="B207" s="320" t="n">
        <f aca="false">E217</f>
        <v>1935.99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210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212</v>
      </c>
      <c r="B211" s="100" t="n">
        <f aca="false">D64</f>
        <v>1722</v>
      </c>
      <c r="C211" s="374" t="s">
        <v>218</v>
      </c>
      <c r="D211" s="316"/>
      <c r="E211" s="375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218</v>
      </c>
      <c r="B213" s="100" t="n">
        <f aca="false">B67</f>
        <v>246</v>
      </c>
      <c r="C213" s="335" t="s">
        <v>326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326</v>
      </c>
      <c r="B215" s="237" t="n">
        <f aca="false">B191*E213*100</f>
        <v>40</v>
      </c>
      <c r="C215" s="335" t="s">
        <v>220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327</v>
      </c>
      <c r="B217" s="237" t="n">
        <f aca="false">B78-(B78*(E213*100))</f>
        <v>200</v>
      </c>
      <c r="C217" s="335" t="s">
        <v>215</v>
      </c>
      <c r="D217" s="316"/>
      <c r="E217" s="33" t="n">
        <f aca="false">(B211-B205+D205)</f>
        <v>1935.99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328</v>
      </c>
      <c r="B219" s="340" t="n">
        <f aca="false">D191/0.1</f>
        <v>120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329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222</v>
      </c>
      <c r="B223" s="100" t="n">
        <f aca="false">B71</f>
        <v>200</v>
      </c>
      <c r="C223" s="335" t="s">
        <v>223</v>
      </c>
      <c r="D223" s="342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224</v>
      </c>
      <c r="D224" s="342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225</v>
      </c>
      <c r="B225" s="380" t="n">
        <f aca="false">B68</f>
        <v>0.0075</v>
      </c>
      <c r="C225" s="335" t="s">
        <v>226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227</v>
      </c>
      <c r="D226" s="342"/>
      <c r="E226" s="33" t="n">
        <f aca="false">B86</f>
        <v>76.7543364259782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228</v>
      </c>
      <c r="B227" s="100" t="n">
        <f aca="false">B79</f>
        <v>200</v>
      </c>
      <c r="C227" s="381" t="s">
        <v>330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229</v>
      </c>
      <c r="B229" s="100" t="n">
        <f aca="false">B80</f>
        <v>200</v>
      </c>
      <c r="C229" s="385" t="s">
        <v>331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387"/>
      <c r="I8" s="13" t="s">
        <v>3</v>
      </c>
      <c r="J8" s="14" t="n">
        <f aca="false">E13+E14</f>
        <v>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63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387"/>
      <c r="I10" s="16" t="s">
        <v>1</v>
      </c>
      <c r="J10" s="14" t="n">
        <f aca="false">E15-E11-J8</f>
        <v>0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f aca="false">E15</f>
        <v>0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234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236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237</v>
      </c>
      <c r="B29" s="219" t="n">
        <v>12345</v>
      </c>
      <c r="C29" s="219"/>
      <c r="D29" s="389" t="n">
        <f aca="true">TODAY()+1</f>
        <v>45128</v>
      </c>
      <c r="E29" s="389"/>
      <c r="F29" s="387"/>
      <c r="G29" s="29" t="s">
        <v>28</v>
      </c>
      <c r="H29" s="37" t="n">
        <f aca="false">A32</f>
        <v>12</v>
      </c>
      <c r="I29" s="387"/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42</v>
      </c>
      <c r="B34" s="227" t="s">
        <v>48</v>
      </c>
      <c r="C34" s="226" t="s">
        <v>43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0</v>
      </c>
      <c r="B35" s="219" t="s">
        <v>45</v>
      </c>
      <c r="C35" s="219"/>
      <c r="D35" s="278" t="n">
        <f aca="false">A35-B35</f>
        <v>-1000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45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57</v>
      </c>
      <c r="G40" s="2" t="s">
        <v>58</v>
      </c>
      <c r="H40" s="2" t="n">
        <f aca="false">C15</f>
        <v>4100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333</v>
      </c>
      <c r="B41" s="100" t="s">
        <v>334</v>
      </c>
      <c r="C41" s="100"/>
      <c r="D41" s="219" t="s">
        <v>18</v>
      </c>
      <c r="E41" s="219"/>
      <c r="F41" s="387"/>
      <c r="G41" s="2" t="s">
        <v>59</v>
      </c>
      <c r="H41" s="2" t="n">
        <f aca="false">IF(D41="Yes",A44, 0)</f>
        <v>0</v>
      </c>
      <c r="I41" s="2"/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117</v>
      </c>
      <c r="B43" s="236" t="s">
        <v>67</v>
      </c>
      <c r="C43" s="226" t="s">
        <v>334</v>
      </c>
      <c r="D43" s="236" t="s">
        <v>206</v>
      </c>
      <c r="E43" s="239"/>
      <c r="F43" s="387"/>
      <c r="G43" s="2" t="s">
        <v>64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n">
        <v>0</v>
      </c>
      <c r="B44" s="100" t="s">
        <v>335</v>
      </c>
      <c r="C44" s="100"/>
      <c r="D44" s="100" t="n">
        <v>0</v>
      </c>
      <c r="E44" s="100"/>
      <c r="F44" s="387"/>
      <c r="G44" s="2" t="s">
        <v>65</v>
      </c>
      <c r="H44" s="2" t="n">
        <f aca="false">((H40-(((H42/(1.2))*0.2)))/(H43))</f>
        <v>258.333333333333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69</v>
      </c>
      <c r="H45" s="2" t="n">
        <f aca="false">(H39-H44)+H41</f>
        <v>241.666666666667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70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71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73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74</v>
      </c>
      <c r="H49" s="2" t="n">
        <f aca="false">H45+H48+H47</f>
        <v>244.333333333333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26"/>
      <c r="E50" s="239"/>
      <c r="F50" s="387"/>
      <c r="G50" s="2" t="s">
        <v>338</v>
      </c>
      <c r="H50" s="2" t="n">
        <f aca="false">H49-H41</f>
        <v>244.333333333333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H49</f>
        <v>244.333333333333</v>
      </c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244.333333333333</v>
      </c>
      <c r="C58" s="74"/>
      <c r="D58" s="352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84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7"/>
      <c r="G63" s="315" t="s">
        <v>84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84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85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/>
      <c r="D64" s="316"/>
      <c r="E64" s="317"/>
      <c r="F64" s="387"/>
      <c r="G64" s="315" t="s">
        <v>85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85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210" t="s">
        <v>274</v>
      </c>
      <c r="B66" s="211" t="n">
        <f aca="false">E19</f>
        <v>24600</v>
      </c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316"/>
      <c r="D67" s="316"/>
      <c r="E67" s="317"/>
      <c r="F67" s="387"/>
      <c r="G67" s="315" t="s">
        <v>14</v>
      </c>
      <c r="H67" s="32" t="n">
        <f aca="false">G18</f>
        <v>40526</v>
      </c>
      <c r="I67" s="316"/>
      <c r="J67" s="316"/>
      <c r="K67" s="317"/>
      <c r="L67" s="387"/>
      <c r="M67" s="315" t="s">
        <v>14</v>
      </c>
      <c r="N67" s="32" t="n">
        <f aca="false">G18</f>
        <v>40526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291" t="s">
        <v>275</v>
      </c>
      <c r="B68" s="292" t="n">
        <v>0.07</v>
      </c>
      <c r="C68" s="316"/>
      <c r="D68" s="316"/>
      <c r="E68" s="317"/>
      <c r="F68" s="387"/>
      <c r="G68" s="398" t="s">
        <v>275</v>
      </c>
      <c r="H68" s="399" t="n">
        <v>0.07</v>
      </c>
      <c r="I68" s="316"/>
      <c r="J68" s="316"/>
      <c r="K68" s="317"/>
      <c r="L68" s="387"/>
      <c r="M68" s="398" t="s">
        <v>275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316"/>
      <c r="D69" s="316"/>
      <c r="E69" s="317"/>
      <c r="F69" s="387"/>
      <c r="G69" s="315" t="s">
        <v>276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276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284" t="s">
        <v>90</v>
      </c>
      <c r="B70" s="129" t="n">
        <f aca="false">B67*B69</f>
        <v>2836.82</v>
      </c>
      <c r="C70" s="316" t="n">
        <v>10000</v>
      </c>
      <c r="D70" s="32" t="n">
        <f aca="false">B70-A149</f>
        <v>2836.82</v>
      </c>
      <c r="E70" s="317" t="n">
        <f aca="false">D70/12</f>
        <v>236.401666666667</v>
      </c>
      <c r="F70" s="387"/>
      <c r="G70" s="365" t="s">
        <v>90</v>
      </c>
      <c r="H70" s="65" t="n">
        <f aca="false">H67*H69</f>
        <v>2836.82</v>
      </c>
      <c r="I70" s="316"/>
      <c r="J70" s="32" t="n">
        <f aca="false">H70-G151</f>
        <v>2836.82</v>
      </c>
      <c r="K70" s="317"/>
      <c r="L70" s="387"/>
      <c r="M70" s="365" t="s">
        <v>90</v>
      </c>
      <c r="N70" s="65" t="n">
        <f aca="false">N67*N69</f>
        <v>2836.82</v>
      </c>
      <c r="O70" s="316"/>
      <c r="P70" s="32" t="n">
        <f aca="false">N70-M151</f>
        <v>2836.82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291" t="s">
        <v>91</v>
      </c>
      <c r="B71" s="292" t="n">
        <v>0.01</v>
      </c>
      <c r="C71" s="316"/>
      <c r="D71" s="316"/>
      <c r="E71" s="317"/>
      <c r="F71" s="387"/>
      <c r="G71" s="398" t="s">
        <v>91</v>
      </c>
      <c r="H71" s="399" t="n">
        <v>0.005</v>
      </c>
      <c r="I71" s="316"/>
      <c r="J71" s="316"/>
      <c r="K71" s="317"/>
      <c r="L71" s="387"/>
      <c r="M71" s="398" t="s">
        <v>91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316"/>
      <c r="D72" s="316"/>
      <c r="E72" s="317"/>
      <c r="F72" s="387"/>
      <c r="G72" s="315" t="s">
        <v>92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92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284" t="s">
        <v>93</v>
      </c>
      <c r="B73" s="129" t="n">
        <f aca="false">B66*B72</f>
        <v>246</v>
      </c>
      <c r="C73" s="316"/>
      <c r="D73" s="32"/>
      <c r="E73" s="317"/>
      <c r="F73" s="387"/>
      <c r="G73" s="365" t="s">
        <v>93</v>
      </c>
      <c r="H73" s="65" t="n">
        <f aca="false">H67*H72</f>
        <v>202.63</v>
      </c>
      <c r="I73" s="316"/>
      <c r="J73" s="32"/>
      <c r="K73" s="317"/>
      <c r="L73" s="387"/>
      <c r="M73" s="365" t="s">
        <v>93</v>
      </c>
      <c r="N73" s="65" t="n">
        <f aca="false">N67*N72</f>
        <v>202.63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94</v>
      </c>
      <c r="B74" s="399" t="n">
        <v>0.0075</v>
      </c>
      <c r="C74" s="316"/>
      <c r="D74" s="316"/>
      <c r="E74" s="317"/>
      <c r="F74" s="387"/>
      <c r="G74" s="398" t="s">
        <v>94</v>
      </c>
      <c r="H74" s="399" t="n">
        <v>0.0075</v>
      </c>
      <c r="I74" s="316"/>
      <c r="J74" s="316"/>
      <c r="K74" s="317"/>
      <c r="L74" s="387"/>
      <c r="M74" s="398" t="s">
        <v>94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95</v>
      </c>
      <c r="B75" s="401" t="n">
        <v>0.12</v>
      </c>
      <c r="C75" s="316"/>
      <c r="D75" s="316"/>
      <c r="E75" s="317"/>
      <c r="F75" s="387"/>
      <c r="G75" s="400" t="s">
        <v>95</v>
      </c>
      <c r="H75" s="401" t="n">
        <v>0.12</v>
      </c>
      <c r="I75" s="316"/>
      <c r="J75" s="316"/>
      <c r="K75" s="317"/>
      <c r="L75" s="387"/>
      <c r="M75" s="400" t="s">
        <v>95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96</v>
      </c>
      <c r="B76" s="402" t="n">
        <f aca="false">B74*(1+B75)</f>
        <v>0.0084</v>
      </c>
      <c r="C76" s="316"/>
      <c r="D76" s="316"/>
      <c r="E76" s="317"/>
      <c r="F76" s="387"/>
      <c r="G76" s="365" t="s">
        <v>96</v>
      </c>
      <c r="H76" s="402" t="n">
        <f aca="false">H74*(1+H75)</f>
        <v>0.0084</v>
      </c>
      <c r="I76" s="316"/>
      <c r="J76" s="316"/>
      <c r="K76" s="317"/>
      <c r="L76" s="387"/>
      <c r="M76" s="365" t="s">
        <v>96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97</v>
      </c>
      <c r="B77" s="86" t="n">
        <v>200</v>
      </c>
      <c r="C77" s="316"/>
      <c r="D77" s="316"/>
      <c r="E77" s="317"/>
      <c r="F77" s="387"/>
      <c r="G77" s="398" t="s">
        <v>97</v>
      </c>
      <c r="H77" s="86" t="n">
        <v>160</v>
      </c>
      <c r="I77" s="316"/>
      <c r="J77" s="316"/>
      <c r="K77" s="317"/>
      <c r="L77" s="387"/>
      <c r="M77" s="398" t="s">
        <v>97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98</v>
      </c>
      <c r="B78" s="77" t="n">
        <v>5</v>
      </c>
      <c r="C78" s="316"/>
      <c r="D78" s="316"/>
      <c r="E78" s="317"/>
      <c r="F78" s="387"/>
      <c r="G78" s="400" t="s">
        <v>98</v>
      </c>
      <c r="H78" s="77" t="n">
        <v>4.5</v>
      </c>
      <c r="I78" s="316"/>
      <c r="J78" s="316"/>
      <c r="K78" s="317"/>
      <c r="L78" s="387"/>
      <c r="M78" s="400" t="s">
        <v>98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99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99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99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277</v>
      </c>
      <c r="B80" s="86" t="n">
        <v>275</v>
      </c>
      <c r="C80" s="316"/>
      <c r="D80" s="316"/>
      <c r="E80" s="403" t="n">
        <f aca="false">E79+D82</f>
        <v>957.916666666667</v>
      </c>
      <c r="F80" s="387"/>
      <c r="G80" s="398" t="s">
        <v>277</v>
      </c>
      <c r="H80" s="86" t="n">
        <v>150</v>
      </c>
      <c r="I80" s="316"/>
      <c r="J80" s="316"/>
      <c r="K80" s="317"/>
      <c r="L80" s="387"/>
      <c r="M80" s="404" t="s">
        <v>277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278</v>
      </c>
      <c r="B81" s="77" t="n">
        <v>0</v>
      </c>
      <c r="C81" s="316"/>
      <c r="D81" s="316"/>
      <c r="E81" s="317" t="n">
        <f aca="false">E80/12</f>
        <v>79.8263888888889</v>
      </c>
      <c r="F81" s="387"/>
      <c r="G81" s="400" t="s">
        <v>278</v>
      </c>
      <c r="H81" s="77" t="n">
        <f aca="false">IF(G18&gt;40000, 325, 0)</f>
        <v>325</v>
      </c>
      <c r="I81" s="316"/>
      <c r="J81" s="316"/>
      <c r="K81" s="317"/>
      <c r="L81" s="387"/>
      <c r="M81" s="406" t="s">
        <v>278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279</v>
      </c>
      <c r="B82" s="65" t="n">
        <f aca="false">((B80+B81)/12)*(H29+1)</f>
        <v>297.916666666667</v>
      </c>
      <c r="C82" s="316"/>
      <c r="D82" s="32" t="n">
        <f aca="false">IF(A50="YES", 0, B82)</f>
        <v>297.916666666667</v>
      </c>
      <c r="E82" s="317"/>
      <c r="F82" s="387"/>
      <c r="G82" s="365" t="s">
        <v>279</v>
      </c>
      <c r="H82" s="65" t="n">
        <f aca="false">((H80+H81)/12)*(H29-11)</f>
        <v>39.5833333333333</v>
      </c>
      <c r="I82" s="316"/>
      <c r="J82" s="32" t="n">
        <f aca="false">IF(A50="YES", 0, H82)</f>
        <v>39.5833333333333</v>
      </c>
      <c r="K82" s="317"/>
      <c r="L82" s="387"/>
      <c r="M82" s="408" t="s">
        <v>279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280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280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280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281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281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100</v>
      </c>
      <c r="B85" s="77" t="n">
        <v>200</v>
      </c>
      <c r="C85" s="316"/>
      <c r="D85" s="32" t="n">
        <f aca="false">B85</f>
        <v>200</v>
      </c>
      <c r="E85" s="317"/>
      <c r="F85" s="387"/>
      <c r="G85" s="400" t="s">
        <v>100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100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101</v>
      </c>
      <c r="B86" s="87" t="n">
        <v>200</v>
      </c>
      <c r="C86" s="316"/>
      <c r="D86" s="32" t="n">
        <f aca="false">B86</f>
        <v>200</v>
      </c>
      <c r="E86" s="317"/>
      <c r="F86" s="387"/>
      <c r="G86" s="410" t="s">
        <v>101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101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102</v>
      </c>
      <c r="B87" s="412" t="n">
        <f aca="false">SUM(D70:D86)</f>
        <v>4461.40333333333</v>
      </c>
      <c r="C87" s="316"/>
      <c r="D87" s="316"/>
      <c r="E87" s="317"/>
      <c r="F87" s="387"/>
      <c r="G87" s="411" t="s">
        <v>102</v>
      </c>
      <c r="H87" s="412" t="n">
        <f aca="false">SUM(J70:J86)</f>
        <v>5990.40333333333</v>
      </c>
      <c r="I87" s="316"/>
      <c r="J87" s="316"/>
      <c r="K87" s="317"/>
      <c r="L87" s="387"/>
      <c r="M87" s="411" t="s">
        <v>102</v>
      </c>
      <c r="N87" s="412" t="n">
        <f aca="false">SUM(P70:P86)</f>
        <v>5950.82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103</v>
      </c>
      <c r="B88" s="33" t="n">
        <f aca="false">B87/H29</f>
        <v>371.783611111111</v>
      </c>
      <c r="C88" s="316"/>
      <c r="D88" s="316"/>
      <c r="E88" s="317"/>
      <c r="F88" s="387"/>
      <c r="G88" s="315" t="s">
        <v>103</v>
      </c>
      <c r="H88" s="33" t="n">
        <f aca="false">H87/H29</f>
        <v>499.200277777778</v>
      </c>
      <c r="I88" s="316"/>
      <c r="J88" s="316"/>
      <c r="K88" s="317"/>
      <c r="L88" s="387"/>
      <c r="M88" s="315" t="s">
        <v>103</v>
      </c>
      <c r="N88" s="33" t="n">
        <f aca="false">N87/H29</f>
        <v>495.901666666667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104</v>
      </c>
      <c r="B89" s="59" t="n">
        <f aca="false">H50</f>
        <v>244.333333333333</v>
      </c>
      <c r="C89" s="316"/>
      <c r="D89" s="316"/>
      <c r="E89" s="317"/>
      <c r="F89" s="387"/>
      <c r="G89" s="413" t="s">
        <v>104</v>
      </c>
      <c r="H89" s="59" t="n">
        <f aca="false">H46</f>
        <v>0</v>
      </c>
      <c r="I89" s="316"/>
      <c r="J89" s="316"/>
      <c r="K89" s="317"/>
      <c r="L89" s="387"/>
      <c r="M89" s="413" t="s">
        <v>104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114</v>
      </c>
      <c r="B91" s="27" t="n">
        <f aca="false">((B89*H29)+B87)*1.2</f>
        <v>8872.084</v>
      </c>
      <c r="C91" s="316"/>
      <c r="D91" s="316"/>
      <c r="E91" s="317"/>
      <c r="F91" s="387"/>
      <c r="G91" s="395" t="s">
        <v>114</v>
      </c>
      <c r="H91" s="27" t="n">
        <f aca="false">((H89*H29)+H87)*1.2</f>
        <v>7188.484</v>
      </c>
      <c r="I91" s="316"/>
      <c r="J91" s="316"/>
      <c r="K91" s="317"/>
      <c r="L91" s="387"/>
      <c r="M91" s="395" t="s">
        <v>114</v>
      </c>
      <c r="N91" s="27" t="n">
        <f aca="false">((N89*H29)+N87)</f>
        <v>5950.82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115</v>
      </c>
      <c r="B92" s="33" t="n">
        <f aca="false">(((B89*H29)+B87)/(1-B76))*B76</f>
        <v>62.6306857603873</v>
      </c>
      <c r="C92" s="316"/>
      <c r="D92" s="316"/>
      <c r="E92" s="414"/>
      <c r="F92" s="387"/>
      <c r="G92" s="315" t="s">
        <v>115</v>
      </c>
      <c r="H92" s="33" t="n">
        <f aca="false">(((H89*H29)+H87)/(1-H76))*H76</f>
        <v>50.7456514723679</v>
      </c>
      <c r="I92" s="316"/>
      <c r="J92" s="316"/>
      <c r="K92" s="317"/>
      <c r="L92" s="387"/>
      <c r="M92" s="315" t="s">
        <v>115</v>
      </c>
      <c r="N92" s="33" t="n">
        <f aca="false">(N91/(1-N76))*N76</f>
        <v>50.4103348124244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116</v>
      </c>
      <c r="B93" s="65" t="n">
        <f aca="false">IF(B116="YES",((B91+B92)-E120),(B91+B92))</f>
        <v>8934.71468576039</v>
      </c>
      <c r="C93" s="316"/>
      <c r="D93" s="316"/>
      <c r="E93" s="317"/>
      <c r="F93" s="387"/>
      <c r="G93" s="365" t="s">
        <v>116</v>
      </c>
      <c r="H93" s="65" t="n">
        <f aca="false">IF(H116="YES",((H91+H92)-K120),(H91+H92))</f>
        <v>9239.22965147237</v>
      </c>
      <c r="I93" s="316"/>
      <c r="J93" s="316"/>
      <c r="K93" s="317"/>
      <c r="L93" s="387"/>
      <c r="M93" s="365" t="s">
        <v>116</v>
      </c>
      <c r="N93" s="65" t="n">
        <f aca="false">IF(N116="YES",((N91+N92)-K120),(N91+N92))</f>
        <v>8001.23033481242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117</v>
      </c>
      <c r="B95" s="412" t="n">
        <f aca="false">IF(B105=Z104,(((H41*A32)+(H41*A32)*(B111/100))/(B64)),(((H41*A32)+(H41*A32)*(B111/100))/(B63+B64)))*1.2</f>
        <v>0</v>
      </c>
      <c r="C95" s="316"/>
      <c r="D95" s="316"/>
      <c r="E95" s="317"/>
      <c r="F95" s="387"/>
      <c r="G95" s="411" t="s">
        <v>117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117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118</v>
      </c>
      <c r="B96" s="416" t="n">
        <f aca="false">IF(B105=Z104, (B93-D111)/(B64), B93/(B63+B64))</f>
        <v>744.559557146699</v>
      </c>
      <c r="C96" s="316"/>
      <c r="D96" s="316"/>
      <c r="E96" s="317"/>
      <c r="F96" s="387"/>
      <c r="G96" s="415" t="s">
        <v>118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118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119</v>
      </c>
      <c r="B97" s="418" t="n">
        <f aca="false">IF(A111="YES", B96+B95, B96)</f>
        <v>744.559557146699</v>
      </c>
      <c r="C97" s="316"/>
      <c r="D97" s="419"/>
      <c r="E97" s="317"/>
      <c r="F97" s="387"/>
      <c r="G97" s="417" t="s">
        <v>119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119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387"/>
      <c r="G100" s="209" t="s">
        <v>282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387"/>
      <c r="G102" s="213" t="s">
        <v>124</v>
      </c>
      <c r="H102" s="213"/>
      <c r="I102" s="213"/>
      <c r="J102" s="213"/>
      <c r="K102" s="213"/>
      <c r="L102" s="387"/>
      <c r="M102" s="213" t="s">
        <v>124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128</v>
      </c>
    </row>
    <row r="104" customFormat="false" ht="18.75" hidden="false" customHeight="true" outlineLevel="0" collapsed="false">
      <c r="A104" s="315" t="s">
        <v>125</v>
      </c>
      <c r="B104" s="316" t="s">
        <v>23</v>
      </c>
      <c r="C104" s="316"/>
      <c r="D104" s="316" t="s">
        <v>283</v>
      </c>
      <c r="E104" s="317"/>
      <c r="F104" s="387"/>
      <c r="G104" s="315" t="s">
        <v>125</v>
      </c>
      <c r="H104" s="316" t="s">
        <v>23</v>
      </c>
      <c r="I104" s="316"/>
      <c r="J104" s="316" t="s">
        <v>283</v>
      </c>
      <c r="K104" s="317"/>
      <c r="L104" s="387"/>
      <c r="M104" s="315" t="s">
        <v>125</v>
      </c>
      <c r="N104" s="316" t="s">
        <v>23</v>
      </c>
      <c r="O104" s="316"/>
      <c r="P104" s="316" t="s">
        <v>283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261</v>
      </c>
    </row>
    <row r="105" customFormat="false" ht="18.75" hidden="false" customHeight="true" outlineLevel="0" collapsed="false">
      <c r="A105" s="373"/>
      <c r="B105" s="311" t="s">
        <v>128</v>
      </c>
      <c r="C105" s="311"/>
      <c r="D105" s="420" t="n">
        <v>1000</v>
      </c>
      <c r="E105" s="420"/>
      <c r="F105" s="387"/>
      <c r="G105" s="373" t="s">
        <v>284</v>
      </c>
      <c r="H105" s="311" t="s">
        <v>266</v>
      </c>
      <c r="I105" s="311"/>
      <c r="J105" s="420" t="n">
        <v>5000</v>
      </c>
      <c r="K105" s="420"/>
      <c r="L105" s="387"/>
      <c r="M105" s="373" t="s">
        <v>284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262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263</v>
      </c>
    </row>
    <row r="107" customFormat="false" ht="18.75" hidden="false" customHeight="true" outlineLevel="0" collapsed="false">
      <c r="A107" s="315" t="s">
        <v>286</v>
      </c>
      <c r="B107" s="316" t="s">
        <v>287</v>
      </c>
      <c r="C107" s="316"/>
      <c r="D107" s="316" t="s">
        <v>288</v>
      </c>
      <c r="E107" s="317"/>
      <c r="F107" s="387"/>
      <c r="G107" s="315" t="s">
        <v>286</v>
      </c>
      <c r="H107" s="316" t="s">
        <v>287</v>
      </c>
      <c r="I107" s="316"/>
      <c r="J107" s="316" t="s">
        <v>288</v>
      </c>
      <c r="K107" s="317"/>
      <c r="L107" s="387"/>
      <c r="M107" s="315" t="s">
        <v>286</v>
      </c>
      <c r="N107" s="316" t="s">
        <v>287</v>
      </c>
      <c r="O107" s="316"/>
      <c r="P107" s="316" t="s">
        <v>288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264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126</v>
      </c>
      <c r="B110" s="387" t="s">
        <v>129</v>
      </c>
      <c r="C110" s="316"/>
      <c r="D110" s="316" t="s">
        <v>140</v>
      </c>
      <c r="E110" s="317"/>
      <c r="F110" s="387"/>
      <c r="G110" s="373" t="s">
        <v>126</v>
      </c>
      <c r="H110" s="387" t="s">
        <v>129</v>
      </c>
      <c r="I110" s="316"/>
      <c r="J110" s="316" t="s">
        <v>140</v>
      </c>
      <c r="K110" s="317"/>
      <c r="L110" s="387"/>
      <c r="M110" s="373" t="s">
        <v>126</v>
      </c>
      <c r="N110" s="387" t="s">
        <v>129</v>
      </c>
      <c r="O110" s="316"/>
      <c r="P110" s="316" t="s">
        <v>140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19</v>
      </c>
      <c r="B111" s="311" t="n">
        <v>0</v>
      </c>
      <c r="C111" s="311"/>
      <c r="D111" s="103" t="n">
        <v>200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387"/>
      <c r="G114" s="213" t="s">
        <v>290</v>
      </c>
      <c r="H114" s="213"/>
      <c r="I114" s="213"/>
      <c r="J114" s="213"/>
      <c r="K114" s="213"/>
      <c r="L114" s="387"/>
      <c r="M114" s="213" t="s">
        <v>290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291</v>
      </c>
      <c r="B116" s="388" t="s">
        <v>19</v>
      </c>
      <c r="C116" s="316"/>
      <c r="D116" s="316"/>
      <c r="E116" s="317"/>
      <c r="F116" s="387"/>
      <c r="G116" s="315" t="s">
        <v>291</v>
      </c>
      <c r="H116" s="388" t="s">
        <v>18</v>
      </c>
      <c r="I116" s="316"/>
      <c r="J116" s="316"/>
      <c r="K116" s="317"/>
      <c r="L116" s="387"/>
      <c r="M116" s="315" t="s">
        <v>291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174</v>
      </c>
      <c r="B118" s="316"/>
      <c r="C118" s="316"/>
      <c r="D118" s="312" t="n">
        <v>0</v>
      </c>
      <c r="E118" s="103" t="n">
        <v>6000</v>
      </c>
      <c r="F118" s="387"/>
      <c r="G118" s="315" t="s">
        <v>174</v>
      </c>
      <c r="H118" s="316"/>
      <c r="I118" s="316"/>
      <c r="J118" s="312" t="n">
        <v>10000</v>
      </c>
      <c r="K118" s="103" t="n">
        <v>5000</v>
      </c>
      <c r="L118" s="387"/>
      <c r="M118" s="315" t="s">
        <v>174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175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175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175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176</v>
      </c>
      <c r="B120" s="316"/>
      <c r="C120" s="316"/>
      <c r="D120" s="39" t="n">
        <f aca="false">D118-D119</f>
        <v>-2000</v>
      </c>
      <c r="E120" s="164" t="n">
        <f aca="false">E118-E119</f>
        <v>4000</v>
      </c>
      <c r="F120" s="387"/>
      <c r="G120" s="315" t="s">
        <v>176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176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177</v>
      </c>
      <c r="B121" s="316"/>
      <c r="C121" s="316"/>
      <c r="D121" s="39" t="n">
        <f aca="false">D120-E120</f>
        <v>-6000</v>
      </c>
      <c r="E121" s="317"/>
      <c r="F121" s="387"/>
      <c r="G121" s="315" t="s">
        <v>177</v>
      </c>
      <c r="H121" s="316"/>
      <c r="I121" s="316"/>
      <c r="J121" s="39" t="n">
        <f aca="false">J120-K120</f>
        <v>5000</v>
      </c>
      <c r="K121" s="317"/>
      <c r="L121" s="387"/>
      <c r="M121" s="315" t="s">
        <v>177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136</v>
      </c>
      <c r="B123" s="396"/>
      <c r="C123" s="396"/>
      <c r="D123" s="396"/>
      <c r="E123" s="27" t="n">
        <f aca="false">D105</f>
        <v>1000</v>
      </c>
      <c r="F123" s="387"/>
      <c r="G123" s="395" t="s">
        <v>136</v>
      </c>
      <c r="H123" s="396"/>
      <c r="I123" s="396"/>
      <c r="J123" s="396"/>
      <c r="K123" s="27" t="n">
        <f aca="false">J105</f>
        <v>5000</v>
      </c>
      <c r="L123" s="387"/>
      <c r="M123" s="395" t="s">
        <v>136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239.99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292</v>
      </c>
      <c r="B125" s="366"/>
      <c r="C125" s="366"/>
      <c r="D125" s="366"/>
      <c r="E125" s="65" t="n">
        <f aca="false">(E124+E123)-E120</f>
        <v>-2760.01</v>
      </c>
      <c r="F125" s="387"/>
      <c r="G125" s="421" t="s">
        <v>292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292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387"/>
      <c r="G128" s="213" t="s">
        <v>293</v>
      </c>
      <c r="H128" s="213"/>
      <c r="I128" s="213"/>
      <c r="J128" s="213"/>
      <c r="K128" s="213"/>
      <c r="L128" s="387"/>
      <c r="M128" s="213" t="s">
        <v>293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387"/>
      <c r="G130" s="315" t="s">
        <v>181</v>
      </c>
      <c r="H130" s="169" t="n">
        <v>0</v>
      </c>
      <c r="I130" s="169"/>
      <c r="J130" s="316"/>
      <c r="K130" s="317"/>
      <c r="L130" s="387"/>
      <c r="M130" s="315" t="s">
        <v>181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82</v>
      </c>
      <c r="H132" s="316" t="s">
        <v>83</v>
      </c>
      <c r="I132" s="316"/>
      <c r="J132" s="316" t="s">
        <v>85</v>
      </c>
      <c r="K132" s="317"/>
      <c r="L132" s="387"/>
      <c r="M132" s="315" t="s">
        <v>82</v>
      </c>
      <c r="N132" s="316" t="s">
        <v>83</v>
      </c>
      <c r="O132" s="316"/>
      <c r="P132" s="316" t="s">
        <v>85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11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11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744.559557146699</v>
      </c>
      <c r="B134" s="320" t="n">
        <f aca="false">IF(A111="YES", B95, 0)</f>
        <v>0</v>
      </c>
      <c r="C134" s="324"/>
      <c r="D134" s="320" t="n">
        <f aca="false">B97</f>
        <v>744.559557146699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296</v>
      </c>
      <c r="H135" s="423" t="s">
        <v>297</v>
      </c>
      <c r="I135" s="423"/>
      <c r="J135" s="423" t="s">
        <v>298</v>
      </c>
      <c r="K135" s="317"/>
      <c r="L135" s="387"/>
      <c r="M135" s="422" t="s">
        <v>342</v>
      </c>
      <c r="N135" s="423" t="s">
        <v>250</v>
      </c>
      <c r="O135" s="423"/>
      <c r="P135" s="423" t="s">
        <v>119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744.559557146699</v>
      </c>
      <c r="C137" s="316"/>
      <c r="D137" s="38" t="n">
        <f aca="false">IF(A111="YES", B95*B63, 0)</f>
        <v>0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301</v>
      </c>
      <c r="H138" s="316" t="s">
        <v>302</v>
      </c>
      <c r="I138" s="316"/>
      <c r="J138" s="316" t="s">
        <v>303</v>
      </c>
      <c r="K138" s="317"/>
      <c r="L138" s="387"/>
      <c r="M138" s="315" t="s">
        <v>343</v>
      </c>
      <c r="N138" s="316" t="s">
        <v>239</v>
      </c>
      <c r="O138" s="316"/>
      <c r="P138" s="316" t="s">
        <v>243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744.559557146699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306</v>
      </c>
      <c r="H141" s="316" t="s">
        <v>307</v>
      </c>
      <c r="I141" s="316"/>
      <c r="J141" s="316" t="s">
        <v>308</v>
      </c>
      <c r="K141" s="317"/>
      <c r="L141" s="387"/>
      <c r="M141" s="315" t="s">
        <v>252</v>
      </c>
      <c r="N141" s="316" t="s">
        <v>253</v>
      </c>
      <c r="O141" s="316"/>
      <c r="P141" s="316" t="s">
        <v>257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387"/>
      <c r="G142" s="107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1"/>
      <c r="L142" s="387"/>
      <c r="M142" s="107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744.559557146699</v>
      </c>
      <c r="B143" s="38" t="n">
        <f aca="false">IF(A111="YES", B95, 0)</f>
        <v>0</v>
      </c>
      <c r="C143" s="316"/>
      <c r="D143" s="38" t="n">
        <f aca="false">B97</f>
        <v>744.559557146699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309</v>
      </c>
      <c r="H144" s="316" t="s">
        <v>310</v>
      </c>
      <c r="I144" s="316"/>
      <c r="J144" s="316" t="s">
        <v>311</v>
      </c>
      <c r="K144" s="317"/>
      <c r="L144" s="387"/>
      <c r="M144" s="315" t="s">
        <v>139</v>
      </c>
      <c r="N144" s="316" t="s">
        <v>310</v>
      </c>
      <c r="O144" s="316"/>
      <c r="P144" s="316" t="s">
        <v>311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387"/>
      <c r="G145" s="107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313</v>
      </c>
      <c r="H147" s="316" t="s">
        <v>314</v>
      </c>
      <c r="I147" s="316"/>
      <c r="J147" s="316" t="s">
        <v>315</v>
      </c>
      <c r="K147" s="317"/>
      <c r="L147" s="387"/>
      <c r="M147" s="315" t="s">
        <v>313</v>
      </c>
      <c r="N147" s="316" t="s">
        <v>314</v>
      </c>
      <c r="O147" s="316"/>
      <c r="P147" s="316" t="s">
        <v>315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317</v>
      </c>
      <c r="H150" s="316" t="s">
        <v>318</v>
      </c>
      <c r="I150" s="316"/>
      <c r="J150" s="316"/>
      <c r="K150" s="317"/>
      <c r="L150" s="387"/>
      <c r="M150" s="315" t="s">
        <v>317</v>
      </c>
      <c r="N150" s="316" t="s">
        <v>318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246</v>
      </c>
      <c r="B154" s="38" t="n">
        <f aca="false">B108</f>
        <v>400</v>
      </c>
      <c r="C154" s="38"/>
      <c r="D154" s="38" t="n">
        <f aca="false">IF(A111="YES", (A44/100*B111)*B131, 0)*0.1</f>
        <v>0</v>
      </c>
      <c r="E154" s="101"/>
      <c r="F154" s="387"/>
      <c r="G154" s="347" t="s">
        <v>323</v>
      </c>
      <c r="H154" s="316"/>
      <c r="I154" s="316"/>
      <c r="J154" s="348"/>
      <c r="K154" s="349"/>
      <c r="L154" s="387"/>
      <c r="M154" s="424" t="n">
        <f aca="false">H40</f>
        <v>4100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7"/>
      <c r="G156" s="246" t="s">
        <v>82</v>
      </c>
      <c r="H156" s="247" t="s">
        <v>83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745.991666666667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323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82</v>
      </c>
      <c r="N159" s="247" t="s">
        <v>83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744.559557146699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387"/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744.559557146699</v>
      </c>
      <c r="B177" s="354" t="n">
        <f aca="false">IF(A111="YES", B95, 0)</f>
        <v>0</v>
      </c>
      <c r="C177" s="356"/>
      <c r="D177" s="354" t="n">
        <f aca="false">A177+B177</f>
        <v>744.559557146699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744.559557146699</v>
      </c>
      <c r="C180" s="352"/>
      <c r="D180" s="99" t="n">
        <f aca="false">IF(A111="YES", B95*B63, 0)</f>
        <v>0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744.559557146699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744.559557146699</v>
      </c>
      <c r="B186" s="99" t="n">
        <f aca="false">IF(A111="YES", B95, 0)</f>
        <v>0</v>
      </c>
      <c r="C186" s="352"/>
      <c r="D186" s="99" t="n">
        <f aca="false">B97</f>
        <v>744.559557146699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246</v>
      </c>
      <c r="B197" s="99" t="n">
        <f aca="false">B108</f>
        <v>400</v>
      </c>
      <c r="C197" s="99"/>
      <c r="D197" s="99" t="n">
        <f aca="false">IF(A111="YES", (A44/100*B111)*B131, 0)*0.1</f>
        <v>0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745.991666666667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G201" s="387"/>
      <c r="H201" s="387"/>
      <c r="I201" s="387"/>
      <c r="J201" s="387"/>
      <c r="K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7"/>
      <c r="G202" s="387"/>
      <c r="H202" s="387"/>
      <c r="I202" s="387"/>
      <c r="J202" s="387"/>
      <c r="K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G203" s="387"/>
      <c r="H203" s="387"/>
      <c r="I203" s="387"/>
      <c r="J203" s="387"/>
      <c r="K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G204" s="387"/>
      <c r="H204" s="387"/>
      <c r="I204" s="387"/>
      <c r="J204" s="387"/>
      <c r="K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G205" s="387"/>
      <c r="H205" s="387"/>
      <c r="I205" s="387"/>
      <c r="J205" s="387"/>
      <c r="K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G206" s="387"/>
      <c r="H206" s="387"/>
      <c r="I206" s="387"/>
      <c r="J206" s="387"/>
      <c r="K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387"/>
      <c r="G207" s="387"/>
      <c r="H207" s="387"/>
      <c r="I207" s="387"/>
      <c r="J207" s="387"/>
      <c r="K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G208" s="387"/>
      <c r="H208" s="387"/>
      <c r="I208" s="387"/>
      <c r="J208" s="387"/>
      <c r="K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D70</f>
        <v>2836.82</v>
      </c>
      <c r="E209" s="321"/>
      <c r="F209" s="387"/>
      <c r="G209" s="387"/>
      <c r="H209" s="387"/>
      <c r="I209" s="387"/>
      <c r="J209" s="387"/>
      <c r="K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G210" s="387"/>
      <c r="H210" s="387"/>
      <c r="I210" s="387"/>
      <c r="J210" s="387"/>
      <c r="K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213</v>
      </c>
      <c r="B211" s="320" t="n">
        <f aca="false">B219</f>
        <v>246</v>
      </c>
      <c r="C211" s="319" t="s">
        <v>214</v>
      </c>
      <c r="D211" s="369" t="n">
        <f aca="false">B225+E221+B221+B223</f>
        <v>339.991666666667</v>
      </c>
      <c r="E211" s="321"/>
      <c r="F211" s="387"/>
      <c r="G211" s="387"/>
      <c r="H211" s="387"/>
      <c r="I211" s="387"/>
      <c r="J211" s="387"/>
      <c r="K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G212" s="387"/>
      <c r="H212" s="387"/>
      <c r="I212" s="387"/>
      <c r="J212" s="387"/>
      <c r="K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215</v>
      </c>
      <c r="B213" s="320" t="n">
        <f aca="false">E223</f>
        <v>2930.81166666667</v>
      </c>
      <c r="C213" s="324"/>
      <c r="D213" s="320"/>
      <c r="E213" s="321"/>
      <c r="F213" s="387"/>
      <c r="G213" s="387"/>
      <c r="H213" s="387"/>
      <c r="I213" s="387"/>
      <c r="J213" s="387"/>
      <c r="K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G214" s="387"/>
      <c r="H214" s="387"/>
      <c r="I214" s="387"/>
      <c r="J214" s="387"/>
      <c r="K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387"/>
      <c r="G215" s="387"/>
      <c r="H215" s="387"/>
      <c r="I215" s="387"/>
      <c r="J215" s="387"/>
      <c r="K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G216" s="387"/>
      <c r="H216" s="387"/>
      <c r="I216" s="387"/>
      <c r="J216" s="387"/>
      <c r="K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212</v>
      </c>
      <c r="B217" s="100" t="n">
        <f aca="false">D70</f>
        <v>2836.82</v>
      </c>
      <c r="C217" s="374" t="s">
        <v>218</v>
      </c>
      <c r="D217" s="316"/>
      <c r="E217" s="375" t="n">
        <f aca="false">B72</f>
        <v>0.01</v>
      </c>
      <c r="F217" s="387"/>
      <c r="G217" s="387"/>
      <c r="H217" s="387"/>
      <c r="I217" s="387"/>
      <c r="J217" s="387"/>
      <c r="K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G218" s="387"/>
      <c r="H218" s="387"/>
      <c r="I218" s="387"/>
      <c r="J218" s="387"/>
      <c r="K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218</v>
      </c>
      <c r="B219" s="100" t="n">
        <f aca="false">B73</f>
        <v>246</v>
      </c>
      <c r="C219" s="335" t="s">
        <v>326</v>
      </c>
      <c r="D219" s="376"/>
      <c r="E219" s="255" t="n">
        <v>0.001</v>
      </c>
      <c r="F219" s="387"/>
      <c r="G219" s="387"/>
      <c r="H219" s="387"/>
      <c r="I219" s="387"/>
      <c r="J219" s="387"/>
      <c r="K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G220" s="387"/>
      <c r="H220" s="387"/>
      <c r="I220" s="387"/>
      <c r="J220" s="387"/>
      <c r="K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387"/>
      <c r="G221" s="387"/>
      <c r="H221" s="387"/>
      <c r="I221" s="387"/>
      <c r="J221" s="387"/>
      <c r="K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G222" s="387"/>
      <c r="H222" s="387"/>
      <c r="I222" s="387"/>
      <c r="J222" s="387"/>
      <c r="K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2930.81166666667</v>
      </c>
      <c r="F223" s="387"/>
      <c r="G223" s="387"/>
      <c r="H223" s="387"/>
      <c r="I223" s="387"/>
      <c r="J223" s="387"/>
      <c r="K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G224" s="387"/>
      <c r="H224" s="387"/>
      <c r="I224" s="387"/>
      <c r="J224" s="387"/>
      <c r="K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387"/>
      <c r="G225" s="387"/>
      <c r="H225" s="387"/>
      <c r="I225" s="387"/>
      <c r="J225" s="387"/>
      <c r="K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G226" s="387"/>
      <c r="H226" s="387"/>
      <c r="I226" s="387"/>
      <c r="J226" s="387"/>
      <c r="K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387"/>
      <c r="G227" s="387"/>
      <c r="H227" s="387"/>
      <c r="I227" s="387"/>
      <c r="J227" s="387"/>
      <c r="K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G228" s="387"/>
      <c r="H228" s="387"/>
      <c r="I228" s="387"/>
      <c r="J228" s="387"/>
      <c r="K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387"/>
      <c r="G229" s="387"/>
      <c r="H229" s="387"/>
      <c r="I229" s="387"/>
      <c r="J229" s="387"/>
      <c r="K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387"/>
      <c r="G230" s="387"/>
      <c r="H230" s="387"/>
      <c r="I230" s="387"/>
      <c r="J230" s="387"/>
      <c r="K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387"/>
      <c r="G231" s="387"/>
      <c r="H231" s="387"/>
      <c r="I231" s="387"/>
      <c r="J231" s="387"/>
      <c r="K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62.6306857603873</v>
      </c>
      <c r="F232" s="387"/>
      <c r="G232" s="387"/>
      <c r="H232" s="387"/>
      <c r="I232" s="387"/>
      <c r="J232" s="387"/>
      <c r="K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275</v>
      </c>
      <c r="F233" s="387"/>
      <c r="G233" s="387"/>
      <c r="H233" s="387"/>
      <c r="I233" s="387"/>
      <c r="J233" s="387"/>
      <c r="K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G234" s="387"/>
      <c r="H234" s="387"/>
      <c r="I234" s="387"/>
      <c r="J234" s="387"/>
      <c r="K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387"/>
      <c r="G235" s="387"/>
      <c r="H235" s="387"/>
      <c r="I235" s="387"/>
      <c r="J235" s="387"/>
      <c r="K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G236" s="387"/>
      <c r="H236" s="387"/>
      <c r="I236" s="387"/>
      <c r="J236" s="387"/>
      <c r="K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G237" s="387"/>
      <c r="H237" s="387"/>
      <c r="I237" s="387"/>
      <c r="J237" s="387"/>
      <c r="K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G238" s="387"/>
      <c r="H238" s="387"/>
      <c r="I238" s="387"/>
      <c r="J238" s="387"/>
      <c r="K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G239" s="387"/>
      <c r="H239" s="387"/>
      <c r="I239" s="387"/>
      <c r="J239" s="387"/>
      <c r="K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G240" s="387"/>
      <c r="H240" s="387"/>
      <c r="I240" s="387"/>
      <c r="J240" s="387"/>
      <c r="K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G241" s="387"/>
      <c r="H241" s="387"/>
      <c r="I241" s="387"/>
      <c r="J241" s="387"/>
      <c r="K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G242" s="387"/>
      <c r="H242" s="387"/>
      <c r="I242" s="387"/>
      <c r="J242" s="387"/>
      <c r="K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87"/>
      <c r="B243" s="387"/>
      <c r="C243" s="387"/>
      <c r="D243" s="387"/>
      <c r="E243" s="387"/>
      <c r="F243" s="387"/>
      <c r="G243" s="387"/>
      <c r="H243" s="387"/>
      <c r="I243" s="387"/>
      <c r="J243" s="387"/>
      <c r="K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387"/>
      <c r="B244" s="387"/>
      <c r="C244" s="387"/>
      <c r="D244" s="387"/>
      <c r="E244" s="387"/>
      <c r="F244" s="387"/>
      <c r="G244" s="387"/>
      <c r="H244" s="387"/>
      <c r="I244" s="387"/>
      <c r="J244" s="387"/>
      <c r="K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87"/>
      <c r="B245" s="387"/>
      <c r="C245" s="387"/>
      <c r="D245" s="387"/>
      <c r="E245" s="387"/>
      <c r="F245" s="387"/>
      <c r="G245" s="387"/>
      <c r="H245" s="387"/>
      <c r="I245" s="387"/>
      <c r="J245" s="387"/>
      <c r="K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87"/>
      <c r="B246" s="387"/>
      <c r="C246" s="387"/>
      <c r="D246" s="387"/>
      <c r="E246" s="387"/>
      <c r="F246" s="387"/>
      <c r="G246" s="387"/>
      <c r="H246" s="387"/>
      <c r="I246" s="387"/>
      <c r="J246" s="387"/>
      <c r="K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387"/>
      <c r="B247" s="387"/>
      <c r="C247" s="387"/>
      <c r="D247" s="387"/>
      <c r="E247" s="387"/>
      <c r="F247" s="387"/>
      <c r="G247" s="387"/>
      <c r="H247" s="387"/>
      <c r="I247" s="387"/>
      <c r="J247" s="387"/>
      <c r="K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87"/>
      <c r="B248" s="387"/>
      <c r="C248" s="387"/>
      <c r="D248" s="387"/>
      <c r="E248" s="387"/>
      <c r="F248" s="387"/>
      <c r="G248" s="387"/>
      <c r="H248" s="387"/>
      <c r="I248" s="387"/>
      <c r="J248" s="387"/>
      <c r="K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387"/>
      <c r="I8" s="13" t="s">
        <v>3</v>
      </c>
      <c r="J8" s="14" t="n">
        <f aca="false">E13+E14</f>
        <v>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63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387"/>
      <c r="I10" s="16" t="s">
        <v>1</v>
      </c>
      <c r="J10" s="14" t="n">
        <f aca="false">E15-E11-J8</f>
        <v>0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f aca="false">E15</f>
        <v>0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234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236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237</v>
      </c>
      <c r="B29" s="219" t="n">
        <v>12345</v>
      </c>
      <c r="C29" s="219"/>
      <c r="D29" s="389" t="n">
        <f aca="true">TODAY()+1</f>
        <v>45128</v>
      </c>
      <c r="E29" s="389"/>
      <c r="F29" s="387"/>
      <c r="G29" s="29" t="s">
        <v>28</v>
      </c>
      <c r="H29" s="37" t="n">
        <f aca="false">A32</f>
        <v>12</v>
      </c>
      <c r="I29" s="426" t="n">
        <f aca="false">ISNUMBER(I31)</f>
        <v>0</v>
      </c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600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336</v>
      </c>
      <c r="B34" s="227" t="s">
        <v>48</v>
      </c>
      <c r="C34" s="226" t="s">
        <v>4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0</v>
      </c>
      <c r="B35" s="219" t="s">
        <v>45</v>
      </c>
      <c r="C35" s="219"/>
      <c r="D35" s="278" t="n">
        <f aca="false">A35-B35</f>
        <v>-1000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4</v>
      </c>
      <c r="G40" s="2" t="s">
        <v>58</v>
      </c>
      <c r="H40" s="2" t="n">
        <f aca="false">C15</f>
        <v>4100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333</v>
      </c>
      <c r="B41" s="100" t="s">
        <v>334</v>
      </c>
      <c r="C41" s="100"/>
      <c r="D41" s="219" t="s">
        <v>18</v>
      </c>
      <c r="E41" s="219"/>
      <c r="F41" s="387"/>
      <c r="G41" s="2" t="s">
        <v>59</v>
      </c>
      <c r="H41" s="2" t="str">
        <f aca="false">IF(D41="Yes",A44, 0)</f>
        <v>50</v>
      </c>
      <c r="I41" s="2" t="s">
        <v>4</v>
      </c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117</v>
      </c>
      <c r="B43" s="236" t="s">
        <v>67</v>
      </c>
      <c r="C43" s="226" t="s">
        <v>4</v>
      </c>
      <c r="D43" s="236" t="s">
        <v>206</v>
      </c>
      <c r="E43" s="239"/>
      <c r="F43" s="387"/>
      <c r="G43" s="2" t="s">
        <v>64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s">
        <v>230</v>
      </c>
      <c r="B44" s="100" t="s">
        <v>335</v>
      </c>
      <c r="C44" s="100"/>
      <c r="D44" s="100" t="s">
        <v>335</v>
      </c>
      <c r="E44" s="100"/>
      <c r="F44" s="387"/>
      <c r="G44" s="2" t="s">
        <v>65</v>
      </c>
      <c r="H44" s="2" t="n">
        <f aca="false">((H40-(((H42/(1.2))*0.2)))/(H43))</f>
        <v>258.333333333333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69</v>
      </c>
      <c r="H45" s="2" t="n">
        <f aca="false">(H39-H44)+H41</f>
        <v>291.666666666667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70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71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73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74</v>
      </c>
      <c r="H49" s="2" t="n">
        <f aca="false">H45+H48+H47</f>
        <v>294.333333333333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106"/>
      <c r="B50" s="226"/>
      <c r="C50" s="226"/>
      <c r="D50" s="226"/>
      <c r="E50" s="239"/>
      <c r="F50" s="387"/>
      <c r="G50" s="2" t="s">
        <v>338</v>
      </c>
      <c r="H50" s="2" t="n">
        <f aca="false">H49-H41</f>
        <v>244.333333333333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/>
      <c r="B52" s="74"/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294.333333333333</v>
      </c>
      <c r="C58" s="74"/>
      <c r="D58" s="427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84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7"/>
      <c r="G63" s="315" t="s">
        <v>84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84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85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 t="s">
        <v>4</v>
      </c>
      <c r="D64" s="316"/>
      <c r="E64" s="317"/>
      <c r="F64" s="387"/>
      <c r="G64" s="315" t="s">
        <v>85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85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210" t="s">
        <v>274</v>
      </c>
      <c r="B66" s="211" t="n">
        <f aca="false">E19</f>
        <v>24600</v>
      </c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316"/>
      <c r="D67" s="316"/>
      <c r="E67" s="317"/>
      <c r="F67" s="387"/>
      <c r="G67" s="315" t="s">
        <v>14</v>
      </c>
      <c r="H67" s="32" t="n">
        <f aca="false">G18</f>
        <v>40526</v>
      </c>
      <c r="I67" s="316"/>
      <c r="J67" s="316"/>
      <c r="K67" s="317"/>
      <c r="L67" s="387"/>
      <c r="M67" s="315" t="s">
        <v>14</v>
      </c>
      <c r="N67" s="32" t="n">
        <f aca="false">G18</f>
        <v>40526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291" t="s">
        <v>275</v>
      </c>
      <c r="B68" s="292" t="n">
        <v>0.07</v>
      </c>
      <c r="C68" s="316"/>
      <c r="D68" s="316"/>
      <c r="E68" s="317"/>
      <c r="F68" s="387"/>
      <c r="G68" s="398" t="s">
        <v>275</v>
      </c>
      <c r="H68" s="399" t="n">
        <v>0.07</v>
      </c>
      <c r="I68" s="316"/>
      <c r="J68" s="316"/>
      <c r="K68" s="317"/>
      <c r="L68" s="387"/>
      <c r="M68" s="398" t="s">
        <v>275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316"/>
      <c r="D69" s="316"/>
      <c r="E69" s="317"/>
      <c r="F69" s="387"/>
      <c r="G69" s="315" t="s">
        <v>276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276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284" t="s">
        <v>90</v>
      </c>
      <c r="B70" s="129" t="n">
        <f aca="false">B66*B69</f>
        <v>1722</v>
      </c>
      <c r="C70" s="316" t="n">
        <v>10000</v>
      </c>
      <c r="D70" s="32" t="n">
        <f aca="false">B70-A149</f>
        <v>1722</v>
      </c>
      <c r="E70" s="317" t="n">
        <f aca="false">D70/12</f>
        <v>143.5</v>
      </c>
      <c r="F70" s="387"/>
      <c r="G70" s="365" t="s">
        <v>90</v>
      </c>
      <c r="H70" s="65" t="n">
        <f aca="false">H67*H69</f>
        <v>2836.82</v>
      </c>
      <c r="I70" s="316"/>
      <c r="J70" s="32" t="n">
        <f aca="false">H70-G151</f>
        <v>2836.82</v>
      </c>
      <c r="K70" s="317"/>
      <c r="L70" s="387"/>
      <c r="M70" s="365" t="s">
        <v>90</v>
      </c>
      <c r="N70" s="65" t="n">
        <f aca="false">N67*N69</f>
        <v>2836.82</v>
      </c>
      <c r="O70" s="316"/>
      <c r="P70" s="32" t="n">
        <f aca="false">N70-M151</f>
        <v>2836.82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291" t="s">
        <v>91</v>
      </c>
      <c r="B71" s="292" t="n">
        <v>0.01</v>
      </c>
      <c r="C71" s="316"/>
      <c r="D71" s="316"/>
      <c r="E71" s="317"/>
      <c r="F71" s="387"/>
      <c r="G71" s="398" t="s">
        <v>91</v>
      </c>
      <c r="H71" s="399" t="n">
        <v>0.005</v>
      </c>
      <c r="I71" s="316"/>
      <c r="J71" s="316"/>
      <c r="K71" s="317"/>
      <c r="L71" s="387"/>
      <c r="M71" s="398" t="s">
        <v>91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316"/>
      <c r="D72" s="316"/>
      <c r="E72" s="317"/>
      <c r="F72" s="387"/>
      <c r="G72" s="315" t="s">
        <v>92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92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284" t="s">
        <v>93</v>
      </c>
      <c r="B73" s="129" t="n">
        <f aca="false">B66*B72</f>
        <v>246</v>
      </c>
      <c r="C73" s="316"/>
      <c r="D73" s="32"/>
      <c r="E73" s="317"/>
      <c r="F73" s="387"/>
      <c r="G73" s="365" t="s">
        <v>93</v>
      </c>
      <c r="H73" s="65" t="n">
        <f aca="false">H67*H72</f>
        <v>202.63</v>
      </c>
      <c r="I73" s="316"/>
      <c r="J73" s="32"/>
      <c r="K73" s="317"/>
      <c r="L73" s="387"/>
      <c r="M73" s="365" t="s">
        <v>93</v>
      </c>
      <c r="N73" s="65" t="n">
        <f aca="false">N67*N72</f>
        <v>202.63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94</v>
      </c>
      <c r="B74" s="399" t="n">
        <v>0.0075</v>
      </c>
      <c r="C74" s="316"/>
      <c r="D74" s="316"/>
      <c r="E74" s="317"/>
      <c r="F74" s="387"/>
      <c r="G74" s="398" t="s">
        <v>94</v>
      </c>
      <c r="H74" s="399" t="n">
        <v>0.0075</v>
      </c>
      <c r="I74" s="316"/>
      <c r="J74" s="316"/>
      <c r="K74" s="317"/>
      <c r="L74" s="387"/>
      <c r="M74" s="398" t="s">
        <v>94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95</v>
      </c>
      <c r="B75" s="401" t="n">
        <v>0.12</v>
      </c>
      <c r="C75" s="316"/>
      <c r="D75" s="316"/>
      <c r="E75" s="317"/>
      <c r="F75" s="387"/>
      <c r="G75" s="400" t="s">
        <v>95</v>
      </c>
      <c r="H75" s="401" t="n">
        <v>0.12</v>
      </c>
      <c r="I75" s="316"/>
      <c r="J75" s="316"/>
      <c r="K75" s="317"/>
      <c r="L75" s="387"/>
      <c r="M75" s="400" t="s">
        <v>95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96</v>
      </c>
      <c r="B76" s="402" t="n">
        <f aca="false">B74*(1+B75)</f>
        <v>0.0084</v>
      </c>
      <c r="C76" s="316"/>
      <c r="D76" s="316"/>
      <c r="E76" s="317"/>
      <c r="F76" s="387"/>
      <c r="G76" s="365" t="s">
        <v>96</v>
      </c>
      <c r="H76" s="402" t="n">
        <f aca="false">H74*(1+H75)</f>
        <v>0.0084</v>
      </c>
      <c r="I76" s="316"/>
      <c r="J76" s="316"/>
      <c r="K76" s="317"/>
      <c r="L76" s="387"/>
      <c r="M76" s="365" t="s">
        <v>96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97</v>
      </c>
      <c r="B77" s="86" t="n">
        <v>200</v>
      </c>
      <c r="C77" s="316"/>
      <c r="D77" s="316"/>
      <c r="E77" s="317"/>
      <c r="F77" s="387"/>
      <c r="G77" s="398" t="s">
        <v>97</v>
      </c>
      <c r="H77" s="86" t="n">
        <v>160</v>
      </c>
      <c r="I77" s="316"/>
      <c r="J77" s="316"/>
      <c r="K77" s="317"/>
      <c r="L77" s="387"/>
      <c r="M77" s="398" t="s">
        <v>97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98</v>
      </c>
      <c r="B78" s="77" t="n">
        <v>5</v>
      </c>
      <c r="C78" s="316"/>
      <c r="D78" s="316"/>
      <c r="E78" s="317"/>
      <c r="F78" s="387"/>
      <c r="G78" s="400" t="s">
        <v>98</v>
      </c>
      <c r="H78" s="77" t="n">
        <v>4.5</v>
      </c>
      <c r="I78" s="316"/>
      <c r="J78" s="316"/>
      <c r="K78" s="317"/>
      <c r="L78" s="387"/>
      <c r="M78" s="400" t="s">
        <v>98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99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99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99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277</v>
      </c>
      <c r="B80" s="86" t="n">
        <v>275</v>
      </c>
      <c r="C80" s="316"/>
      <c r="D80" s="316"/>
      <c r="E80" s="403" t="n">
        <f aca="false">E79+D82</f>
        <v>957.916666666667</v>
      </c>
      <c r="F80" s="387"/>
      <c r="G80" s="398" t="s">
        <v>277</v>
      </c>
      <c r="H80" s="86" t="n">
        <v>150</v>
      </c>
      <c r="I80" s="316"/>
      <c r="J80" s="316"/>
      <c r="K80" s="317"/>
      <c r="L80" s="387"/>
      <c r="M80" s="404" t="s">
        <v>277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278</v>
      </c>
      <c r="B81" s="77" t="n">
        <v>0</v>
      </c>
      <c r="C81" s="316"/>
      <c r="D81" s="316"/>
      <c r="E81" s="317" t="n">
        <f aca="false">E80/12</f>
        <v>79.8263888888889</v>
      </c>
      <c r="F81" s="387"/>
      <c r="G81" s="400" t="s">
        <v>278</v>
      </c>
      <c r="H81" s="77" t="n">
        <f aca="false">IF(G18&gt;40000, 325, 0)</f>
        <v>325</v>
      </c>
      <c r="I81" s="316"/>
      <c r="J81" s="316"/>
      <c r="K81" s="317"/>
      <c r="L81" s="387"/>
      <c r="M81" s="406" t="s">
        <v>278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279</v>
      </c>
      <c r="B82" s="65" t="n">
        <f aca="false">((B80+B81)/12)*(H29+1)</f>
        <v>297.916666666667</v>
      </c>
      <c r="C82" s="316"/>
      <c r="D82" s="32" t="n">
        <f aca="false">IF(A50="YES", 0, B82)</f>
        <v>297.916666666667</v>
      </c>
      <c r="E82" s="317"/>
      <c r="F82" s="387"/>
      <c r="G82" s="365" t="s">
        <v>279</v>
      </c>
      <c r="H82" s="65" t="n">
        <f aca="false">((H80+H81)/12)*(H29-11)</f>
        <v>39.5833333333333</v>
      </c>
      <c r="I82" s="316"/>
      <c r="J82" s="32" t="n">
        <f aca="false">IF(A50="YES", 0, H82)</f>
        <v>39.5833333333333</v>
      </c>
      <c r="K82" s="317"/>
      <c r="L82" s="387"/>
      <c r="M82" s="408" t="s">
        <v>279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280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280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280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281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281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100</v>
      </c>
      <c r="B85" s="77" t="n">
        <v>200</v>
      </c>
      <c r="C85" s="316"/>
      <c r="D85" s="32" t="n">
        <f aca="false">B85</f>
        <v>200</v>
      </c>
      <c r="E85" s="317"/>
      <c r="F85" s="387"/>
      <c r="G85" s="400" t="s">
        <v>100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100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101</v>
      </c>
      <c r="B86" s="87" t="n">
        <v>200</v>
      </c>
      <c r="C86" s="316"/>
      <c r="D86" s="32" t="n">
        <f aca="false">B86</f>
        <v>200</v>
      </c>
      <c r="E86" s="317"/>
      <c r="F86" s="387"/>
      <c r="G86" s="410" t="s">
        <v>101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101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102</v>
      </c>
      <c r="B87" s="412" t="n">
        <f aca="false">SUM(D70:D86)</f>
        <v>3346.58333333333</v>
      </c>
      <c r="C87" s="316"/>
      <c r="D87" s="316"/>
      <c r="E87" s="317"/>
      <c r="F87" s="387"/>
      <c r="G87" s="411" t="s">
        <v>102</v>
      </c>
      <c r="H87" s="412" t="n">
        <f aca="false">SUM(J70:J86)</f>
        <v>5990.40333333333</v>
      </c>
      <c r="I87" s="316"/>
      <c r="J87" s="316"/>
      <c r="K87" s="317"/>
      <c r="L87" s="387"/>
      <c r="M87" s="411" t="s">
        <v>102</v>
      </c>
      <c r="N87" s="412" t="n">
        <f aca="false">SUM(P70:P86)</f>
        <v>5950.82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103</v>
      </c>
      <c r="B88" s="33" t="n">
        <f aca="false">B87/H29</f>
        <v>278.881944444444</v>
      </c>
      <c r="C88" s="316"/>
      <c r="D88" s="316"/>
      <c r="E88" s="317"/>
      <c r="F88" s="387"/>
      <c r="G88" s="315" t="s">
        <v>103</v>
      </c>
      <c r="H88" s="33" t="n">
        <f aca="false">H87/H29</f>
        <v>499.200277777778</v>
      </c>
      <c r="I88" s="316"/>
      <c r="J88" s="316"/>
      <c r="K88" s="317"/>
      <c r="L88" s="387"/>
      <c r="M88" s="315" t="s">
        <v>103</v>
      </c>
      <c r="N88" s="33" t="n">
        <f aca="false">N87/H29</f>
        <v>495.901666666667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104</v>
      </c>
      <c r="B89" s="59" t="n">
        <f aca="false">H50</f>
        <v>244.333333333333</v>
      </c>
      <c r="C89" s="316"/>
      <c r="D89" s="316"/>
      <c r="E89" s="317"/>
      <c r="F89" s="387"/>
      <c r="G89" s="413" t="s">
        <v>104</v>
      </c>
      <c r="H89" s="59" t="n">
        <f aca="false">H46</f>
        <v>0</v>
      </c>
      <c r="I89" s="316"/>
      <c r="J89" s="316"/>
      <c r="K89" s="317"/>
      <c r="L89" s="387"/>
      <c r="M89" s="413" t="s">
        <v>104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114</v>
      </c>
      <c r="B91" s="27" t="n">
        <f aca="false">((B89*H29)+B87)</f>
        <v>6278.58333333333</v>
      </c>
      <c r="C91" s="316"/>
      <c r="D91" s="316"/>
      <c r="E91" s="317"/>
      <c r="F91" s="387"/>
      <c r="G91" s="395" t="s">
        <v>114</v>
      </c>
      <c r="H91" s="27" t="n">
        <f aca="false">((H89*H29)+H87)*1.2</f>
        <v>7188.484</v>
      </c>
      <c r="I91" s="316"/>
      <c r="J91" s="316"/>
      <c r="K91" s="317"/>
      <c r="L91" s="387"/>
      <c r="M91" s="395" t="s">
        <v>114</v>
      </c>
      <c r="N91" s="27" t="n">
        <f aca="false">((N89*H29)+N87)</f>
        <v>5950.82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115</v>
      </c>
      <c r="B92" s="33" t="n">
        <f aca="false">(((B89*H29)+B87)/(1-B76))*B76</f>
        <v>53.1868697055264</v>
      </c>
      <c r="C92" s="316"/>
      <c r="D92" s="316"/>
      <c r="E92" s="414"/>
      <c r="F92" s="387"/>
      <c r="G92" s="315" t="s">
        <v>115</v>
      </c>
      <c r="H92" s="33" t="n">
        <f aca="false">(((H89*H29)+H87)/(1-H76))*H76</f>
        <v>50.7456514723679</v>
      </c>
      <c r="I92" s="316"/>
      <c r="J92" s="316"/>
      <c r="K92" s="317"/>
      <c r="L92" s="387"/>
      <c r="M92" s="315" t="s">
        <v>115</v>
      </c>
      <c r="N92" s="33" t="n">
        <f aca="false">(N91/(1-N76))*N76</f>
        <v>50.4103348124244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116</v>
      </c>
      <c r="B93" s="65" t="n">
        <f aca="false">IF(B116="YES",((B91+B92)-E120),(B91+B92))</f>
        <v>6331.77020303886</v>
      </c>
      <c r="C93" s="316"/>
      <c r="D93" s="316"/>
      <c r="E93" s="317"/>
      <c r="F93" s="387"/>
      <c r="G93" s="365" t="s">
        <v>116</v>
      </c>
      <c r="H93" s="65" t="n">
        <f aca="false">IF(H116="YES",((H91+H92)-K120),(H91+H92))</f>
        <v>9239.22965147237</v>
      </c>
      <c r="I93" s="316"/>
      <c r="J93" s="316"/>
      <c r="K93" s="317"/>
      <c r="L93" s="387"/>
      <c r="M93" s="365" t="s">
        <v>116</v>
      </c>
      <c r="N93" s="65" t="n">
        <f aca="false">IF(N116="YES",((N91+N92)-K120),(N91+N92))</f>
        <v>8001.23033481242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117</v>
      </c>
      <c r="B95" s="412" t="n">
        <f aca="false">IF(B105=Z104,(((H41*A32)+(H41*A32)*(B111/100))/(B64)),(((H41*A32)+(H41*A32)*(B111/100))/(B63+B64)))</f>
        <v>60</v>
      </c>
      <c r="C95" s="316"/>
      <c r="D95" s="316"/>
      <c r="E95" s="317"/>
      <c r="F95" s="387"/>
      <c r="G95" s="411" t="s">
        <v>117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117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118</v>
      </c>
      <c r="B96" s="416" t="n">
        <f aca="false">IF(B105=Z104, (B93-D111)/(B64), B93/(B63+B64))</f>
        <v>527.647516919905</v>
      </c>
      <c r="C96" s="316" t="s">
        <v>4</v>
      </c>
      <c r="D96" s="316"/>
      <c r="E96" s="317"/>
      <c r="F96" s="387"/>
      <c r="G96" s="415" t="s">
        <v>118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118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119</v>
      </c>
      <c r="B97" s="418" t="n">
        <f aca="false">IF(A111="YES", B96+B95, B96)</f>
        <v>587.647516919905</v>
      </c>
      <c r="C97" s="316"/>
      <c r="D97" s="419"/>
      <c r="E97" s="317"/>
      <c r="F97" s="387"/>
      <c r="G97" s="417" t="s">
        <v>119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119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387"/>
      <c r="G100" s="209" t="s">
        <v>282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387"/>
      <c r="G102" s="213" t="s">
        <v>124</v>
      </c>
      <c r="H102" s="213"/>
      <c r="I102" s="213"/>
      <c r="J102" s="213"/>
      <c r="K102" s="213"/>
      <c r="L102" s="387"/>
      <c r="M102" s="213" t="s">
        <v>124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128</v>
      </c>
    </row>
    <row r="104" customFormat="false" ht="18.75" hidden="false" customHeight="true" outlineLevel="0" collapsed="false">
      <c r="A104" s="315" t="s">
        <v>125</v>
      </c>
      <c r="B104" s="316" t="s">
        <v>23</v>
      </c>
      <c r="C104" s="316"/>
      <c r="D104" s="316" t="s">
        <v>283</v>
      </c>
      <c r="E104" s="317"/>
      <c r="F104" s="387"/>
      <c r="G104" s="315" t="s">
        <v>125</v>
      </c>
      <c r="H104" s="316" t="s">
        <v>23</v>
      </c>
      <c r="I104" s="316"/>
      <c r="J104" s="316" t="s">
        <v>283</v>
      </c>
      <c r="K104" s="317"/>
      <c r="L104" s="387"/>
      <c r="M104" s="315" t="s">
        <v>125</v>
      </c>
      <c r="N104" s="316" t="s">
        <v>23</v>
      </c>
      <c r="O104" s="316"/>
      <c r="P104" s="316" t="s">
        <v>283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261</v>
      </c>
    </row>
    <row r="105" customFormat="false" ht="18.75" hidden="false" customHeight="true" outlineLevel="0" collapsed="false">
      <c r="A105" s="373"/>
      <c r="B105" s="311" t="s">
        <v>128</v>
      </c>
      <c r="C105" s="311"/>
      <c r="D105" s="420" t="n">
        <v>1000</v>
      </c>
      <c r="E105" s="420"/>
      <c r="F105" s="387"/>
      <c r="G105" s="373" t="s">
        <v>284</v>
      </c>
      <c r="H105" s="311" t="s">
        <v>266</v>
      </c>
      <c r="I105" s="311"/>
      <c r="J105" s="420" t="n">
        <v>5000</v>
      </c>
      <c r="K105" s="420"/>
      <c r="L105" s="387"/>
      <c r="M105" s="373" t="s">
        <v>284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262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263</v>
      </c>
    </row>
    <row r="107" customFormat="false" ht="18.75" hidden="false" customHeight="true" outlineLevel="0" collapsed="false">
      <c r="A107" s="315" t="s">
        <v>286</v>
      </c>
      <c r="B107" s="316" t="s">
        <v>287</v>
      </c>
      <c r="C107" s="316"/>
      <c r="D107" s="316" t="s">
        <v>288</v>
      </c>
      <c r="E107" s="317"/>
      <c r="F107" s="387"/>
      <c r="G107" s="315" t="s">
        <v>286</v>
      </c>
      <c r="H107" s="316" t="s">
        <v>287</v>
      </c>
      <c r="I107" s="316"/>
      <c r="J107" s="316" t="s">
        <v>288</v>
      </c>
      <c r="K107" s="317"/>
      <c r="L107" s="387"/>
      <c r="M107" s="315" t="s">
        <v>286</v>
      </c>
      <c r="N107" s="316" t="s">
        <v>287</v>
      </c>
      <c r="O107" s="316"/>
      <c r="P107" s="316" t="s">
        <v>288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126</v>
      </c>
      <c r="B110" s="387" t="s">
        <v>129</v>
      </c>
      <c r="C110" s="316"/>
      <c r="D110" s="316" t="s">
        <v>140</v>
      </c>
      <c r="E110" s="317"/>
      <c r="F110" s="387"/>
      <c r="G110" s="373" t="s">
        <v>126</v>
      </c>
      <c r="H110" s="387" t="s">
        <v>129</v>
      </c>
      <c r="I110" s="316"/>
      <c r="J110" s="316" t="s">
        <v>140</v>
      </c>
      <c r="K110" s="317"/>
      <c r="L110" s="387"/>
      <c r="M110" s="373" t="s">
        <v>126</v>
      </c>
      <c r="N110" s="387" t="s">
        <v>129</v>
      </c>
      <c r="O110" s="316"/>
      <c r="P110" s="316" t="s">
        <v>140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18</v>
      </c>
      <c r="B111" s="311" t="n">
        <v>20</v>
      </c>
      <c r="C111" s="311"/>
      <c r="D111" s="103" t="n">
        <v>200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387"/>
      <c r="G114" s="213" t="s">
        <v>290</v>
      </c>
      <c r="H114" s="213"/>
      <c r="I114" s="213"/>
      <c r="J114" s="213"/>
      <c r="K114" s="213"/>
      <c r="L114" s="387"/>
      <c r="M114" s="213" t="s">
        <v>290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291</v>
      </c>
      <c r="B116" s="388" t="s">
        <v>19</v>
      </c>
      <c r="C116" s="316"/>
      <c r="D116" s="316"/>
      <c r="E116" s="317"/>
      <c r="F116" s="387"/>
      <c r="G116" s="315" t="s">
        <v>291</v>
      </c>
      <c r="H116" s="388" t="s">
        <v>18</v>
      </c>
      <c r="I116" s="316"/>
      <c r="J116" s="316"/>
      <c r="K116" s="317"/>
      <c r="L116" s="387"/>
      <c r="M116" s="315" t="s">
        <v>291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174</v>
      </c>
      <c r="B118" s="316"/>
      <c r="C118" s="316"/>
      <c r="D118" s="312" t="n">
        <v>0</v>
      </c>
      <c r="E118" s="103" t="n">
        <v>6000</v>
      </c>
      <c r="F118" s="387"/>
      <c r="G118" s="315" t="s">
        <v>174</v>
      </c>
      <c r="H118" s="316"/>
      <c r="I118" s="316"/>
      <c r="J118" s="312" t="n">
        <v>10000</v>
      </c>
      <c r="K118" s="103" t="n">
        <v>5000</v>
      </c>
      <c r="L118" s="387"/>
      <c r="M118" s="315" t="s">
        <v>174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175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175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175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176</v>
      </c>
      <c r="B120" s="316"/>
      <c r="C120" s="316"/>
      <c r="D120" s="39" t="n">
        <f aca="false">D118-D119</f>
        <v>-2000</v>
      </c>
      <c r="E120" s="164" t="n">
        <f aca="false">E118-E119</f>
        <v>4000</v>
      </c>
      <c r="F120" s="387"/>
      <c r="G120" s="315" t="s">
        <v>176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176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177</v>
      </c>
      <c r="B121" s="316"/>
      <c r="C121" s="316"/>
      <c r="D121" s="39" t="n">
        <f aca="false">D120-E120</f>
        <v>-6000</v>
      </c>
      <c r="E121" s="317"/>
      <c r="F121" s="387"/>
      <c r="G121" s="315" t="s">
        <v>177</v>
      </c>
      <c r="H121" s="316"/>
      <c r="I121" s="316"/>
      <c r="J121" s="39" t="n">
        <f aca="false">J120-K120</f>
        <v>5000</v>
      </c>
      <c r="K121" s="317"/>
      <c r="L121" s="387"/>
      <c r="M121" s="315" t="s">
        <v>177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136</v>
      </c>
      <c r="B123" s="396"/>
      <c r="C123" s="396"/>
      <c r="D123" s="396"/>
      <c r="E123" s="27" t="n">
        <f aca="false">D105</f>
        <v>1000</v>
      </c>
      <c r="F123" s="387"/>
      <c r="G123" s="395" t="s">
        <v>136</v>
      </c>
      <c r="H123" s="396"/>
      <c r="I123" s="396"/>
      <c r="J123" s="396"/>
      <c r="K123" s="27" t="n">
        <f aca="false">J105</f>
        <v>5000</v>
      </c>
      <c r="L123" s="387"/>
      <c r="M123" s="395" t="s">
        <v>136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199.99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292</v>
      </c>
      <c r="B125" s="366"/>
      <c r="C125" s="366"/>
      <c r="D125" s="366"/>
      <c r="E125" s="65" t="n">
        <f aca="false">((E124*1.2)+E123)-E120</f>
        <v>-2760.012</v>
      </c>
      <c r="F125" s="387"/>
      <c r="G125" s="421" t="s">
        <v>292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292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387"/>
      <c r="G128" s="213" t="s">
        <v>293</v>
      </c>
      <c r="H128" s="213"/>
      <c r="I128" s="213"/>
      <c r="J128" s="213"/>
      <c r="K128" s="213"/>
      <c r="L128" s="387"/>
      <c r="M128" s="213" t="s">
        <v>293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387"/>
      <c r="G130" s="315" t="s">
        <v>181</v>
      </c>
      <c r="H130" s="169" t="n">
        <v>0</v>
      </c>
      <c r="I130" s="169"/>
      <c r="J130" s="316"/>
      <c r="K130" s="317"/>
      <c r="L130" s="387"/>
      <c r="M130" s="315" t="s">
        <v>181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82</v>
      </c>
      <c r="H132" s="316" t="s">
        <v>83</v>
      </c>
      <c r="I132" s="316"/>
      <c r="J132" s="316" t="s">
        <v>85</v>
      </c>
      <c r="K132" s="317"/>
      <c r="L132" s="387"/>
      <c r="M132" s="315" t="s">
        <v>82</v>
      </c>
      <c r="N132" s="316" t="s">
        <v>83</v>
      </c>
      <c r="O132" s="316"/>
      <c r="P132" s="316" t="s">
        <v>85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11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11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527.647516919905</v>
      </c>
      <c r="B134" s="320" t="n">
        <f aca="false">IF(A111="YES", B95, 0)</f>
        <v>60</v>
      </c>
      <c r="C134" s="325"/>
      <c r="D134" s="320" t="n">
        <f aca="false">B97</f>
        <v>587.647516919905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296</v>
      </c>
      <c r="H135" s="423" t="s">
        <v>297</v>
      </c>
      <c r="I135" s="423"/>
      <c r="J135" s="423" t="s">
        <v>298</v>
      </c>
      <c r="K135" s="317"/>
      <c r="L135" s="387"/>
      <c r="M135" s="422" t="s">
        <v>342</v>
      </c>
      <c r="N135" s="423" t="s">
        <v>250</v>
      </c>
      <c r="O135" s="423"/>
      <c r="P135" s="423" t="s">
        <v>119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527.647516919905</v>
      </c>
      <c r="C137" s="316"/>
      <c r="D137" s="38" t="n">
        <f aca="false">IF(A111="YES", B95*B63, 0)</f>
        <v>60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301</v>
      </c>
      <c r="H138" s="316" t="s">
        <v>302</v>
      </c>
      <c r="I138" s="316"/>
      <c r="J138" s="316" t="s">
        <v>303</v>
      </c>
      <c r="K138" s="317"/>
      <c r="L138" s="387"/>
      <c r="M138" s="315" t="s">
        <v>343</v>
      </c>
      <c r="N138" s="316" t="s">
        <v>239</v>
      </c>
      <c r="O138" s="316"/>
      <c r="P138" s="316" t="s">
        <v>243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587.647516919905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306</v>
      </c>
      <c r="H141" s="316" t="s">
        <v>307</v>
      </c>
      <c r="I141" s="316"/>
      <c r="J141" s="316" t="s">
        <v>308</v>
      </c>
      <c r="K141" s="317"/>
      <c r="L141" s="387"/>
      <c r="M141" s="315" t="s">
        <v>252</v>
      </c>
      <c r="N141" s="316" t="s">
        <v>253</v>
      </c>
      <c r="O141" s="316"/>
      <c r="P141" s="316" t="s">
        <v>257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387"/>
      <c r="G142" s="107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1"/>
      <c r="L142" s="387"/>
      <c r="M142" s="107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527.647516919905</v>
      </c>
      <c r="B143" s="38" t="n">
        <f aca="false">IF(A111="YES", B95, 0)</f>
        <v>60</v>
      </c>
      <c r="C143" s="316"/>
      <c r="D143" s="38" t="n">
        <f aca="false">B97</f>
        <v>587.647516919905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309</v>
      </c>
      <c r="H144" s="316" t="s">
        <v>310</v>
      </c>
      <c r="I144" s="316"/>
      <c r="J144" s="316" t="s">
        <v>311</v>
      </c>
      <c r="K144" s="317"/>
      <c r="L144" s="387"/>
      <c r="M144" s="315" t="s">
        <v>139</v>
      </c>
      <c r="N144" s="316" t="s">
        <v>310</v>
      </c>
      <c r="O144" s="316"/>
      <c r="P144" s="316" t="s">
        <v>311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387"/>
      <c r="G145" s="107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313</v>
      </c>
      <c r="H147" s="316" t="s">
        <v>314</v>
      </c>
      <c r="I147" s="316"/>
      <c r="J147" s="316" t="s">
        <v>315</v>
      </c>
      <c r="K147" s="317"/>
      <c r="L147" s="387"/>
      <c r="M147" s="315" t="s">
        <v>313</v>
      </c>
      <c r="N147" s="316" t="s">
        <v>314</v>
      </c>
      <c r="O147" s="316"/>
      <c r="P147" s="316" t="s">
        <v>315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317</v>
      </c>
      <c r="H150" s="316" t="s">
        <v>318</v>
      </c>
      <c r="I150" s="316"/>
      <c r="J150" s="316"/>
      <c r="K150" s="317"/>
      <c r="L150" s="387"/>
      <c r="M150" s="315" t="s">
        <v>317</v>
      </c>
      <c r="N150" s="316" t="s">
        <v>318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246</v>
      </c>
      <c r="B154" s="99" t="n">
        <f aca="false">B108</f>
        <v>400</v>
      </c>
      <c r="C154" s="38"/>
      <c r="D154" s="38" t="n">
        <f aca="false">IF(A111="YES", (A44/100*B111)*B131, 0)*0.1</f>
        <v>12</v>
      </c>
      <c r="E154" s="101"/>
      <c r="F154" s="387"/>
      <c r="G154" s="347" t="s">
        <v>323</v>
      </c>
      <c r="H154" s="316"/>
      <c r="I154" s="316"/>
      <c r="J154" s="348"/>
      <c r="K154" s="349"/>
      <c r="L154" s="387"/>
      <c r="M154" s="424" t="n">
        <f aca="false">H40</f>
        <v>4100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7"/>
      <c r="G156" s="246" t="s">
        <v>82</v>
      </c>
      <c r="H156" s="247" t="s">
        <v>83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757.99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323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82</v>
      </c>
      <c r="N159" s="247" t="s">
        <v>83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587.647516919905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426" t="n">
        <f aca="false">ISNUMBER(B183)</f>
        <v>1</v>
      </c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527.647516919905</v>
      </c>
      <c r="B177" s="354" t="n">
        <f aca="false">IF(A111="YES", B95, 0)</f>
        <v>60</v>
      </c>
      <c r="C177" s="357"/>
      <c r="D177" s="354" t="n">
        <f aca="false">B91</f>
        <v>6278.58333333333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527.647516919905</v>
      </c>
      <c r="C180" s="352"/>
      <c r="D180" s="99" t="n">
        <f aca="false">IF(A111="YES", B95*B63, 0)</f>
        <v>60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587.647516919905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527.647516919905</v>
      </c>
      <c r="B186" s="99" t="n">
        <f aca="false">IF(A111="YES", B95, 0)</f>
        <v>60</v>
      </c>
      <c r="C186" s="352"/>
      <c r="D186" s="99" t="n">
        <f aca="false">B97</f>
        <v>587.647516919905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246</v>
      </c>
      <c r="B197" s="99" t="n">
        <f aca="false">B108</f>
        <v>400</v>
      </c>
      <c r="C197" s="99"/>
      <c r="D197" s="99" t="n">
        <f aca="false">IF(A111="YES", (A44/100*B111)*B131, 0)*0.1</f>
        <v>12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757.99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D70</f>
        <v>1722</v>
      </c>
      <c r="E209" s="321"/>
      <c r="F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213</v>
      </c>
      <c r="B211" s="320" t="n">
        <f aca="false">B219</f>
        <v>246</v>
      </c>
      <c r="C211" s="319" t="s">
        <v>214</v>
      </c>
      <c r="D211" s="369" t="n">
        <f aca="false">B225+E221+B221+B223</f>
        <v>459.99</v>
      </c>
      <c r="E211" s="321"/>
      <c r="F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215</v>
      </c>
      <c r="B213" s="320" t="n">
        <f aca="false">E223</f>
        <v>1935.99</v>
      </c>
      <c r="C213" s="324"/>
      <c r="D213" s="320"/>
      <c r="E213" s="321"/>
      <c r="F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212</v>
      </c>
      <c r="B217" s="100" t="n">
        <f aca="false">D70</f>
        <v>1722</v>
      </c>
      <c r="C217" s="374" t="s">
        <v>218</v>
      </c>
      <c r="D217" s="316"/>
      <c r="E217" s="375" t="n">
        <f aca="false">B72</f>
        <v>0.01</v>
      </c>
      <c r="F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218</v>
      </c>
      <c r="B219" s="100" t="n">
        <f aca="false">B73</f>
        <v>246</v>
      </c>
      <c r="C219" s="335" t="s">
        <v>326</v>
      </c>
      <c r="D219" s="376"/>
      <c r="E219" s="255" t="n">
        <v>0.001</v>
      </c>
      <c r="F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1935.99</v>
      </c>
      <c r="F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328</v>
      </c>
      <c r="B225" s="340" t="n">
        <f aca="false">D197/0.1</f>
        <v>120</v>
      </c>
      <c r="C225" s="38"/>
      <c r="D225" s="340"/>
      <c r="E225" s="164"/>
      <c r="F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53.1868697055264</v>
      </c>
      <c r="F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275</v>
      </c>
      <c r="F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107"/>
      <c r="B244" s="38"/>
      <c r="C244" s="38"/>
      <c r="D244" s="38"/>
      <c r="E244" s="101"/>
      <c r="F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107"/>
      <c r="B247" s="38"/>
      <c r="C247" s="316"/>
      <c r="D247" s="316"/>
      <c r="E247" s="317"/>
      <c r="F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346</v>
      </c>
      <c r="B41" s="237" t="str">
        <f aca="false">IF(B38="YES", D38+A41, D38)</f>
        <v>500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346</v>
      </c>
      <c r="E44" s="100"/>
      <c r="F44" s="63"/>
      <c r="G44" s="63" t="s">
        <v>255</v>
      </c>
      <c r="H44" s="234" t="str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347</v>
      </c>
      <c r="C47" s="428"/>
      <c r="D47" s="100" t="s">
        <v>347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337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24600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1722</v>
      </c>
      <c r="C70" s="211" t="n">
        <v>10000</v>
      </c>
      <c r="D70" s="290" t="n">
        <f aca="false">B70-A149</f>
        <v>1722</v>
      </c>
      <c r="E70" s="212" t="n">
        <f aca="false">D70/12</f>
        <v>143.5</v>
      </c>
      <c r="F70" s="63"/>
      <c r="G70" s="284" t="s">
        <v>90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90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B66*B72</f>
        <v>246</v>
      </c>
      <c r="C73" s="211"/>
      <c r="D73" s="290"/>
      <c r="E73" s="212"/>
      <c r="F73" s="63"/>
      <c r="G73" s="284" t="s">
        <v>93</v>
      </c>
      <c r="H73" s="129" t="n">
        <f aca="false">H67*H72</f>
        <v>202.63</v>
      </c>
      <c r="I73" s="211"/>
      <c r="J73" s="290"/>
      <c r="K73" s="212"/>
      <c r="L73" s="63"/>
      <c r="M73" s="284" t="s">
        <v>93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277</v>
      </c>
      <c r="B80" s="431" t="n">
        <v>0</v>
      </c>
      <c r="C80" s="211"/>
      <c r="D80" s="211"/>
      <c r="E80" s="429" t="n">
        <f aca="false">E79+D82</f>
        <v>660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278</v>
      </c>
      <c r="B81" s="433" t="n">
        <v>0</v>
      </c>
      <c r="C81" s="211"/>
      <c r="D81" s="211"/>
      <c r="E81" s="212" t="n">
        <f aca="false">E80/12</f>
        <v>55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3048.66666666667</v>
      </c>
      <c r="C87" s="211"/>
      <c r="D87" s="211"/>
      <c r="E87" s="212"/>
      <c r="F87" s="63"/>
      <c r="G87" s="302" t="s">
        <v>102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102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254.055555555556</v>
      </c>
      <c r="C88" s="211"/>
      <c r="D88" s="211"/>
      <c r="E88" s="212"/>
      <c r="F88" s="63"/>
      <c r="G88" s="210" t="s">
        <v>103</v>
      </c>
      <c r="H88" s="299" t="n">
        <f aca="false">H87/H29</f>
        <v>499.200277777778</v>
      </c>
      <c r="I88" s="211"/>
      <c r="J88" s="211"/>
      <c r="K88" s="212"/>
      <c r="L88" s="63"/>
      <c r="M88" s="210" t="s">
        <v>103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9060.66666666667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114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76.7543364259782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115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9137.42100309265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761.451750257721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761.451750257721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348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3" t="n">
        <v>0</v>
      </c>
      <c r="C111" s="313"/>
      <c r="D111" s="103" t="s">
        <v>289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761.451750257721</v>
      </c>
      <c r="B134" s="320" t="n">
        <f aca="false">IF(A111="YES", B95, 0)</f>
        <v>0</v>
      </c>
      <c r="C134" s="325"/>
      <c r="D134" s="320" t="n">
        <f aca="false">B97</f>
        <v>761.451750257721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6853.06575231948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6853.06575231948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761.451750257721</v>
      </c>
      <c r="B143" s="38" t="n">
        <f aca="false">IF(A111="YES", B95, 0)</f>
        <v>0</v>
      </c>
      <c r="C143" s="316"/>
      <c r="D143" s="38" t="n">
        <f aca="false">B97</f>
        <v>761.451750257721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1388.84633333333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1348.84833333333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246</v>
      </c>
      <c r="B154" s="99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745.99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761.451750257721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761.451750257721</v>
      </c>
      <c r="B177" s="354" t="n">
        <f aca="false">IF(A111="YES", B95, 0)</f>
        <v>0</v>
      </c>
      <c r="C177" s="357"/>
      <c r="D177" s="354" t="n">
        <f aca="false">B91</f>
        <v>9060.66666666667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6853.06575231948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6853.06575231948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761.451750257721</v>
      </c>
      <c r="B186" s="99" t="n">
        <f aca="false">IF(A111="YES", B95, 0)</f>
        <v>0</v>
      </c>
      <c r="C186" s="352"/>
      <c r="D186" s="99" t="n">
        <f aca="false">B97</f>
        <v>761.451750257721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246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745.99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1722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246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1815.99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1722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246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1815.99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76.7543364259782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0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241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230</v>
      </c>
      <c r="B41" s="237" t="n">
        <f aca="false">IF(B38="YES", D38+A41, D38)</f>
        <v>550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347</v>
      </c>
      <c r="E44" s="100"/>
      <c r="F44" s="63"/>
      <c r="G44" s="63" t="s">
        <v>255</v>
      </c>
      <c r="H44" s="234" t="str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347</v>
      </c>
      <c r="C47" s="428"/>
      <c r="D47" s="100" t="s">
        <v>347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24600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1722</v>
      </c>
      <c r="C70" s="211" t="n">
        <v>10000</v>
      </c>
      <c r="D70" s="290" t="n">
        <f aca="false">B70-A149</f>
        <v>1722</v>
      </c>
      <c r="E70" s="212" t="n">
        <f aca="false">D70/12</f>
        <v>143.5</v>
      </c>
      <c r="F70" s="63"/>
      <c r="G70" s="284" t="s">
        <v>90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90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B66*B72</f>
        <v>246</v>
      </c>
      <c r="C73" s="211"/>
      <c r="D73" s="290"/>
      <c r="E73" s="212"/>
      <c r="F73" s="63"/>
      <c r="G73" s="284" t="s">
        <v>93</v>
      </c>
      <c r="H73" s="129" t="n">
        <f aca="false">H67*H72</f>
        <v>202.63</v>
      </c>
      <c r="I73" s="211"/>
      <c r="J73" s="290"/>
      <c r="K73" s="212"/>
      <c r="L73" s="63"/>
      <c r="M73" s="284" t="s">
        <v>93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275</v>
      </c>
      <c r="C80" s="211"/>
      <c r="D80" s="211"/>
      <c r="E80" s="429" t="n">
        <f aca="false">E79+D82</f>
        <v>957.916666666667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79.8263888888889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297.916666666667</v>
      </c>
      <c r="C82" s="211"/>
      <c r="D82" s="290" t="n">
        <f aca="false">IF(A50="YES", 0, B82)</f>
        <v>297.916666666667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3346.58333333333</v>
      </c>
      <c r="C87" s="211"/>
      <c r="D87" s="211"/>
      <c r="E87" s="212"/>
      <c r="F87" s="63"/>
      <c r="G87" s="302" t="s">
        <v>102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102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278.881944444444</v>
      </c>
      <c r="C88" s="211"/>
      <c r="D88" s="211"/>
      <c r="E88" s="212"/>
      <c r="F88" s="63"/>
      <c r="G88" s="210" t="s">
        <v>103</v>
      </c>
      <c r="H88" s="299" t="n">
        <f aca="false">H87/H29</f>
        <v>499.200277777778</v>
      </c>
      <c r="I88" s="211"/>
      <c r="J88" s="211"/>
      <c r="K88" s="212"/>
      <c r="L88" s="63"/>
      <c r="M88" s="210" t="s">
        <v>103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((B89*H29)+B87)*1.2</f>
        <v>11230.3</v>
      </c>
      <c r="C91" s="211"/>
      <c r="D91" s="211"/>
      <c r="E91" s="212"/>
      <c r="F91" s="63"/>
      <c r="G91" s="287" t="s">
        <v>114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114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79.2780354981848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115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11309.5780354982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IF(B105=Z104,(((H44*B35)+(H44*B35)*(B111/100))/(B64)),(((H44*B35)+(H44*B35)*(B111/100))/(B63+B64)))*1.2</f>
        <v>78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942.464836291516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1020.46483629152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1" t="n">
        <v>30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942.464836291516</v>
      </c>
      <c r="B134" s="320" t="n">
        <f aca="false">IF(A111="YES", B95, 0)</f>
        <v>78</v>
      </c>
      <c r="C134" s="325"/>
      <c r="D134" s="320" t="n">
        <f aca="false">B97</f>
        <v>1020.46483629152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942.464836291516</v>
      </c>
      <c r="C137" s="316"/>
      <c r="D137" s="38" t="n">
        <f aca="false">IF(A111="YES", B95*B63, 0)</f>
        <v>78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1020.46483629152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942.464836291516</v>
      </c>
      <c r="B143" s="38" t="n">
        <f aca="false">IF(A111="YES", B95, 0)</f>
        <v>78</v>
      </c>
      <c r="C143" s="316"/>
      <c r="D143" s="38" t="n">
        <f aca="false">B97</f>
        <v>1020.46483629152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1400.84633333333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1360.84833333333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246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763.991666666667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1020.46483629152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942.464836291516</v>
      </c>
      <c r="B177" s="354" t="n">
        <f aca="false">IF(A111="YES", B95, 0)</f>
        <v>78</v>
      </c>
      <c r="C177" s="357"/>
      <c r="D177" s="354" t="n">
        <f aca="false">B97</f>
        <v>1020.46483629152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942.464836291516</v>
      </c>
      <c r="C180" s="352"/>
      <c r="D180" s="99" t="n">
        <f aca="false">IF(A111="YES", B95*B63, 0)</f>
        <v>78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1020.46483629152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942.464836291516</v>
      </c>
      <c r="B186" s="99" t="n">
        <f aca="false">IF(A111="YES", B95, 0)</f>
        <v>78</v>
      </c>
      <c r="C186" s="352"/>
      <c r="D186" s="99" t="n">
        <f aca="false">B97</f>
        <v>1020.46483629152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246</v>
      </c>
      <c r="B197" s="99" t="n">
        <f aca="false">B108</f>
        <v>400</v>
      </c>
      <c r="C197" s="99"/>
      <c r="D197" s="99" t="n">
        <f aca="false">IF(A111="YES", (A41/100*B111)*B131, 0)*0.1</f>
        <v>18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763.991666666667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1722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246</v>
      </c>
      <c r="C211" s="319" t="s">
        <v>214</v>
      </c>
      <c r="D211" s="369" t="n">
        <f aca="false">B225+E221+B221+B223</f>
        <v>519.991666666667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1995.99166666667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1722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246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1995.99166666667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180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79.2780354981848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241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230</v>
      </c>
      <c r="B41" s="237" t="n">
        <f aca="false">IF(B38="YES", D38+A41, D38)</f>
        <v>550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347</v>
      </c>
      <c r="E44" s="100"/>
      <c r="F44" s="63"/>
      <c r="G44" s="63" t="s">
        <v>255</v>
      </c>
      <c r="H44" s="234" t="str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347</v>
      </c>
      <c r="C47" s="428"/>
      <c r="D47" s="100" t="s">
        <v>347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24600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1722</v>
      </c>
      <c r="C70" s="211" t="n">
        <v>10000</v>
      </c>
      <c r="D70" s="290" t="n">
        <f aca="false">B70-A149</f>
        <v>1722</v>
      </c>
      <c r="E70" s="212" t="n">
        <f aca="false">D70/12</f>
        <v>143.5</v>
      </c>
      <c r="F70" s="63"/>
      <c r="G70" s="284" t="s">
        <v>90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90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B66*B72</f>
        <v>246</v>
      </c>
      <c r="C73" s="211"/>
      <c r="D73" s="290"/>
      <c r="E73" s="212"/>
      <c r="F73" s="63"/>
      <c r="G73" s="284" t="s">
        <v>93</v>
      </c>
      <c r="H73" s="129" t="n">
        <f aca="false">H67*H72</f>
        <v>202.63</v>
      </c>
      <c r="I73" s="211"/>
      <c r="J73" s="290"/>
      <c r="K73" s="212"/>
      <c r="L73" s="63"/>
      <c r="M73" s="284" t="s">
        <v>93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275</v>
      </c>
      <c r="C80" s="211"/>
      <c r="D80" s="211"/>
      <c r="E80" s="429" t="n">
        <f aca="false">E79+D82</f>
        <v>957.916666666667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79.8263888888889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297.916666666667</v>
      </c>
      <c r="C82" s="211"/>
      <c r="D82" s="290" t="n">
        <f aca="false">IF(A50="YES", 0, B82)</f>
        <v>297.916666666667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3346.58333333333</v>
      </c>
      <c r="C87" s="211"/>
      <c r="D87" s="211"/>
      <c r="E87" s="212"/>
      <c r="F87" s="63"/>
      <c r="G87" s="302" t="s">
        <v>102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102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278.881944444444</v>
      </c>
      <c r="C88" s="211"/>
      <c r="D88" s="211"/>
      <c r="E88" s="212"/>
      <c r="F88" s="63"/>
      <c r="G88" s="210" t="s">
        <v>103</v>
      </c>
      <c r="H88" s="299" t="n">
        <f aca="false">H87/H29</f>
        <v>499.200277777778</v>
      </c>
      <c r="I88" s="211"/>
      <c r="J88" s="211"/>
      <c r="K88" s="212"/>
      <c r="L88" s="63"/>
      <c r="M88" s="210" t="s">
        <v>103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9358.58333333333</v>
      </c>
      <c r="C91" s="211"/>
      <c r="D91" s="211"/>
      <c r="E91" s="212"/>
      <c r="F91" s="63"/>
      <c r="G91" s="287" t="s">
        <v>114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114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79.2780354981848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115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9437.86136883152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65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786.488447402627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851.488447402627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1" t="n">
        <v>30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786.488447402627</v>
      </c>
      <c r="B134" s="320" t="n">
        <f aca="false">IF(A111="YES", B95, 0)</f>
        <v>65</v>
      </c>
      <c r="C134" s="325"/>
      <c r="D134" s="320" t="n">
        <f aca="false">B97</f>
        <v>851.488447402627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786.488447402627</v>
      </c>
      <c r="C137" s="316"/>
      <c r="D137" s="38" t="n">
        <f aca="false">IF(A111="YES", B95*B63, 0)</f>
        <v>65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851.488447402627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786.488447402627</v>
      </c>
      <c r="B143" s="38" t="n">
        <f aca="false">IF(A111="YES", B95, 0)</f>
        <v>65</v>
      </c>
      <c r="C143" s="316"/>
      <c r="D143" s="38" t="n">
        <f aca="false">B97</f>
        <v>851.488447402627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1400.84633333333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1360.84833333333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246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763.99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851.488447402627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786.488447402627</v>
      </c>
      <c r="B177" s="354" t="n">
        <f aca="false">IF(A111="YES", B95, 0)</f>
        <v>65</v>
      </c>
      <c r="C177" s="357"/>
      <c r="D177" s="354" t="n">
        <f aca="false">B91</f>
        <v>9358.58333333333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786.488447402627</v>
      </c>
      <c r="C180" s="352"/>
      <c r="D180" s="99" t="n">
        <f aca="false">IF(A111="YES", B95*B63, 0)</f>
        <v>65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851.488447402627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786.488447402627</v>
      </c>
      <c r="B186" s="99" t="n">
        <f aca="false">IF(A111="YES", B95, 0)</f>
        <v>65</v>
      </c>
      <c r="C186" s="352"/>
      <c r="D186" s="99" t="n">
        <f aca="false">B97</f>
        <v>851.488447402627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246</v>
      </c>
      <c r="B197" s="99" t="n">
        <f aca="false">B154</f>
        <v>400</v>
      </c>
      <c r="C197" s="99"/>
      <c r="D197" s="99" t="n">
        <f aca="false">IF(A111="YES", (A41/100*B111)*B131, 0)*0.1</f>
        <v>18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763.99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1722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246</v>
      </c>
      <c r="C211" s="319" t="s">
        <v>214</v>
      </c>
      <c r="D211" s="369" t="n">
        <f aca="false">B225+E221+B221+B223</f>
        <v>519.99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1995.99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1722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246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1995.99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180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79.2780354981848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8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24600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1722</v>
      </c>
      <c r="C70" s="211" t="n">
        <v>10000</v>
      </c>
      <c r="D70" s="290" t="n">
        <f aca="false">B70-A149</f>
        <v>1722</v>
      </c>
      <c r="E70" s="212" t="n">
        <f aca="false">D70/12</f>
        <v>143.5</v>
      </c>
      <c r="F70" s="63"/>
      <c r="G70" s="284" t="s">
        <v>90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90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B66*B72</f>
        <v>246</v>
      </c>
      <c r="C73" s="211"/>
      <c r="D73" s="290"/>
      <c r="E73" s="212"/>
      <c r="F73" s="63"/>
      <c r="G73" s="284" t="s">
        <v>93</v>
      </c>
      <c r="H73" s="129" t="n">
        <f aca="false">H67*H72</f>
        <v>202.63</v>
      </c>
      <c r="I73" s="211"/>
      <c r="J73" s="290"/>
      <c r="K73" s="212"/>
      <c r="L73" s="63"/>
      <c r="M73" s="284" t="s">
        <v>93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277</v>
      </c>
      <c r="B80" s="431" t="n">
        <v>0</v>
      </c>
      <c r="C80" s="211"/>
      <c r="D80" s="211"/>
      <c r="E80" s="429" t="n">
        <f aca="false">E79+D82</f>
        <v>660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278</v>
      </c>
      <c r="B81" s="433" t="n">
        <v>0</v>
      </c>
      <c r="C81" s="211"/>
      <c r="D81" s="211"/>
      <c r="E81" s="212" t="n">
        <f aca="false">E80/12</f>
        <v>55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3048.66666666667</v>
      </c>
      <c r="C87" s="211"/>
      <c r="D87" s="211"/>
      <c r="E87" s="212"/>
      <c r="F87" s="63"/>
      <c r="G87" s="302" t="s">
        <v>102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102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254.055555555556</v>
      </c>
      <c r="C88" s="211"/>
      <c r="D88" s="211"/>
      <c r="E88" s="212"/>
      <c r="F88" s="63"/>
      <c r="G88" s="210" t="s">
        <v>103</v>
      </c>
      <c r="H88" s="299" t="n">
        <f aca="false">H87/H29</f>
        <v>499.200277777778</v>
      </c>
      <c r="I88" s="211"/>
      <c r="J88" s="211"/>
      <c r="K88" s="212"/>
      <c r="L88" s="63"/>
      <c r="M88" s="210" t="s">
        <v>103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9060.66666666667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114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76.7543364259782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115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9137.42100309265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761.451750257721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761.451750257721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340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s">
        <v>289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761.451750257721</v>
      </c>
      <c r="B134" s="320" t="n">
        <f aca="false">IF(A111="YES", B95, 0)</f>
        <v>0</v>
      </c>
      <c r="C134" s="325"/>
      <c r="D134" s="320" t="n">
        <f aca="false">B97</f>
        <v>761.451750257721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6853.06575231948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6853.06575231948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761.451750257721</v>
      </c>
      <c r="B143" s="38" t="n">
        <f aca="false">IF(A111="YES", B95, 0)</f>
        <v>0</v>
      </c>
      <c r="C143" s="316"/>
      <c r="D143" s="38" t="n">
        <f aca="false">B97</f>
        <v>761.451750257721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1388.84633333333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1348.84833333333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246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745.99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761.451750257721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761.451750257721</v>
      </c>
      <c r="B177" s="354" t="n">
        <f aca="false">IF(A111="YES", B95, 0)</f>
        <v>0</v>
      </c>
      <c r="C177" s="357"/>
      <c r="D177" s="354" t="n">
        <f aca="false">B91</f>
        <v>9060.66666666667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6853.06575231948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6853.06575231948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761.451750257721</v>
      </c>
      <c r="B186" s="99" t="n">
        <f aca="false">IF(A111="YES", B95, 0)</f>
        <v>0</v>
      </c>
      <c r="C186" s="352"/>
      <c r="D186" s="99" t="n">
        <f aca="false">B97</f>
        <v>761.451750257721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246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745.99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1722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246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1815.99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1722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246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1815.99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76.7543364259782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4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24600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1722</v>
      </c>
      <c r="C70" s="211" t="n">
        <v>10000</v>
      </c>
      <c r="D70" s="290" t="n">
        <f aca="false">B70-A149</f>
        <v>1722</v>
      </c>
      <c r="E70" s="212" t="n">
        <f aca="false">D70/12</f>
        <v>143.5</v>
      </c>
      <c r="F70" s="63"/>
      <c r="G70" s="284" t="s">
        <v>90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90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B66*B72</f>
        <v>246</v>
      </c>
      <c r="C73" s="211"/>
      <c r="D73" s="290"/>
      <c r="E73" s="212"/>
      <c r="F73" s="63"/>
      <c r="G73" s="284" t="s">
        <v>93</v>
      </c>
      <c r="H73" s="129" t="n">
        <f aca="false">H67*H72</f>
        <v>202.63</v>
      </c>
      <c r="I73" s="211"/>
      <c r="J73" s="290"/>
      <c r="K73" s="212"/>
      <c r="L73" s="63"/>
      <c r="M73" s="284" t="s">
        <v>93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275</v>
      </c>
      <c r="C80" s="211"/>
      <c r="D80" s="211"/>
      <c r="E80" s="429" t="n">
        <f aca="false">E79+D82</f>
        <v>957.916666666667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79.8263888888889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297.916666666667</v>
      </c>
      <c r="C82" s="211"/>
      <c r="D82" s="290" t="n">
        <f aca="false">IF(A50="YES", 0, B82)</f>
        <v>297.916666666667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0</v>
      </c>
      <c r="C83" s="211"/>
      <c r="D83" s="290" t="n">
        <f aca="false">B83</f>
        <v>0</v>
      </c>
      <c r="E83" s="212" t="n">
        <f aca="false">D83/12</f>
        <v>0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0</v>
      </c>
      <c r="C84" s="211"/>
      <c r="D84" s="290" t="n">
        <f aca="false">B84</f>
        <v>0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2679.91666666667</v>
      </c>
      <c r="C87" s="211"/>
      <c r="D87" s="211"/>
      <c r="E87" s="212"/>
      <c r="F87" s="63"/>
      <c r="G87" s="302" t="s">
        <v>102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102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223.326388888889</v>
      </c>
      <c r="C88" s="211"/>
      <c r="D88" s="211"/>
      <c r="E88" s="212"/>
      <c r="F88" s="63"/>
      <c r="G88" s="210" t="s">
        <v>103</v>
      </c>
      <c r="H88" s="299" t="n">
        <f aca="false">H87/H29</f>
        <v>499.200277777778</v>
      </c>
      <c r="I88" s="211"/>
      <c r="J88" s="211"/>
      <c r="K88" s="212"/>
      <c r="L88" s="63"/>
      <c r="M88" s="210" t="s">
        <v>103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((B89*H29)+B87)*1.2</f>
        <v>10430.3</v>
      </c>
      <c r="C91" s="211"/>
      <c r="D91" s="211"/>
      <c r="E91" s="212"/>
      <c r="F91" s="63"/>
      <c r="G91" s="287" t="s">
        <v>114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114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73.6305970149254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115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10503.9305970149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IF(B105=Z104,(((H44*B35)+(H44*B35)*(B111/100))/(B64)),(((H44*B35)+(H44*B35)*(B111/100))/(B63+B64)))*1.2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875.327549751244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875.327549751244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239.99</v>
      </c>
      <c r="B108" s="103" t="n">
        <v>0</v>
      </c>
      <c r="C108" s="103"/>
      <c r="D108" s="103" t="n">
        <v>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875.327549751244</v>
      </c>
      <c r="B134" s="320" t="n">
        <f aca="false">IF(A111="YES", B95, 0)</f>
        <v>0</v>
      </c>
      <c r="C134" s="325"/>
      <c r="D134" s="320" t="n">
        <f aca="false">B97</f>
        <v>875.327549751244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875.327549751244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875.327549751244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875.327549751244</v>
      </c>
      <c r="B143" s="38" t="n">
        <f aca="false">IF(A111="YES", B95, 0)</f>
        <v>0</v>
      </c>
      <c r="C143" s="316"/>
      <c r="D143" s="38" t="n">
        <f aca="false">B97</f>
        <v>875.327549751244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1388.84633333333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1348.84833333333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246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345.991666666667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875.327549751244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875.327549751244</v>
      </c>
      <c r="B177" s="354" t="n">
        <f aca="false">IF(A111="YES", B95, 0)</f>
        <v>0</v>
      </c>
      <c r="C177" s="357"/>
      <c r="D177" s="354" t="n">
        <f aca="false">B91</f>
        <v>10430.3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875.327549751244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875.327549751244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875.327549751244</v>
      </c>
      <c r="B186" s="99" t="n">
        <f aca="false">IF(A111="YES", B95, 0)</f>
        <v>0</v>
      </c>
      <c r="C186" s="352"/>
      <c r="D186" s="99" t="n">
        <f aca="false">B97</f>
        <v>875.327549751244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246</v>
      </c>
      <c r="B197" s="99" t="n">
        <f aca="false">B108</f>
        <v>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345.991666666667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1722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246</v>
      </c>
      <c r="C211" s="319" t="s">
        <v>214</v>
      </c>
      <c r="D211" s="369" t="n">
        <f aca="false">B225+E221+B221+B223</f>
        <v>99.9916666666667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1575.99166666667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1722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246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0</v>
      </c>
      <c r="C223" s="335" t="s">
        <v>215</v>
      </c>
      <c r="D223" s="316"/>
      <c r="E223" s="33" t="n">
        <f aca="false">(B217-B211+D211)</f>
        <v>1575.99166666667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73.6305970149254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24600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1722</v>
      </c>
      <c r="C70" s="211" t="n">
        <v>10000</v>
      </c>
      <c r="D70" s="290" t="n">
        <f aca="false">B70-A149</f>
        <v>1722</v>
      </c>
      <c r="E70" s="212" t="n">
        <f aca="false">D70/12</f>
        <v>143.5</v>
      </c>
      <c r="F70" s="63"/>
      <c r="G70" s="284" t="s">
        <v>90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90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B66*B72</f>
        <v>246</v>
      </c>
      <c r="C73" s="211"/>
      <c r="D73" s="290"/>
      <c r="E73" s="212"/>
      <c r="F73" s="63"/>
      <c r="G73" s="284" t="s">
        <v>93</v>
      </c>
      <c r="H73" s="129" t="n">
        <f aca="false">H67*H72</f>
        <v>202.63</v>
      </c>
      <c r="I73" s="211"/>
      <c r="J73" s="290"/>
      <c r="K73" s="212"/>
      <c r="L73" s="63"/>
      <c r="M73" s="284" t="s">
        <v>93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275</v>
      </c>
      <c r="C80" s="211"/>
      <c r="D80" s="211"/>
      <c r="E80" s="429" t="n">
        <f aca="false">E79+D82</f>
        <v>957.916666666667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79.8263888888889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297.916666666667</v>
      </c>
      <c r="C82" s="211"/>
      <c r="D82" s="290" t="n">
        <f aca="false">IF(A50="YES", 0, B82)</f>
        <v>297.916666666667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3346.58333333333</v>
      </c>
      <c r="C87" s="211"/>
      <c r="D87" s="211"/>
      <c r="E87" s="212"/>
      <c r="F87" s="63"/>
      <c r="G87" s="302" t="s">
        <v>102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102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278.881944444444</v>
      </c>
      <c r="C88" s="211"/>
      <c r="D88" s="211"/>
      <c r="E88" s="212"/>
      <c r="F88" s="63"/>
      <c r="G88" s="210" t="s">
        <v>103</v>
      </c>
      <c r="H88" s="299" t="n">
        <f aca="false">H87/H29</f>
        <v>499.200277777778</v>
      </c>
      <c r="I88" s="211"/>
      <c r="J88" s="211"/>
      <c r="K88" s="212"/>
      <c r="L88" s="63"/>
      <c r="M88" s="210" t="s">
        <v>103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9358.58333333333</v>
      </c>
      <c r="C91" s="211"/>
      <c r="D91" s="211"/>
      <c r="E91" s="212"/>
      <c r="F91" s="63"/>
      <c r="G91" s="287" t="s">
        <v>114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114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79.2780354981848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115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9437.86136883152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786.488447402627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786.488447402627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s">
        <v>289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786.488447402627</v>
      </c>
      <c r="B134" s="320" t="n">
        <f aca="false">IF(A111="YES", B95, 0)</f>
        <v>0</v>
      </c>
      <c r="C134" s="325"/>
      <c r="D134" s="320" t="n">
        <f aca="false">B97</f>
        <v>786.488447402627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7078.39602662364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7078.39602662364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786.488447402627</v>
      </c>
      <c r="B143" s="38" t="n">
        <f aca="false">IF(A111="YES", B95, 0)</f>
        <v>0</v>
      </c>
      <c r="C143" s="316"/>
      <c r="D143" s="38" t="n">
        <f aca="false">B97</f>
        <v>786.488447402627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1388.84633333333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1348.84833333333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246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745.99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786.488447402627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786.488447402627</v>
      </c>
      <c r="B177" s="354" t="n">
        <f aca="false">IF(A111="YES", B95, 0)</f>
        <v>0</v>
      </c>
      <c r="C177" s="357"/>
      <c r="D177" s="354" t="n">
        <f aca="false">B91</f>
        <v>9358.58333333333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7078.39602662364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7078.39602662364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786.488447402627</v>
      </c>
      <c r="B186" s="99" t="n">
        <f aca="false">IF(A111="YES", B95, 0)</f>
        <v>0</v>
      </c>
      <c r="C186" s="352"/>
      <c r="D186" s="99" t="n">
        <f aca="false">B97</f>
        <v>786.488447402627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246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745.99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1722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246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1815.99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1722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246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1815.99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79.2780354981848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67" colorId="64" zoomScale="85" zoomScaleNormal="85" zoomScalePageLayoutView="100" workbookViewId="0">
      <selection pane="topLeft" activeCell="E182" activeCellId="0" sqref="E18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349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12</v>
      </c>
      <c r="P29" s="208"/>
    </row>
    <row r="30" customFormat="false" ht="17.9" hidden="false" customHeight="false" outlineLevel="0" collapsed="false">
      <c r="A30" s="31" t="s">
        <v>181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17400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350</v>
      </c>
      <c r="F32" s="130"/>
      <c r="G32" s="130"/>
      <c r="H32" s="33"/>
      <c r="I32" s="2"/>
      <c r="J32" s="29" t="s">
        <v>36</v>
      </c>
      <c r="K32" s="448" t="n">
        <v>947</v>
      </c>
      <c r="P32" s="208"/>
    </row>
    <row r="33" customFormat="false" ht="34.8" hidden="false" customHeight="false" outlineLevel="0" collapsed="false">
      <c r="A33" s="176" t="n">
        <f aca="false">A52</f>
        <v>12</v>
      </c>
      <c r="B33" s="228" t="n">
        <f aca="false">B51</f>
        <v>35000</v>
      </c>
      <c r="C33" s="130"/>
      <c r="D33" s="130"/>
      <c r="E33" s="228" t="n">
        <f aca="false">K48</f>
        <v>1349.85127868987</v>
      </c>
      <c r="F33" s="228"/>
      <c r="G33" s="228"/>
      <c r="H33" s="47"/>
      <c r="I33" s="2"/>
      <c r="J33" s="34" t="s">
        <v>351</v>
      </c>
      <c r="K33" s="48" t="n">
        <f aca="false">E21</f>
        <v>20500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352</v>
      </c>
      <c r="B35" s="130" t="s">
        <v>353</v>
      </c>
      <c r="C35" s="130"/>
      <c r="D35" s="208"/>
      <c r="E35" s="130" t="s">
        <v>354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1302.50127868987</v>
      </c>
      <c r="B36" s="228" t="n">
        <f aca="false">IF(B26="YES", K42, "0.00")</f>
        <v>47.35</v>
      </c>
      <c r="C36" s="228"/>
      <c r="D36" s="228"/>
      <c r="E36" s="228" t="n">
        <f aca="false">K31</f>
        <v>17400</v>
      </c>
      <c r="F36" s="228"/>
      <c r="G36" s="228"/>
      <c r="H36" s="47"/>
      <c r="I36" s="2"/>
      <c r="J36" s="2" t="s">
        <v>50</v>
      </c>
      <c r="K36" s="2" t="n">
        <f aca="false">K29</f>
        <v>12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355</v>
      </c>
      <c r="B39" s="130" t="s">
        <v>356</v>
      </c>
      <c r="C39" s="130"/>
      <c r="D39" s="208"/>
      <c r="E39" s="130" t="s">
        <v>357</v>
      </c>
      <c r="F39" s="183"/>
      <c r="G39" s="183"/>
      <c r="H39" s="47"/>
      <c r="J39" s="2" t="s">
        <v>84</v>
      </c>
      <c r="K39" s="2" t="n">
        <f aca="false">K33</f>
        <v>20500</v>
      </c>
      <c r="L39" s="2" t="n">
        <f aca="false">(L47*K46)+K44</f>
        <v>14128.3417312338</v>
      </c>
      <c r="N39" s="1" t="n">
        <f aca="false">K39-L39</f>
        <v>6371.65826876617</v>
      </c>
      <c r="P39" s="208"/>
    </row>
    <row r="40" customFormat="false" ht="17.35" hidden="false" customHeight="false" outlineLevel="0" collapsed="false">
      <c r="A40" s="103" t="n">
        <f aca="false">E36*A45/100</f>
        <v>6960</v>
      </c>
      <c r="B40" s="103" t="n">
        <f aca="false">IF(B26="YES", K42, "0.00")</f>
        <v>47.35</v>
      </c>
      <c r="C40" s="103"/>
      <c r="D40" s="103"/>
      <c r="E40" s="179" t="n">
        <f aca="false">K32</f>
        <v>947</v>
      </c>
      <c r="F40" s="183"/>
      <c r="G40" s="183"/>
      <c r="H40" s="47"/>
      <c r="J40" s="2" t="s">
        <v>106</v>
      </c>
      <c r="K40" s="2" t="n">
        <f aca="false">(A40)/1.2</f>
        <v>5800</v>
      </c>
      <c r="L40" s="2" t="n">
        <f aca="false">K39-L39</f>
        <v>6371.65826876617</v>
      </c>
      <c r="N40" s="1" t="n">
        <f aca="false">N38-N39</f>
        <v>-3459.97826876617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358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359</v>
      </c>
      <c r="K42" s="2" t="n">
        <f aca="false">(K32/K36)*C45/100</f>
        <v>47.35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360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361</v>
      </c>
      <c r="K44" s="2" t="n">
        <f aca="false">(K40/(1+K41)^(K36+1))</f>
        <v>5406.6586473764</v>
      </c>
      <c r="L44" s="2"/>
      <c r="P44" s="208"/>
    </row>
    <row r="45" customFormat="false" ht="17.35" hidden="false" customHeight="false" outlineLevel="0" collapsed="false">
      <c r="A45" s="449" t="n">
        <v>40</v>
      </c>
      <c r="B45" s="130"/>
      <c r="C45" s="62" t="n">
        <v>60</v>
      </c>
      <c r="D45" s="62"/>
      <c r="E45" s="62"/>
      <c r="F45" s="130"/>
      <c r="G45" s="130"/>
      <c r="H45" s="33"/>
      <c r="J45" s="2" t="s">
        <v>362</v>
      </c>
      <c r="K45" s="2" t="n">
        <f aca="false">(K39-K44)</f>
        <v>15093.3413526236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363</v>
      </c>
      <c r="K46" s="2" t="n">
        <f aca="false">((1-(1/((1+K41)^K36)))/K41)</f>
        <v>11.5879666297182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364</v>
      </c>
      <c r="K47" s="2" t="n">
        <f aca="false">K45/K46</f>
        <v>1302.50127868987</v>
      </c>
      <c r="L47" s="2" t="n">
        <f aca="false">L49-K42</f>
        <v>752.65</v>
      </c>
      <c r="M47" s="1" t="n">
        <f aca="false">K47-L47</f>
        <v>549.851278689875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365</v>
      </c>
      <c r="K48" s="2" t="n">
        <f aca="false">IF(B26="YES", K47+K42, K47)</f>
        <v>1349.85127868987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366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1349.85127868987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11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11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11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11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40526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40526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40526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0.0105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0.0105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0.0105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0.024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6110.40551517868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0.005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0.005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0.005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112.5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2026.3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202.63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1302.50127868987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1302.50127868987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1349.85127868987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1349.85127868987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27000</v>
      </c>
      <c r="C81" s="130"/>
      <c r="D81" s="130"/>
      <c r="E81" s="109"/>
      <c r="F81" s="25" t="s">
        <v>105</v>
      </c>
      <c r="G81" s="27" t="n">
        <f aca="false">G158</f>
        <v>27000</v>
      </c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6960</v>
      </c>
      <c r="C82" s="130"/>
      <c r="D82" s="130"/>
      <c r="E82" s="109"/>
      <c r="F82" s="31" t="s">
        <v>106</v>
      </c>
      <c r="G82" s="33" t="n">
        <f aca="false">IF(A111 = "Yes", A40, 0)</f>
        <v>6960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6960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6960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0.0995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0.1415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0.1415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0.00829166666666667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0.0117916666666667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0.0117916666666667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11</v>
      </c>
      <c r="C85" s="130"/>
      <c r="D85" s="130"/>
      <c r="E85" s="109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11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11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6303.40345567072</v>
      </c>
      <c r="C86" s="130"/>
      <c r="D86" s="130"/>
      <c r="E86" s="109"/>
      <c r="F86" s="31" t="s">
        <v>110</v>
      </c>
      <c r="G86" s="33" t="n">
        <f aca="false">(G82/((1+G84)^(G85+1)))</f>
        <v>6523.13365805962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6046.66713823221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6046.66713823221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10.4718562469129</v>
      </c>
      <c r="C87" s="130"/>
      <c r="D87" s="130"/>
      <c r="E87" s="109"/>
      <c r="F87" s="31" t="s">
        <v>111</v>
      </c>
      <c r="G87" s="33" t="n">
        <f aca="false">((1-(1/((1+G84)^G85)))/G84)</f>
        <v>10.6507347822959</v>
      </c>
      <c r="H87" s="33"/>
      <c r="J87" s="31" t="s">
        <v>111</v>
      </c>
      <c r="K87" s="33" t="n">
        <f aca="false">((1-(1/((1+K84)^K85)))/K84)</f>
        <v>10.5753412209172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10.2599315027351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10.2599315027351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20696.5965443293</v>
      </c>
      <c r="C88" s="130"/>
      <c r="D88" s="130"/>
      <c r="E88" s="109"/>
      <c r="F88" s="31" t="s">
        <v>112</v>
      </c>
      <c r="G88" s="33" t="n">
        <f aca="false">G81-G86</f>
        <v>20476.8663419404</v>
      </c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1976.40189631429</v>
      </c>
      <c r="C89" s="130"/>
      <c r="D89" s="130"/>
      <c r="E89" s="109"/>
      <c r="F89" s="31" t="s">
        <v>113</v>
      </c>
      <c r="G89" s="33" t="n">
        <f aca="false">(G88/G87)</f>
        <v>1922.57780899567</v>
      </c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21740.4208594572</v>
      </c>
      <c r="C90" s="130"/>
      <c r="D90" s="130"/>
      <c r="E90" s="109"/>
      <c r="F90" s="31" t="s">
        <v>114</v>
      </c>
      <c r="G90" s="33" t="n">
        <f aca="false">((G89*(G85))+G77)</f>
        <v>21148.3558989523</v>
      </c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21740.4208594572</v>
      </c>
      <c r="C92" s="130"/>
      <c r="D92" s="130"/>
      <c r="E92" s="109"/>
      <c r="F92" s="56" t="s">
        <v>116</v>
      </c>
      <c r="G92" s="65" t="n">
        <f aca="false">(G90+G91)</f>
        <v>21148.3558989523</v>
      </c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n">
        <f aca="false">IF(B26="YES",((E40/B85)*(1+A108)*1.2*(C45/100)),"0")</f>
        <v>74.3825454545455</v>
      </c>
      <c r="C94" s="130"/>
      <c r="D94" s="130"/>
      <c r="E94" s="109"/>
      <c r="F94" s="88" t="s">
        <v>117</v>
      </c>
      <c r="G94" s="259" t="n">
        <f aca="false">IF(B26="YES",((E40/B85)*(1+A108)*(C45/100)),"0")</f>
        <v>61.9854545454546</v>
      </c>
      <c r="H94" s="33"/>
      <c r="J94" s="88" t="s">
        <v>117</v>
      </c>
      <c r="K94" s="89" t="n">
        <f aca="false">((E40/K85)*(1+J108))*1.2</f>
        <v>123.11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103.309090909091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123.970909090909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(B92/B85)</f>
        <v>1976.40189631429</v>
      </c>
      <c r="C95" s="130"/>
      <c r="D95" s="130"/>
      <c r="E95" s="109"/>
      <c r="F95" s="91" t="s">
        <v>118</v>
      </c>
      <c r="G95" s="92" t="n">
        <f aca="false">G92/(G85)</f>
        <v>1922.57780899567</v>
      </c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2050.78444176883</v>
      </c>
      <c r="C96" s="130"/>
      <c r="D96" s="130"/>
      <c r="E96" s="109"/>
      <c r="F96" s="93" t="s">
        <v>119</v>
      </c>
      <c r="G96" s="94" t="n">
        <f aca="false">G94+G95</f>
        <v>1984.56326354112</v>
      </c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18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</v>
      </c>
      <c r="C108" s="103"/>
      <c r="D108" s="103" t="n">
        <v>0</v>
      </c>
      <c r="E108" s="104" t="n">
        <f aca="false">B83</f>
        <v>0.0995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0.1415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0.1415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20500</v>
      </c>
      <c r="C121" s="117" t="n">
        <v>22500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24600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24600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24600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20500</v>
      </c>
      <c r="C125" s="129" t="n">
        <f aca="false">C121-C124</f>
        <v>22500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20500</v>
      </c>
      <c r="H135" s="150" t="n">
        <f aca="false">C125+E125+G125+H128</f>
        <v>22500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4100</v>
      </c>
      <c r="H137" s="33" t="n">
        <f aca="false">(H135+H136)*20%</f>
        <v>4500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24600</v>
      </c>
      <c r="H141" s="154" t="n">
        <f aca="false">(H135+H136+H139+H140+H137)-H138</f>
        <v>27000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24600</v>
      </c>
      <c r="H147" s="161" t="n">
        <f aca="false">H141-((H144*1.2)+(H145*1.2)+(H146*1.2)+(H142*1.2))</f>
        <v>27000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-20833.3333333333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27000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367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1976.40189631429</v>
      </c>
      <c r="B167" s="174" t="n">
        <f aca="false">B94</f>
        <v>74.3825454545455</v>
      </c>
      <c r="C167" s="171"/>
      <c r="D167" s="171"/>
      <c r="E167" s="174" t="n">
        <f aca="false">B96</f>
        <v>2050.78444176883</v>
      </c>
      <c r="F167" s="23"/>
      <c r="G167" s="23" t="n">
        <f aca="false">ROUND(G95, 2)</f>
        <v>1922.58</v>
      </c>
      <c r="H167" s="33"/>
      <c r="J167" s="173" t="e">
        <f aca="false">K95</f>
        <v>#VALUE!</v>
      </c>
      <c r="K167" s="174" t="n">
        <f aca="false">K94</f>
        <v>123.11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103.309090909091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123.970909090909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12</v>
      </c>
      <c r="B170" s="177" t="n">
        <f aca="false">K30</f>
        <v>35000</v>
      </c>
      <c r="C170" s="178"/>
      <c r="D170" s="23"/>
      <c r="E170" s="179" t="n">
        <f aca="false">IF(A111="YES",A40, 0)</f>
        <v>6960</v>
      </c>
      <c r="F170" s="23"/>
      <c r="G170" s="23"/>
      <c r="H170" s="33"/>
      <c r="J170" s="176" t="n">
        <f aca="false">K29</f>
        <v>12</v>
      </c>
      <c r="K170" s="177" t="n">
        <f aca="false">K30</f>
        <v>35000</v>
      </c>
      <c r="L170" s="178"/>
      <c r="M170" s="23"/>
      <c r="N170" s="179" t="n">
        <f aca="false">IF(A111="YES", A40, 0)</f>
        <v>6960</v>
      </c>
      <c r="O170" s="23"/>
      <c r="P170" s="23"/>
      <c r="Q170" s="33"/>
      <c r="S170" s="176" t="n">
        <f aca="false">K29</f>
        <v>12</v>
      </c>
      <c r="T170" s="177" t="n">
        <f aca="false">K30</f>
        <v>35000</v>
      </c>
      <c r="U170" s="178"/>
      <c r="V170" s="23"/>
      <c r="W170" s="179" t="n">
        <f aca="false">IF(A111="YES", A40, 0)</f>
        <v>6960</v>
      </c>
      <c r="X170" s="23"/>
      <c r="Y170" s="23"/>
      <c r="Z170" s="33"/>
      <c r="AB170" s="176" t="n">
        <f aca="false">K29</f>
        <v>12</v>
      </c>
      <c r="AC170" s="177" t="n">
        <f aca="false">K30</f>
        <v>35000</v>
      </c>
      <c r="AD170" s="178"/>
      <c r="AE170" s="23"/>
      <c r="AF170" s="179" t="n">
        <f aca="false">IF(A111="YES", A40, 0)</f>
        <v>6960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22500</v>
      </c>
      <c r="B173" s="99" t="n">
        <f aca="false">H137</f>
        <v>4500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H141</f>
        <v>27000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27000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1700.42085945718</v>
      </c>
      <c r="B182" s="99" t="str">
        <f aca="false">B114</f>
        <v>239.99</v>
      </c>
      <c r="C182" s="99"/>
      <c r="D182" s="23"/>
      <c r="E182" s="99" t="n">
        <f aca="false">E179+A182+B182+A185</f>
        <v>28950.4108594572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IF(A40=0,(E167),(E170+A185))</f>
        <v>6970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6980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6970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6970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</f>
        <v>0.081052</v>
      </c>
      <c r="B188" s="99" t="n">
        <f aca="false">(G158*B67)/1.2</f>
        <v>112.5</v>
      </c>
      <c r="C188" s="130"/>
      <c r="D188" s="130"/>
      <c r="E188" s="99" t="n">
        <f aca="false">(E40*A108)*0.1*C45/100</f>
        <v>11.364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28.41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18.94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18.94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223.855666666667</v>
      </c>
      <c r="C191" s="130"/>
      <c r="D191" s="130"/>
      <c r="E191" s="99" t="n">
        <f aca="false">H148</f>
        <v>2000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2050.78444176883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368</v>
      </c>
      <c r="B200" s="130" t="s">
        <v>369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1108.38</v>
      </c>
      <c r="B201" s="183" t="n">
        <f aca="false">E179+A201+B182+A185</f>
        <v>28358.37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n">
        <f aca="false">A197</f>
        <v>12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1976.40189631429</v>
      </c>
      <c r="B212" s="174" t="n">
        <f aca="false">B167</f>
        <v>74.3825454545455</v>
      </c>
      <c r="C212" s="171"/>
      <c r="D212" s="171"/>
      <c r="E212" s="174" t="n">
        <f aca="false">E167</f>
        <v>2050.78444176883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22500</v>
      </c>
      <c r="B215" s="99" t="n">
        <f aca="false">B173</f>
        <v>4500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27000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27000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1700.42085945718</v>
      </c>
      <c r="B224" s="99" t="str">
        <f aca="false">B182</f>
        <v>239.99</v>
      </c>
      <c r="C224" s="99"/>
      <c r="D224" s="109"/>
      <c r="E224" s="99" t="n">
        <f aca="false">E182</f>
        <v>28950.4108594572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1976.40189631429</v>
      </c>
      <c r="B230" s="99" t="n">
        <f aca="false">B167</f>
        <v>74.3825454545455</v>
      </c>
      <c r="C230" s="183"/>
      <c r="D230" s="183"/>
      <c r="E230" s="99" t="n">
        <f aca="false">E167</f>
        <v>2050.78444176883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6960</v>
      </c>
      <c r="B233" s="99" t="n">
        <f aca="false">E185</f>
        <v>6970</v>
      </c>
      <c r="C233" s="130"/>
      <c r="D233" s="130"/>
      <c r="E233" s="99" t="n">
        <f aca="false">J18*0.000006*100*1.2</f>
        <v>29.17872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0)*100*1.2</f>
        <v>9.72624</v>
      </c>
      <c r="B236" s="99" t="n">
        <f aca="false">E233+A236</f>
        <v>38.90496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B68</f>
        <v>112.5</v>
      </c>
      <c r="C240" s="130"/>
      <c r="D240" s="130"/>
      <c r="E240" s="99" t="n">
        <f aca="false">E188</f>
        <v>11.364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2223.85566666667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0.0995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453" t="n">
        <f aca="false">(E182-B182)-(B201-B182-A185)</f>
        <v>602.040859457178</v>
      </c>
      <c r="C254" s="194"/>
      <c r="D254" s="195" t="s">
        <v>213</v>
      </c>
      <c r="E254" s="195"/>
      <c r="F254" s="196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213.631666666667</v>
      </c>
      <c r="C255" s="194"/>
      <c r="D255" s="195" t="s">
        <v>215</v>
      </c>
      <c r="E255" s="195"/>
      <c r="F255" s="196" t="n">
        <f aca="false">(B254-F254)+B255</f>
        <v>680.672526123845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0.024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0.0995</v>
      </c>
      <c r="C260" s="43"/>
      <c r="D260" s="163" t="s">
        <v>212</v>
      </c>
      <c r="E260" s="163"/>
      <c r="F260" s="143" t="n">
        <f aca="false">B254</f>
        <v>602.040859457178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B68*1.2</f>
        <v>135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113.64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680.672526123845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61" colorId="64" zoomScale="85" zoomScaleNormal="85" zoomScalePageLayoutView="100" workbookViewId="0">
      <selection pane="topLeft" activeCell="E183" activeCellId="0" sqref="E183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349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12</v>
      </c>
      <c r="P29" s="208"/>
    </row>
    <row r="30" customFormat="false" ht="17.9" hidden="false" customHeight="false" outlineLevel="0" collapsed="false">
      <c r="A30" s="31" t="s">
        <v>181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19500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350</v>
      </c>
      <c r="F32" s="130"/>
      <c r="G32" s="130"/>
      <c r="H32" s="33"/>
      <c r="I32" s="2"/>
      <c r="J32" s="29" t="s">
        <v>36</v>
      </c>
      <c r="K32" s="448" t="n">
        <v>153</v>
      </c>
      <c r="P32" s="208"/>
    </row>
    <row r="33" customFormat="false" ht="34.8" hidden="false" customHeight="false" outlineLevel="0" collapsed="false">
      <c r="A33" s="176" t="n">
        <f aca="false">A52</f>
        <v>12</v>
      </c>
      <c r="B33" s="228" t="n">
        <f aca="false">B51</f>
        <v>10000</v>
      </c>
      <c r="C33" s="130"/>
      <c r="D33" s="130"/>
      <c r="E33" s="228" t="n">
        <f aca="false">K48</f>
        <v>474.611354378281</v>
      </c>
      <c r="F33" s="228"/>
      <c r="G33" s="228"/>
      <c r="H33" s="47"/>
      <c r="I33" s="2"/>
      <c r="J33" s="34" t="s">
        <v>351</v>
      </c>
      <c r="K33" s="48" t="n">
        <f aca="false">E21</f>
        <v>20500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352</v>
      </c>
      <c r="B35" s="130" t="s">
        <v>353</v>
      </c>
      <c r="C35" s="130"/>
      <c r="D35" s="208"/>
      <c r="E35" s="130" t="s">
        <v>354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461.861354378281</v>
      </c>
      <c r="B36" s="228" t="n">
        <f aca="false">IF(B26="YES", K42, "0.00")</f>
        <v>12.75</v>
      </c>
      <c r="C36" s="228"/>
      <c r="D36" s="228"/>
      <c r="E36" s="228" t="n">
        <f aca="false">K31</f>
        <v>19500</v>
      </c>
      <c r="F36" s="228"/>
      <c r="G36" s="228"/>
      <c r="H36" s="47"/>
      <c r="I36" s="2"/>
      <c r="J36" s="2" t="s">
        <v>50</v>
      </c>
      <c r="K36" s="2" t="n">
        <f aca="false">K29</f>
        <v>12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355</v>
      </c>
      <c r="B39" s="130" t="s">
        <v>356</v>
      </c>
      <c r="C39" s="130"/>
      <c r="D39" s="208"/>
      <c r="E39" s="130" t="s">
        <v>357</v>
      </c>
      <c r="F39" s="183"/>
      <c r="G39" s="183"/>
      <c r="H39" s="47"/>
      <c r="J39" s="2" t="s">
        <v>84</v>
      </c>
      <c r="K39" s="2" t="n">
        <f aca="false">K33</f>
        <v>20500</v>
      </c>
      <c r="L39" s="2" t="n">
        <f aca="false">(L47*K46)+K44</f>
        <v>24270.5927671537</v>
      </c>
      <c r="N39" s="1" t="n">
        <f aca="false">K39-L39</f>
        <v>-3770.59276715369</v>
      </c>
      <c r="P39" s="208"/>
    </row>
    <row r="40" customFormat="false" ht="17.35" hidden="false" customHeight="false" outlineLevel="0" collapsed="false">
      <c r="A40" s="103" t="n">
        <f aca="false">E36*A45/100</f>
        <v>19500</v>
      </c>
      <c r="B40" s="103" t="n">
        <f aca="false">IF(B26="YES", K42, "0.00")</f>
        <v>12.75</v>
      </c>
      <c r="C40" s="103"/>
      <c r="D40" s="103"/>
      <c r="E40" s="179" t="n">
        <f aca="false">K32</f>
        <v>153</v>
      </c>
      <c r="F40" s="183"/>
      <c r="G40" s="183"/>
      <c r="H40" s="47"/>
      <c r="J40" s="2" t="s">
        <v>106</v>
      </c>
      <c r="K40" s="2" t="n">
        <f aca="false">(A40)/1.2</f>
        <v>16250</v>
      </c>
      <c r="L40" s="2" t="n">
        <f aca="false">K39-L39</f>
        <v>-3770.59276715369</v>
      </c>
      <c r="N40" s="1" t="n">
        <f aca="false">N38-N39</f>
        <v>6682.27276715369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358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359</v>
      </c>
      <c r="K42" s="2" t="n">
        <f aca="false">(K32/K36)*C45/100</f>
        <v>12.75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360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361</v>
      </c>
      <c r="K44" s="2" t="n">
        <f aca="false">(K40/(1+K41)^(K36+1))</f>
        <v>15147.966037908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362</v>
      </c>
      <c r="K45" s="2" t="n">
        <f aca="false">(K39-K44)</f>
        <v>5352.03396209199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363</v>
      </c>
      <c r="K46" s="2" t="n">
        <f aca="false">((1-(1/((1+K41)^K36)))/K41)</f>
        <v>11.5879666297182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364</v>
      </c>
      <c r="K47" s="2" t="n">
        <f aca="false">K45/K46</f>
        <v>461.861354378281</v>
      </c>
      <c r="L47" s="2" t="n">
        <f aca="false">L49-K42</f>
        <v>787.25</v>
      </c>
      <c r="M47" s="1" t="n">
        <f aca="false">K47-L47</f>
        <v>-325.388645621719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365</v>
      </c>
      <c r="K48" s="2" t="n">
        <f aca="false">IF(B26="YES", K47+K42, K47)</f>
        <v>474.611354378281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366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474.611354378281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11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11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11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11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40526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40526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40526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0.0105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0.0105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0.0105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0.024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1642.21866155271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0.005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0.005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0.005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102.083333333333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2026.3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202.63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461.861354378281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461.861354378281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474.611354378281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474.611354378281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24500</v>
      </c>
      <c r="C81" s="130"/>
      <c r="D81" s="130"/>
      <c r="E81" s="109"/>
      <c r="F81" s="25" t="s">
        <v>105</v>
      </c>
      <c r="G81" s="27" t="n">
        <f aca="false">G158</f>
        <v>24500</v>
      </c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19500</v>
      </c>
      <c r="C82" s="130"/>
      <c r="D82" s="130"/>
      <c r="E82" s="109"/>
      <c r="F82" s="31" t="s">
        <v>106</v>
      </c>
      <c r="G82" s="33" t="n">
        <f aca="false">IF(A111 = "Yes", A40, 0)</f>
        <v>19500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19500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19500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0.0995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0.1415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0.1415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0.00829166666666667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0.0117916666666667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0.0117916666666667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11</v>
      </c>
      <c r="C85" s="130"/>
      <c r="D85" s="130"/>
      <c r="E85" s="109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11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11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17660.3976128706</v>
      </c>
      <c r="C86" s="130"/>
      <c r="D86" s="130"/>
      <c r="E86" s="109"/>
      <c r="F86" s="31" t="s">
        <v>110</v>
      </c>
      <c r="G86" s="33" t="n">
        <f aca="false">(G82/((1+G84)^(G85+1)))</f>
        <v>18276.021024736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16941.0932752196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16941.0932752196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10.4718562469129</v>
      </c>
      <c r="C87" s="130"/>
      <c r="D87" s="130"/>
      <c r="E87" s="109"/>
      <c r="F87" s="31" t="s">
        <v>111</v>
      </c>
      <c r="G87" s="33" t="n">
        <f aca="false">((1-(1/((1+G84)^G85)))/G84)</f>
        <v>10.6507347822959</v>
      </c>
      <c r="H87" s="33"/>
      <c r="J87" s="31" t="s">
        <v>111</v>
      </c>
      <c r="K87" s="33" t="n">
        <f aca="false">((1-(1/((1+K84)^K85)))/K84)</f>
        <v>10.5753412209172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10.2599315027351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10.2599315027351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6839.60238712945</v>
      </c>
      <c r="C88" s="130"/>
      <c r="D88" s="130"/>
      <c r="E88" s="109"/>
      <c r="F88" s="31" t="s">
        <v>112</v>
      </c>
      <c r="G88" s="33" t="n">
        <f aca="false">G81-G86</f>
        <v>6223.97897526399</v>
      </c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653.141355826553</v>
      </c>
      <c r="C89" s="130"/>
      <c r="D89" s="130"/>
      <c r="E89" s="109"/>
      <c r="F89" s="31" t="s">
        <v>113</v>
      </c>
      <c r="G89" s="33" t="n">
        <f aca="false">(G88/G87)</f>
        <v>584.370853512356</v>
      </c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7184.55491409208</v>
      </c>
      <c r="C90" s="130"/>
      <c r="D90" s="130"/>
      <c r="E90" s="109"/>
      <c r="F90" s="31" t="s">
        <v>114</v>
      </c>
      <c r="G90" s="33" t="n">
        <f aca="false">((G89*(G85))+G77)</f>
        <v>6428.07938863592</v>
      </c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7184.55491409208</v>
      </c>
      <c r="C92" s="130"/>
      <c r="D92" s="130"/>
      <c r="E92" s="109"/>
      <c r="F92" s="56" t="s">
        <v>116</v>
      </c>
      <c r="G92" s="65" t="n">
        <f aca="false">(G90+G91)</f>
        <v>6428.07938863592</v>
      </c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n">
        <f aca="false">IF(B26="YES",((E40/B85)*(1+A108)*(C45/100)),"0")</f>
        <v>16.6909090909091</v>
      </c>
      <c r="C94" s="130"/>
      <c r="D94" s="130"/>
      <c r="E94" s="109"/>
      <c r="F94" s="88" t="s">
        <v>117</v>
      </c>
      <c r="G94" s="259" t="n">
        <f aca="false">IF(B26="YES",((E40/B85)*(1+A108)*(C45/100)),"0")</f>
        <v>16.6909090909091</v>
      </c>
      <c r="H94" s="33"/>
      <c r="J94" s="88" t="s">
        <v>117</v>
      </c>
      <c r="K94" s="89" t="n">
        <f aca="false">((E40/K85)*(1+J108))*1.2</f>
        <v>19.89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16.6909090909091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20.0290909090909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(B92/B85)</f>
        <v>653.141355826553</v>
      </c>
      <c r="C95" s="130"/>
      <c r="D95" s="130"/>
      <c r="E95" s="109"/>
      <c r="F95" s="91" t="s">
        <v>118</v>
      </c>
      <c r="G95" s="92" t="n">
        <f aca="false">G92/(G85)</f>
        <v>584.370853512356</v>
      </c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669.832264917462</v>
      </c>
      <c r="C96" s="130"/>
      <c r="D96" s="130"/>
      <c r="E96" s="109"/>
      <c r="F96" s="93" t="s">
        <v>119</v>
      </c>
      <c r="G96" s="94" t="n">
        <f aca="false">G94+G95</f>
        <v>601.061762603265</v>
      </c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18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</v>
      </c>
      <c r="C108" s="103"/>
      <c r="D108" s="103" t="n">
        <v>0</v>
      </c>
      <c r="E108" s="104" t="n">
        <f aca="false">B83</f>
        <v>0.0995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0.1415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0.1415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233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20500</v>
      </c>
      <c r="C121" s="117" t="n">
        <v>22500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24600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24600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24600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20500</v>
      </c>
      <c r="C125" s="129" t="n">
        <f aca="false">C121-C124</f>
        <v>22500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20500</v>
      </c>
      <c r="H135" s="150" t="n">
        <f aca="false">C125+E125+G125+H128</f>
        <v>22500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4100</v>
      </c>
      <c r="H137" s="33" t="n">
        <f aca="false">(H135+H136)*20%</f>
        <v>4500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24600</v>
      </c>
      <c r="H141" s="154" t="n">
        <f aca="false">(H135+H136+H139+H140+H137)-H138</f>
        <v>27000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24600</v>
      </c>
      <c r="H147" s="161" t="n">
        <f aca="false">H141-((H144*1.2)+(H145*1.2)+(H146*1.2)+(H142*1.2))</f>
        <v>27000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-18750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24500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367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653.141355826553</v>
      </c>
      <c r="B167" s="174" t="n">
        <f aca="false">B94</f>
        <v>16.6909090909091</v>
      </c>
      <c r="C167" s="171"/>
      <c r="D167" s="171"/>
      <c r="E167" s="174" t="n">
        <f aca="false">B96</f>
        <v>669.832264917462</v>
      </c>
      <c r="F167" s="23"/>
      <c r="G167" s="23" t="n">
        <f aca="false">ROUND(G95, 2)</f>
        <v>584.37</v>
      </c>
      <c r="H167" s="33"/>
      <c r="J167" s="173" t="e">
        <f aca="false">K95</f>
        <v>#VALUE!</v>
      </c>
      <c r="K167" s="174" t="n">
        <f aca="false">K94</f>
        <v>19.89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16.6909090909091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20.0290909090909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12</v>
      </c>
      <c r="B170" s="177" t="n">
        <f aca="false">K30</f>
        <v>10000</v>
      </c>
      <c r="C170" s="178"/>
      <c r="D170" s="23"/>
      <c r="E170" s="179" t="n">
        <f aca="false">IF(A111="YES",A40, 0)</f>
        <v>19500</v>
      </c>
      <c r="F170" s="23"/>
      <c r="G170" s="23"/>
      <c r="H170" s="33"/>
      <c r="J170" s="176" t="n">
        <f aca="false">K29</f>
        <v>12</v>
      </c>
      <c r="K170" s="177" t="n">
        <f aca="false">K30</f>
        <v>10000</v>
      </c>
      <c r="L170" s="178"/>
      <c r="M170" s="23"/>
      <c r="N170" s="179" t="n">
        <f aca="false">IF(A111="YES", A40, 0)</f>
        <v>19500</v>
      </c>
      <c r="O170" s="23"/>
      <c r="P170" s="23"/>
      <c r="Q170" s="33"/>
      <c r="S170" s="176" t="n">
        <f aca="false">K29</f>
        <v>12</v>
      </c>
      <c r="T170" s="177" t="n">
        <f aca="false">K30</f>
        <v>10000</v>
      </c>
      <c r="U170" s="178"/>
      <c r="V170" s="23"/>
      <c r="W170" s="179" t="n">
        <f aca="false">IF(A111="YES", A40, 0)</f>
        <v>19500</v>
      </c>
      <c r="X170" s="23"/>
      <c r="Y170" s="23"/>
      <c r="Z170" s="33"/>
      <c r="AB170" s="176" t="n">
        <f aca="false">K29</f>
        <v>12</v>
      </c>
      <c r="AC170" s="177" t="n">
        <f aca="false">K30</f>
        <v>10000</v>
      </c>
      <c r="AD170" s="178"/>
      <c r="AE170" s="23"/>
      <c r="AF170" s="179" t="n">
        <f aca="false">IF(A111="YES", A40, 0)</f>
        <v>19500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22500</v>
      </c>
      <c r="B173" s="99" t="n">
        <f aca="false">H137</f>
        <v>4500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H141</f>
        <v>27000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24500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2184.55491409208</v>
      </c>
      <c r="B182" s="99" t="str">
        <f aca="false">B114</f>
        <v>199.99</v>
      </c>
      <c r="C182" s="99"/>
      <c r="D182" s="23"/>
      <c r="E182" s="99" t="n">
        <f aca="false">E179+A182+(B182*1.2)+A185</f>
        <v>26934.5429140921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2239.988</v>
      </c>
      <c r="C185" s="99"/>
      <c r="D185" s="23"/>
      <c r="E185" s="99" t="n">
        <f aca="false">IF(A40=0,(E167),(E170+A185))</f>
        <v>19510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19520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19510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19510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</f>
        <v>8.1052</v>
      </c>
      <c r="B188" s="99" t="n">
        <f aca="false">(G158*B67)/1.2</f>
        <v>102.083333333333</v>
      </c>
      <c r="C188" s="130"/>
      <c r="D188" s="130"/>
      <c r="E188" s="99" t="n">
        <f aca="false">(E40*A108)*0.1*(C45/100)</f>
        <v>3.06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4.59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3.06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3.06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205.133333333333</v>
      </c>
      <c r="C191" s="130"/>
      <c r="D191" s="130"/>
      <c r="E191" s="99" t="n">
        <f aca="false">H148</f>
        <v>2000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669.832264917462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368</v>
      </c>
      <c r="B200" s="130" t="s">
        <v>369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1428.07</v>
      </c>
      <c r="B201" s="183" t="n">
        <f aca="false">E179+A201+(B182*1.2)+A185</f>
        <v>26178.058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n">
        <f aca="false">A197</f>
        <v>12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653.141355826553</v>
      </c>
      <c r="B212" s="174" t="n">
        <f aca="false">B167</f>
        <v>16.6909090909091</v>
      </c>
      <c r="C212" s="171"/>
      <c r="D212" s="171"/>
      <c r="E212" s="174" t="n">
        <f aca="false">E167</f>
        <v>669.832264917462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22500</v>
      </c>
      <c r="B215" s="99" t="n">
        <f aca="false">B173</f>
        <v>4500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27000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24500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2184.55491409208</v>
      </c>
      <c r="B224" s="99" t="str">
        <f aca="false">B182</f>
        <v>199.99</v>
      </c>
      <c r="C224" s="99"/>
      <c r="D224" s="109"/>
      <c r="E224" s="99" t="n">
        <f aca="false">E182</f>
        <v>26934.5429140921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653.141355826553</v>
      </c>
      <c r="B230" s="99" t="n">
        <f aca="false">B167</f>
        <v>16.6909090909091</v>
      </c>
      <c r="C230" s="183"/>
      <c r="D230" s="183"/>
      <c r="E230" s="99" t="n">
        <f aca="false">E167</f>
        <v>669.832264917462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19500</v>
      </c>
      <c r="B233" s="99" t="n">
        <f aca="false">E185</f>
        <v>19510</v>
      </c>
      <c r="C233" s="130"/>
      <c r="D233" s="130"/>
      <c r="E233" s="99" t="n">
        <f aca="false">J18*0.000006*100</f>
        <v>24.3156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</f>
        <v>8.1052</v>
      </c>
      <c r="B236" s="99" t="n">
        <f aca="false">E233+A236</f>
        <v>32.4208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B68</f>
        <v>102.083333333333</v>
      </c>
      <c r="C240" s="130"/>
      <c r="D240" s="130"/>
      <c r="E240" s="99" t="n">
        <f aca="false">E188</f>
        <v>3.06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2205.13333333333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0.0995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 t="n">
        <f aca="false">(E182-B182)-(B201-B182-A185)</f>
        <v>766.484914092078</v>
      </c>
      <c r="C254" s="194"/>
      <c r="D254" s="195" t="s">
        <v>213</v>
      </c>
      <c r="E254" s="195"/>
      <c r="F254" s="196" t="n">
        <f aca="false">F261+F267+F269+B270+B271</f>
        <v>122.5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130.59</v>
      </c>
      <c r="C255" s="194"/>
      <c r="D255" s="195" t="s">
        <v>215</v>
      </c>
      <c r="E255" s="195"/>
      <c r="F255" s="196" t="n">
        <f aca="false">(B254-F254)+B255</f>
        <v>774.574914092078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0.024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0.0995</v>
      </c>
      <c r="C260" s="43"/>
      <c r="D260" s="163" t="s">
        <v>212</v>
      </c>
      <c r="E260" s="163"/>
      <c r="F260" s="143" t="n">
        <f aca="false">B254</f>
        <v>766.484914092078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B68*1.2</f>
        <v>122.5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30.6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774.574914092078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57" colorId="64" zoomScale="85" zoomScaleNormal="85" zoomScalePageLayoutView="100" workbookViewId="0">
      <selection pane="topLeft" activeCell="E182" activeCellId="0" sqref="E18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349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12</v>
      </c>
      <c r="P29" s="208"/>
    </row>
    <row r="30" customFormat="false" ht="17.9" hidden="false" customHeight="false" outlineLevel="0" collapsed="false">
      <c r="A30" s="31" t="s">
        <v>181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19500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350</v>
      </c>
      <c r="F32" s="130"/>
      <c r="G32" s="130"/>
      <c r="H32" s="33"/>
      <c r="I32" s="2"/>
      <c r="J32" s="29" t="s">
        <v>36</v>
      </c>
      <c r="K32" s="448" t="n">
        <v>153</v>
      </c>
      <c r="P32" s="208"/>
    </row>
    <row r="33" customFormat="false" ht="34.8" hidden="false" customHeight="false" outlineLevel="0" collapsed="false">
      <c r="A33" s="176" t="n">
        <f aca="false">A52</f>
        <v>12</v>
      </c>
      <c r="B33" s="228" t="n">
        <f aca="false">B51</f>
        <v>10000</v>
      </c>
      <c r="C33" s="130"/>
      <c r="D33" s="130"/>
      <c r="E33" s="228" t="n">
        <f aca="false">K48</f>
        <v>474.611354378281</v>
      </c>
      <c r="F33" s="228"/>
      <c r="G33" s="228"/>
      <c r="H33" s="47"/>
      <c r="I33" s="2"/>
      <c r="J33" s="34" t="s">
        <v>351</v>
      </c>
      <c r="K33" s="48" t="n">
        <f aca="false">E21</f>
        <v>20500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352</v>
      </c>
      <c r="B35" s="130" t="s">
        <v>353</v>
      </c>
      <c r="C35" s="130"/>
      <c r="D35" s="208"/>
      <c r="E35" s="130" t="s">
        <v>354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461.861354378281</v>
      </c>
      <c r="B36" s="228" t="n">
        <f aca="false">IF(B26="YES", K42, "0.00")</f>
        <v>12.75</v>
      </c>
      <c r="C36" s="228"/>
      <c r="D36" s="228"/>
      <c r="E36" s="228" t="n">
        <f aca="false">K31</f>
        <v>19500</v>
      </c>
      <c r="F36" s="228"/>
      <c r="G36" s="228"/>
      <c r="H36" s="47"/>
      <c r="I36" s="2"/>
      <c r="J36" s="2" t="s">
        <v>50</v>
      </c>
      <c r="K36" s="2" t="n">
        <f aca="false">K29</f>
        <v>12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355</v>
      </c>
      <c r="B39" s="130" t="s">
        <v>356</v>
      </c>
      <c r="C39" s="130"/>
      <c r="D39" s="208"/>
      <c r="E39" s="130" t="s">
        <v>357</v>
      </c>
      <c r="F39" s="183"/>
      <c r="G39" s="183"/>
      <c r="H39" s="47"/>
      <c r="J39" s="2" t="s">
        <v>84</v>
      </c>
      <c r="K39" s="2" t="n">
        <f aca="false">K33</f>
        <v>20500</v>
      </c>
      <c r="L39" s="2" t="n">
        <f aca="false">(L47*K46)+K44</f>
        <v>24270.5927671537</v>
      </c>
      <c r="N39" s="1" t="n">
        <f aca="false">K39-L39</f>
        <v>-3770.59276715369</v>
      </c>
      <c r="P39" s="208"/>
    </row>
    <row r="40" customFormat="false" ht="17.35" hidden="false" customHeight="false" outlineLevel="0" collapsed="false">
      <c r="A40" s="103" t="n">
        <f aca="false">E36*A45/100</f>
        <v>19500</v>
      </c>
      <c r="B40" s="103" t="n">
        <f aca="false">IF(B26="YES", K42, "0.00")</f>
        <v>12.75</v>
      </c>
      <c r="C40" s="103"/>
      <c r="D40" s="103"/>
      <c r="E40" s="179" t="n">
        <f aca="false">K32</f>
        <v>153</v>
      </c>
      <c r="F40" s="183"/>
      <c r="G40" s="183"/>
      <c r="H40" s="47"/>
      <c r="J40" s="2" t="s">
        <v>106</v>
      </c>
      <c r="K40" s="2" t="n">
        <f aca="false">(A40)/1.2</f>
        <v>16250</v>
      </c>
      <c r="L40" s="2" t="n">
        <f aca="false">K39-L39</f>
        <v>-3770.59276715369</v>
      </c>
      <c r="N40" s="1" t="n">
        <f aca="false">N38-N39</f>
        <v>6682.27276715369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358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359</v>
      </c>
      <c r="K42" s="2" t="n">
        <f aca="false">(K32/K36)*C45/100</f>
        <v>12.75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360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361</v>
      </c>
      <c r="K44" s="2" t="n">
        <f aca="false">(K40/(1+K41)^(K36+1))</f>
        <v>15147.966037908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362</v>
      </c>
      <c r="K45" s="2" t="n">
        <f aca="false">(K39-K44)</f>
        <v>5352.03396209199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363</v>
      </c>
      <c r="K46" s="2" t="n">
        <f aca="false">((1-(1/((1+K41)^K36)))/K41)</f>
        <v>11.5879666297182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364</v>
      </c>
      <c r="K47" s="2" t="n">
        <f aca="false">K45/K46</f>
        <v>461.861354378281</v>
      </c>
      <c r="L47" s="2" t="n">
        <f aca="false">L49-K42</f>
        <v>787.25</v>
      </c>
      <c r="M47" s="1" t="n">
        <f aca="false">K47-L47</f>
        <v>-325.388645621719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365</v>
      </c>
      <c r="K48" s="2" t="n">
        <f aca="false">IF(B26="YES", K47+K42, K47)</f>
        <v>474.611354378281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366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474.611354378281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11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11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11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11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40526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40526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40526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0.0105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0.0105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0.0105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2211.65791717848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0.005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0.005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0.005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102.083333333333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2026.3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202.63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461.861354378281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461.861354378281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474.611354378281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474.611354378281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24500</v>
      </c>
      <c r="C81" s="130"/>
      <c r="D81" s="130"/>
      <c r="E81" s="109"/>
      <c r="F81" s="25" t="s">
        <v>105</v>
      </c>
      <c r="G81" s="27" t="n">
        <f aca="false">G158</f>
        <v>24500</v>
      </c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19500</v>
      </c>
      <c r="C82" s="130"/>
      <c r="D82" s="130"/>
      <c r="E82" s="109"/>
      <c r="F82" s="31" t="s">
        <v>106</v>
      </c>
      <c r="G82" s="33" t="n">
        <f aca="false">IF(A111 = "Yes", A40, 0)</f>
        <v>19500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19500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19500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0.1255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0.1415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0.1415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0.0104583333333333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0.0117916666666667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0.0117916666666667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11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11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17211.3007080073</v>
      </c>
      <c r="C86" s="130"/>
      <c r="D86" s="130"/>
      <c r="E86" s="109"/>
      <c r="F86" s="31" t="s">
        <v>110</v>
      </c>
      <c r="G86" s="33" t="n">
        <f aca="false">(G82/((1+G84)^(G85+1)))</f>
        <v>18276.021024736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16941.0932752196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16941.0932752196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130"/>
      <c r="D87" s="130"/>
      <c r="E87" s="109"/>
      <c r="F87" s="31" t="s">
        <v>111</v>
      </c>
      <c r="G87" s="33" t="n">
        <f aca="false">((1-(1/((1+G84)^G85)))/G84)</f>
        <v>10.6507347822959</v>
      </c>
      <c r="H87" s="33"/>
      <c r="J87" s="31" t="s">
        <v>111</v>
      </c>
      <c r="K87" s="33" t="n">
        <f aca="false">((1-(1/((1+K84)^K85)))/K84)</f>
        <v>10.5753412209172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10.2599315027351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10.2599315027351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7288.69929199271</v>
      </c>
      <c r="C88" s="130"/>
      <c r="D88" s="130"/>
      <c r="E88" s="109"/>
      <c r="F88" s="31" t="s">
        <v>112</v>
      </c>
      <c r="G88" s="33" t="n">
        <f aca="false">G81-G86</f>
        <v>6223.97897526399</v>
      </c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704.908560883441</v>
      </c>
      <c r="C89" s="130"/>
      <c r="D89" s="130"/>
      <c r="E89" s="109"/>
      <c r="F89" s="31" t="s">
        <v>113</v>
      </c>
      <c r="G89" s="33" t="n">
        <f aca="false">(G88/G87)</f>
        <v>584.370853512356</v>
      </c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7753.99416971785</v>
      </c>
      <c r="C90" s="130"/>
      <c r="D90" s="130"/>
      <c r="E90" s="109"/>
      <c r="F90" s="31" t="s">
        <v>114</v>
      </c>
      <c r="G90" s="33" t="n">
        <f aca="false">((G89*(G85))+G77)</f>
        <v>6428.07938863592</v>
      </c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7753.99416971785</v>
      </c>
      <c r="C92" s="130"/>
      <c r="D92" s="130"/>
      <c r="E92" s="109"/>
      <c r="F92" s="56" t="s">
        <v>116</v>
      </c>
      <c r="G92" s="65" t="n">
        <f aca="false">(G90+G91)</f>
        <v>6428.07938863592</v>
      </c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n">
        <f aca="false">IF(B26="YES",((E40/B85)*(1+A108)*1.2*(C45/100)),"0")</f>
        <v>21.6981818181818</v>
      </c>
      <c r="C94" s="130"/>
      <c r="D94" s="130"/>
      <c r="E94" s="109"/>
      <c r="F94" s="88" t="s">
        <v>117</v>
      </c>
      <c r="G94" s="259" t="n">
        <f aca="false">IF(B26="YES",((E40/B85)*(1+A108)*(C45/100)),"0")</f>
        <v>18.0818181818182</v>
      </c>
      <c r="H94" s="33"/>
      <c r="J94" s="88" t="s">
        <v>117</v>
      </c>
      <c r="K94" s="89" t="n">
        <f aca="false">((E40/K85)*(1+J108))*1.2</f>
        <v>19.89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16.6909090909091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20.0290909090909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704.908560883441</v>
      </c>
      <c r="C95" s="130"/>
      <c r="D95" s="130"/>
      <c r="E95" s="109"/>
      <c r="F95" s="91" t="s">
        <v>118</v>
      </c>
      <c r="G95" s="92" t="n">
        <f aca="false">G92/(G85)</f>
        <v>584.370853512356</v>
      </c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726.606742701623</v>
      </c>
      <c r="C96" s="130"/>
      <c r="D96" s="130"/>
      <c r="E96" s="109"/>
      <c r="F96" s="93" t="s">
        <v>119</v>
      </c>
      <c r="G96" s="94" t="n">
        <f aca="false">G94+G95</f>
        <v>602.452671694174</v>
      </c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18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0.3</v>
      </c>
      <c r="B108" s="103" t="n">
        <v>0</v>
      </c>
      <c r="C108" s="103"/>
      <c r="D108" s="103" t="n">
        <v>0</v>
      </c>
      <c r="E108" s="104" t="n">
        <f aca="false">B83</f>
        <v>0.1255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0.1415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0.1415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20500</v>
      </c>
      <c r="C121" s="117" t="n">
        <v>22500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24600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24600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24600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20500</v>
      </c>
      <c r="C125" s="129" t="n">
        <f aca="false">C121-C124</f>
        <v>22500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20500</v>
      </c>
      <c r="H135" s="150" t="n">
        <f aca="false">C125+E125+G125+H128</f>
        <v>22500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4100</v>
      </c>
      <c r="H137" s="33" t="n">
        <f aca="false">(H135+H136)*20%</f>
        <v>4500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24600</v>
      </c>
      <c r="H141" s="154" t="n">
        <f aca="false">(H135+H136+H139+H140+H137)-H138</f>
        <v>27000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24600</v>
      </c>
      <c r="H147" s="161" t="n">
        <f aca="false">H141-((H144*1.2)+(H145*1.2)+(H146*1.2)+(H142*1.2))</f>
        <v>27000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-18750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24500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367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704.908560883441</v>
      </c>
      <c r="B167" s="174" t="n">
        <f aca="false">B94</f>
        <v>21.6981818181818</v>
      </c>
      <c r="C167" s="171"/>
      <c r="D167" s="171"/>
      <c r="E167" s="174" t="n">
        <f aca="false">B96</f>
        <v>726.606742701623</v>
      </c>
      <c r="F167" s="23"/>
      <c r="G167" s="23" t="n">
        <f aca="false">ROUND(G95, 2)</f>
        <v>584.37</v>
      </c>
      <c r="H167" s="33"/>
      <c r="J167" s="173" t="e">
        <f aca="false">K95</f>
        <v>#VALUE!</v>
      </c>
      <c r="K167" s="174" t="n">
        <f aca="false">K94</f>
        <v>19.89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16.6909090909091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20.0290909090909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12</v>
      </c>
      <c r="B170" s="225" t="n">
        <f aca="false">K30</f>
        <v>10000</v>
      </c>
      <c r="C170" s="178"/>
      <c r="D170" s="23"/>
      <c r="E170" s="179" t="n">
        <f aca="false">IF(A111="YES", A40, 0)</f>
        <v>19500</v>
      </c>
      <c r="F170" s="23"/>
      <c r="G170" s="23"/>
      <c r="H170" s="33"/>
      <c r="J170" s="176" t="n">
        <f aca="false">K29</f>
        <v>12</v>
      </c>
      <c r="K170" s="177" t="n">
        <f aca="false">K30</f>
        <v>10000</v>
      </c>
      <c r="L170" s="178"/>
      <c r="M170" s="23"/>
      <c r="N170" s="179" t="n">
        <f aca="false">IF(A111="YES", A40, 0)</f>
        <v>19500</v>
      </c>
      <c r="O170" s="23"/>
      <c r="P170" s="23"/>
      <c r="Q170" s="33"/>
      <c r="S170" s="176" t="n">
        <f aca="false">K29</f>
        <v>12</v>
      </c>
      <c r="T170" s="177" t="n">
        <f aca="false">K30</f>
        <v>10000</v>
      </c>
      <c r="U170" s="178"/>
      <c r="V170" s="23"/>
      <c r="W170" s="179" t="n">
        <f aca="false">IF(A111="YES", A40, 0)</f>
        <v>19500</v>
      </c>
      <c r="X170" s="23"/>
      <c r="Y170" s="23"/>
      <c r="Z170" s="33"/>
      <c r="AB170" s="176" t="n">
        <f aca="false">K29</f>
        <v>12</v>
      </c>
      <c r="AC170" s="177" t="n">
        <f aca="false">K30</f>
        <v>10000</v>
      </c>
      <c r="AD170" s="178"/>
      <c r="AE170" s="23"/>
      <c r="AF170" s="179" t="n">
        <f aca="false">IF(A111="YES", A40, 0)</f>
        <v>19500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22500</v>
      </c>
      <c r="B173" s="99" t="n">
        <f aca="false">H137</f>
        <v>4500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27000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24500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2753.99416971785</v>
      </c>
      <c r="B182" s="99" t="str">
        <f aca="false">B114</f>
        <v>239.99</v>
      </c>
      <c r="C182" s="99"/>
      <c r="D182" s="23"/>
      <c r="E182" s="99" t="n">
        <f aca="false">E179+A182+B182+A185</f>
        <v>27503.9841697179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A179+(B182)</f>
        <v>2239.99</v>
      </c>
      <c r="C185" s="99"/>
      <c r="D185" s="23"/>
      <c r="E185" s="99" t="n">
        <f aca="false">E170+A185</f>
        <v>19510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19520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19510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19510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 *1.2</f>
        <v>9.72624</v>
      </c>
      <c r="B188" s="99" t="n">
        <f aca="false">(G158*B67)</f>
        <v>122.5</v>
      </c>
      <c r="C188" s="130"/>
      <c r="D188" s="130"/>
      <c r="E188" s="99" t="n">
        <f aca="false">(E40*A108)*0.1*(C45/100)</f>
        <v>4.59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4.59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3.06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3.06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227.081666666667</v>
      </c>
      <c r="C191" s="130"/>
      <c r="D191" s="130"/>
      <c r="E191" s="99" t="n">
        <f aca="false">H148</f>
        <v>2000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726.606742701623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368</v>
      </c>
      <c r="B200" s="130" t="s">
        <v>369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1428.07</v>
      </c>
      <c r="B201" s="183" t="n">
        <f aca="false">E179+A201+B182+A185</f>
        <v>26178.06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n">
        <f aca="false">A197</f>
        <v>12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704.908560883441</v>
      </c>
      <c r="B212" s="174" t="n">
        <f aca="false">B167</f>
        <v>21.6981818181818</v>
      </c>
      <c r="C212" s="171"/>
      <c r="D212" s="171"/>
      <c r="E212" s="174" t="n">
        <f aca="false">E167</f>
        <v>726.606742701623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22500</v>
      </c>
      <c r="B215" s="99" t="n">
        <f aca="false">B173</f>
        <v>4500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27000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24500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2753.99416971785</v>
      </c>
      <c r="B224" s="99" t="str">
        <f aca="false">B182</f>
        <v>239.99</v>
      </c>
      <c r="C224" s="99"/>
      <c r="D224" s="109"/>
      <c r="E224" s="99" t="n">
        <f aca="false">E182</f>
        <v>27503.9841697179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704.908560883441</v>
      </c>
      <c r="B230" s="99" t="n">
        <f aca="false">B167</f>
        <v>21.6981818181818</v>
      </c>
      <c r="C230" s="183"/>
      <c r="D230" s="183"/>
      <c r="E230" s="99" t="n">
        <f aca="false">E167</f>
        <v>726.606742701623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19500</v>
      </c>
      <c r="B233" s="99" t="n">
        <f aca="false">E185</f>
        <v>19510</v>
      </c>
      <c r="C233" s="130"/>
      <c r="D233" s="130"/>
      <c r="E233" s="99" t="n">
        <f aca="false">A188</f>
        <v>9.72624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B68</f>
        <v>102.083333333333</v>
      </c>
      <c r="C240" s="130"/>
      <c r="D240" s="130"/>
      <c r="E240" s="99" t="n">
        <f aca="false">E188</f>
        <v>4.59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2206.665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453" t="n">
        <f aca="false">(E182-B182)-(B201-B182-A185)</f>
        <v>1335.92416971785</v>
      </c>
      <c r="C254" s="194"/>
      <c r="D254" s="195" t="s">
        <v>213</v>
      </c>
      <c r="E254" s="195"/>
      <c r="F254" s="196" t="n">
        <f aca="false">F261+F267+F269+B270+B271</f>
        <v>122.5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145.891666666667</v>
      </c>
      <c r="C255" s="194"/>
      <c r="D255" s="195" t="s">
        <v>215</v>
      </c>
      <c r="E255" s="195"/>
      <c r="F255" s="196" t="n">
        <f aca="false">(B254-F254)+B255</f>
        <v>1359.31583638452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0.1255</v>
      </c>
      <c r="C260" s="43"/>
      <c r="D260" s="163" t="s">
        <v>212</v>
      </c>
      <c r="E260" s="163"/>
      <c r="F260" s="143" t="n">
        <f aca="false">B254</f>
        <v>1335.92416971785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B68*1.2</f>
        <v>122.5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0.3</v>
      </c>
      <c r="C262" s="32"/>
      <c r="D262" s="163" t="s">
        <v>219</v>
      </c>
      <c r="E262" s="163"/>
      <c r="F262" s="143" t="n">
        <f aca="false">E240*10</f>
        <v>45.9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1359.31583638452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72" colorId="64" zoomScale="85" zoomScaleNormal="85" zoomScalePageLayoutView="100" workbookViewId="0">
      <selection pane="topLeft" activeCell="E182" activeCellId="0" sqref="E18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349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12</v>
      </c>
      <c r="P29" s="208"/>
    </row>
    <row r="30" customFormat="false" ht="17.9" hidden="false" customHeight="false" outlineLevel="0" collapsed="false">
      <c r="A30" s="31" t="s">
        <v>181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17400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350</v>
      </c>
      <c r="F32" s="130"/>
      <c r="G32" s="130"/>
      <c r="H32" s="33"/>
      <c r="I32" s="2"/>
      <c r="J32" s="29" t="s">
        <v>36</v>
      </c>
      <c r="K32" s="448" t="n">
        <v>947.04</v>
      </c>
      <c r="P32" s="208"/>
    </row>
    <row r="33" customFormat="false" ht="34.8" hidden="false" customHeight="false" outlineLevel="0" collapsed="false">
      <c r="A33" s="176" t="n">
        <f aca="false">A52</f>
        <v>12</v>
      </c>
      <c r="B33" s="228" t="n">
        <f aca="false">B51</f>
        <v>35000</v>
      </c>
      <c r="C33" s="130"/>
      <c r="D33" s="130"/>
      <c r="E33" s="228" t="n">
        <f aca="false">K48</f>
        <v>1225.3174614409</v>
      </c>
      <c r="F33" s="228"/>
      <c r="G33" s="228"/>
      <c r="H33" s="47"/>
      <c r="I33" s="2"/>
      <c r="J33" s="34" t="s">
        <v>351</v>
      </c>
      <c r="K33" s="48" t="n">
        <f aca="false">E21</f>
        <v>20500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352</v>
      </c>
      <c r="B35" s="130" t="s">
        <v>353</v>
      </c>
      <c r="C35" s="130"/>
      <c r="D35" s="208"/>
      <c r="E35" s="130" t="s">
        <v>354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1185.8574614409</v>
      </c>
      <c r="B36" s="228" t="n">
        <f aca="false">IF(B26="YES", K42, "0.00")</f>
        <v>39.46</v>
      </c>
      <c r="C36" s="228"/>
      <c r="D36" s="228"/>
      <c r="E36" s="228" t="n">
        <f aca="false">K31</f>
        <v>17400</v>
      </c>
      <c r="F36" s="228"/>
      <c r="G36" s="228"/>
      <c r="H36" s="47"/>
      <c r="I36" s="2"/>
      <c r="J36" s="2" t="s">
        <v>50</v>
      </c>
      <c r="K36" s="2" t="n">
        <f aca="false">K29</f>
        <v>12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355</v>
      </c>
      <c r="B39" s="130" t="s">
        <v>356</v>
      </c>
      <c r="C39" s="130"/>
      <c r="D39" s="208"/>
      <c r="E39" s="130" t="s">
        <v>357</v>
      </c>
      <c r="F39" s="183"/>
      <c r="G39" s="183"/>
      <c r="H39" s="47"/>
      <c r="J39" s="2" t="s">
        <v>84</v>
      </c>
      <c r="K39" s="2" t="n">
        <f aca="false">K33</f>
        <v>20500</v>
      </c>
      <c r="L39" s="2" t="n">
        <f aca="false">(L47*K46)+K44</f>
        <v>15571.4354497864</v>
      </c>
      <c r="N39" s="1" t="n">
        <f aca="false">K39-L39</f>
        <v>4928.5645502136</v>
      </c>
      <c r="P39" s="208"/>
    </row>
    <row r="40" customFormat="false" ht="17.35" hidden="false" customHeight="false" outlineLevel="0" collapsed="false">
      <c r="A40" s="103" t="n">
        <f aca="false">E36*A45/100</f>
        <v>8700</v>
      </c>
      <c r="B40" s="103" t="n">
        <f aca="false">IF(B26="YES", K42, "0.00")</f>
        <v>39.46</v>
      </c>
      <c r="C40" s="103"/>
      <c r="D40" s="103"/>
      <c r="E40" s="179" t="n">
        <f aca="false">K32</f>
        <v>947.04</v>
      </c>
      <c r="F40" s="183"/>
      <c r="G40" s="183"/>
      <c r="H40" s="47"/>
      <c r="J40" s="2" t="s">
        <v>106</v>
      </c>
      <c r="K40" s="2" t="n">
        <f aca="false">(A40)/1.2</f>
        <v>7250</v>
      </c>
      <c r="L40" s="2" t="n">
        <f aca="false">K39-L39</f>
        <v>4928.5645502136</v>
      </c>
      <c r="N40" s="1" t="n">
        <f aca="false">N38-N39</f>
        <v>-2016.8845502136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358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359</v>
      </c>
      <c r="K42" s="2" t="n">
        <f aca="false">(K32/K36)*C45/100</f>
        <v>39.46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360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361</v>
      </c>
      <c r="K44" s="2" t="n">
        <f aca="false">(K40/(1+K41)^(K36+1))</f>
        <v>6758.3233092205</v>
      </c>
      <c r="L44" s="2"/>
      <c r="P44" s="208"/>
    </row>
    <row r="45" customFormat="false" ht="17.35" hidden="false" customHeight="false" outlineLevel="0" collapsed="false">
      <c r="A45" s="449" t="n">
        <v>50</v>
      </c>
      <c r="B45" s="130"/>
      <c r="C45" s="62" t="n">
        <v>50</v>
      </c>
      <c r="D45" s="62"/>
      <c r="E45" s="62"/>
      <c r="F45" s="130"/>
      <c r="G45" s="130"/>
      <c r="H45" s="33"/>
      <c r="J45" s="2" t="s">
        <v>362</v>
      </c>
      <c r="K45" s="2" t="n">
        <f aca="false">(K39-K44)</f>
        <v>13741.6766907795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363</v>
      </c>
      <c r="K46" s="2" t="n">
        <f aca="false">((1-(1/((1+K41)^K36)))/K41)</f>
        <v>11.5879666297182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364</v>
      </c>
      <c r="K47" s="2" t="n">
        <f aca="false">K45/K46</f>
        <v>1185.8574614409</v>
      </c>
      <c r="L47" s="2" t="n">
        <f aca="false">L49-K42</f>
        <v>760.54</v>
      </c>
      <c r="M47" s="1" t="n">
        <f aca="false">K47-L47</f>
        <v>425.317461440897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365</v>
      </c>
      <c r="K48" s="2" t="n">
        <f aca="false">IF(B26="YES", K47+K42, K47)</f>
        <v>1225.3174614409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366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1225.3174614409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11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11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11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11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40526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40526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40526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0.0105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0.0105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0.0105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0.024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5854.80306952689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0.005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0.005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0.005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112.5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2026.3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202.63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1185.8574614409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1185.8574614409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1225.3174614409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1225.3174614409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27000</v>
      </c>
      <c r="C81" s="130"/>
      <c r="D81" s="130"/>
      <c r="E81" s="109"/>
      <c r="F81" s="25" t="s">
        <v>105</v>
      </c>
      <c r="G81" s="27" t="n">
        <f aca="false">G158</f>
        <v>27000</v>
      </c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8700</v>
      </c>
      <c r="C82" s="130"/>
      <c r="D82" s="130"/>
      <c r="E82" s="109"/>
      <c r="F82" s="31" t="s">
        <v>106</v>
      </c>
      <c r="G82" s="33" t="n">
        <f aca="false">IF(A111 = "Yes", A40, 0)</f>
        <v>8700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8700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8700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0.0995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0.1415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0.1415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0.00829166666666667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0.0117916666666667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0.0117916666666667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11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11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7879.2543195884</v>
      </c>
      <c r="C86" s="130"/>
      <c r="D86" s="130"/>
      <c r="E86" s="109"/>
      <c r="F86" s="31" t="s">
        <v>110</v>
      </c>
      <c r="G86" s="33" t="n">
        <f aca="false">(G82/((1+G84)^(G85+1)))</f>
        <v>8153.91707257453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7558.33392279027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7558.33392279027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10.4718562469129</v>
      </c>
      <c r="C87" s="130"/>
      <c r="D87" s="130"/>
      <c r="E87" s="109"/>
      <c r="F87" s="31" t="s">
        <v>111</v>
      </c>
      <c r="G87" s="33" t="n">
        <f aca="false">((1-(1/((1+G84)^G85)))/G84)</f>
        <v>10.6507347822959</v>
      </c>
      <c r="H87" s="33"/>
      <c r="J87" s="31" t="s">
        <v>111</v>
      </c>
      <c r="K87" s="33" t="n">
        <f aca="false">((1-(1/((1+K84)^K85)))/K84)</f>
        <v>10.5753412209172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10.2599315027351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10.2599315027351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19120.7456804116</v>
      </c>
      <c r="C88" s="130"/>
      <c r="D88" s="130"/>
      <c r="E88" s="109"/>
      <c r="F88" s="31" t="s">
        <v>112</v>
      </c>
      <c r="G88" s="33" t="n">
        <f aca="false">G81-G86</f>
        <v>18846.0829274255</v>
      </c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1825.9175097107</v>
      </c>
      <c r="C89" s="130"/>
      <c r="D89" s="130"/>
      <c r="E89" s="109"/>
      <c r="F89" s="31" t="s">
        <v>113</v>
      </c>
      <c r="G89" s="33" t="n">
        <f aca="false">(G88/G87)</f>
        <v>1769.46316969156</v>
      </c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20085.0926068177</v>
      </c>
      <c r="C90" s="130"/>
      <c r="D90" s="130"/>
      <c r="E90" s="109"/>
      <c r="F90" s="31" t="s">
        <v>114</v>
      </c>
      <c r="G90" s="33" t="n">
        <f aca="false">((G89*(G85))+G77)</f>
        <v>19464.0948666072</v>
      </c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20085.0926068177</v>
      </c>
      <c r="C92" s="130"/>
      <c r="D92" s="130"/>
      <c r="E92" s="109"/>
      <c r="F92" s="56" t="s">
        <v>116</v>
      </c>
      <c r="G92" s="65" t="n">
        <f aca="false">(G90+G91)</f>
        <v>19464.0948666072</v>
      </c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n">
        <f aca="false">IF(B26="YES",((E40/B85)*(1+A108)*(C45/100)),"0")</f>
        <v>51.6567272727273</v>
      </c>
      <c r="C94" s="130"/>
      <c r="D94" s="130"/>
      <c r="E94" s="109"/>
      <c r="F94" s="88" t="s">
        <v>117</v>
      </c>
      <c r="G94" s="259" t="n">
        <f aca="false">IF(B26="YES",((E40/B85)*(1+A108)*(C45/100)),"0")</f>
        <v>51.6567272727273</v>
      </c>
      <c r="H94" s="33"/>
      <c r="J94" s="88" t="s">
        <v>117</v>
      </c>
      <c r="K94" s="89" t="n">
        <f aca="false">((E40/K85)*(1+J108))*1.2</f>
        <v>123.1152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103.313454545455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123.976145454545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1825.9175097107</v>
      </c>
      <c r="C95" s="130"/>
      <c r="D95" s="130"/>
      <c r="E95" s="109"/>
      <c r="F95" s="91" t="s">
        <v>118</v>
      </c>
      <c r="G95" s="92" t="n">
        <f aca="false">G92/(G85)</f>
        <v>1769.46316969156</v>
      </c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1877.57423698342</v>
      </c>
      <c r="C96" s="130"/>
      <c r="D96" s="130"/>
      <c r="E96" s="109"/>
      <c r="F96" s="93" t="s">
        <v>119</v>
      </c>
      <c r="G96" s="94" t="n">
        <f aca="false">G94+G95</f>
        <v>1821.11989696429</v>
      </c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18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</v>
      </c>
      <c r="C108" s="103"/>
      <c r="D108" s="103" t="n">
        <v>0</v>
      </c>
      <c r="E108" s="104" t="n">
        <f aca="false">B83</f>
        <v>0.0995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0.1415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0.1415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233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20500</v>
      </c>
      <c r="C121" s="117" t="n">
        <v>22500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24600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24600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24600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20500</v>
      </c>
      <c r="C125" s="129" t="n">
        <f aca="false">C121-C124</f>
        <v>22500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20500</v>
      </c>
      <c r="H135" s="150" t="n">
        <f aca="false">C125+E125+G125+H128</f>
        <v>22500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4100</v>
      </c>
      <c r="H137" s="33" t="n">
        <f aca="false">(H135+H136)*20%</f>
        <v>4500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24600</v>
      </c>
      <c r="H141" s="154" t="n">
        <f aca="false">(H135+H136+H139+H140+H137)-H138</f>
        <v>27000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24600</v>
      </c>
      <c r="H147" s="161" t="n">
        <f aca="false">H141-((H144*1.2)+(H145*1.2)+(H146*1.2)+(H142*1.2))</f>
        <v>27000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-20833.3333333333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27000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367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1825.9175097107</v>
      </c>
      <c r="B167" s="174" t="n">
        <f aca="false">B94</f>
        <v>51.6567272727273</v>
      </c>
      <c r="C167" s="171"/>
      <c r="D167" s="171"/>
      <c r="E167" s="174" t="n">
        <f aca="false">B96</f>
        <v>1877.57423698342</v>
      </c>
      <c r="F167" s="23"/>
      <c r="G167" s="23" t="n">
        <f aca="false">ROUND(G95, 2)</f>
        <v>1769.46</v>
      </c>
      <c r="H167" s="33"/>
      <c r="J167" s="173" t="e">
        <f aca="false">K95</f>
        <v>#VALUE!</v>
      </c>
      <c r="K167" s="174" t="n">
        <f aca="false">K94</f>
        <v>123.1152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103.313454545455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123.976145454545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12</v>
      </c>
      <c r="B170" s="225" t="n">
        <f aca="false">K30</f>
        <v>35000</v>
      </c>
      <c r="C170" s="178"/>
      <c r="D170" s="23"/>
      <c r="E170" s="179" t="n">
        <f aca="false">IF(A111="YES", A40, 0)</f>
        <v>8700</v>
      </c>
      <c r="F170" s="23"/>
      <c r="G170" s="23"/>
      <c r="H170" s="33"/>
      <c r="J170" s="176" t="n">
        <f aca="false">K29</f>
        <v>12</v>
      </c>
      <c r="K170" s="177" t="n">
        <f aca="false">K30</f>
        <v>35000</v>
      </c>
      <c r="L170" s="178"/>
      <c r="M170" s="23"/>
      <c r="N170" s="179" t="n">
        <f aca="false">IF(A111="YES", A40, 0)</f>
        <v>8700</v>
      </c>
      <c r="O170" s="23"/>
      <c r="P170" s="23"/>
      <c r="Q170" s="33"/>
      <c r="S170" s="176" t="n">
        <f aca="false">K29</f>
        <v>12</v>
      </c>
      <c r="T170" s="177" t="n">
        <f aca="false">K30</f>
        <v>35000</v>
      </c>
      <c r="U170" s="178"/>
      <c r="V170" s="23"/>
      <c r="W170" s="179" t="n">
        <f aca="false">IF(A111="YES", A40, 0)</f>
        <v>8700</v>
      </c>
      <c r="X170" s="23"/>
      <c r="Y170" s="23"/>
      <c r="Z170" s="33"/>
      <c r="AB170" s="176" t="n">
        <f aca="false">K29</f>
        <v>12</v>
      </c>
      <c r="AC170" s="177" t="n">
        <f aca="false">K30</f>
        <v>35000</v>
      </c>
      <c r="AD170" s="178"/>
      <c r="AE170" s="23"/>
      <c r="AF170" s="179" t="n">
        <f aca="false">IF(A111="YES", A40, 0)</f>
        <v>8700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22500</v>
      </c>
      <c r="B173" s="99" t="n">
        <f aca="false">H137</f>
        <v>4500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27000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27000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1785.09260681766</v>
      </c>
      <c r="B182" s="99" t="str">
        <f aca="false">B114</f>
        <v>199.99</v>
      </c>
      <c r="C182" s="99"/>
      <c r="D182" s="23"/>
      <c r="E182" s="99" t="n">
        <f aca="false">E179+A182+(B182*1.2)+A185</f>
        <v>29035.0806068177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E170+A185</f>
        <v>8710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8720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8710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8710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</f>
        <v>8.1052</v>
      </c>
      <c r="B188" s="99" t="n">
        <f aca="false">(G158*B67)/1.2</f>
        <v>112.5</v>
      </c>
      <c r="C188" s="130"/>
      <c r="D188" s="130"/>
      <c r="E188" s="99" t="n">
        <f aca="false">(E40*A108)*0.1*(C45/100)</f>
        <v>9.4704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28.4112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18.9408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18.9408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221.9604</v>
      </c>
      <c r="C191" s="130"/>
      <c r="D191" s="130"/>
      <c r="E191" s="99" t="n">
        <f aca="false">H148</f>
        <v>2000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1877.57423698342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368</v>
      </c>
      <c r="B200" s="130" t="s">
        <v>369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1164.06</v>
      </c>
      <c r="B201" s="183" t="n">
        <f aca="false">E179+A201+(B182*1.2)+A185</f>
        <v>28414.048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n">
        <f aca="false">A197</f>
        <v>12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1825.9175097107</v>
      </c>
      <c r="B212" s="174" t="n">
        <f aca="false">B167</f>
        <v>51.6567272727273</v>
      </c>
      <c r="C212" s="171"/>
      <c r="D212" s="171"/>
      <c r="E212" s="174" t="n">
        <f aca="false">E167</f>
        <v>1877.57423698342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22500</v>
      </c>
      <c r="B215" s="99" t="n">
        <f aca="false">B173</f>
        <v>4500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27000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27000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1785.09260681766</v>
      </c>
      <c r="B224" s="99" t="str">
        <f aca="false">B182</f>
        <v>199.99</v>
      </c>
      <c r="C224" s="99"/>
      <c r="D224" s="109"/>
      <c r="E224" s="99" t="n">
        <f aca="false">E182</f>
        <v>29035.0806068177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1825.9175097107</v>
      </c>
      <c r="B230" s="99" t="n">
        <f aca="false">B167</f>
        <v>51.6567272727273</v>
      </c>
      <c r="C230" s="183"/>
      <c r="D230" s="183"/>
      <c r="E230" s="99" t="n">
        <f aca="false">E167</f>
        <v>1877.57423698342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8700</v>
      </c>
      <c r="B233" s="99" t="n">
        <f aca="false">E185</f>
        <v>8710</v>
      </c>
      <c r="C233" s="130"/>
      <c r="D233" s="130"/>
      <c r="E233" s="99" t="n">
        <f aca="false">A188</f>
        <v>8.1052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B68</f>
        <v>112.5</v>
      </c>
      <c r="C240" s="130"/>
      <c r="D240" s="130"/>
      <c r="E240" s="99" t="n">
        <f aca="false">E188</f>
        <v>9.4704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2221.9604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0.0995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453" t="n">
        <f aca="false">(E182-B182)-(B201-B182-A185)</f>
        <v>631.032606817658</v>
      </c>
      <c r="C254" s="194"/>
      <c r="D254" s="195" t="s">
        <v>213</v>
      </c>
      <c r="E254" s="195"/>
      <c r="F254" s="196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194.694</v>
      </c>
      <c r="C255" s="194"/>
      <c r="D255" s="195" t="s">
        <v>215</v>
      </c>
      <c r="E255" s="195"/>
      <c r="F255" s="196" t="n">
        <f aca="false">(B254-F254)+B255</f>
        <v>690.726606817658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0.024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0.0995</v>
      </c>
      <c r="C260" s="43"/>
      <c r="D260" s="163" t="s">
        <v>212</v>
      </c>
      <c r="E260" s="163"/>
      <c r="F260" s="143" t="n">
        <f aca="false">B254</f>
        <v>631.032606817658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B68*1.2</f>
        <v>135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94.704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690.726606817658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349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7" t="n">
        <v>35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346</v>
      </c>
      <c r="C30" s="169"/>
      <c r="D30" s="211"/>
      <c r="E30" s="212"/>
      <c r="F30" s="63"/>
      <c r="G30" s="214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8" t="s">
        <v>350</v>
      </c>
      <c r="E32" s="212"/>
      <c r="F32" s="63"/>
      <c r="G32" s="214" t="s">
        <v>36</v>
      </c>
      <c r="I32" s="448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35</v>
      </c>
      <c r="B33" s="225" t="n">
        <v>10000</v>
      </c>
      <c r="C33" s="226"/>
      <c r="D33" s="459" t="n">
        <f aca="false">H48</f>
        <v>644.568528797354</v>
      </c>
      <c r="E33" s="212"/>
      <c r="F33" s="63"/>
      <c r="G33" s="215" t="s">
        <v>351</v>
      </c>
      <c r="H33" s="460" t="n">
        <f aca="false">E21-E11</f>
        <v>20500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370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352</v>
      </c>
      <c r="B35" s="211" t="s">
        <v>353</v>
      </c>
      <c r="C35" s="211"/>
      <c r="D35" s="211" t="s">
        <v>354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644.568528797354</v>
      </c>
      <c r="B36" s="99" t="n">
        <f aca="false">IF(B26="YES", H42, "")</f>
        <v>0</v>
      </c>
      <c r="C36" s="217"/>
      <c r="D36" s="181" t="n">
        <f aca="false">H31</f>
        <v>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355</v>
      </c>
      <c r="B39" s="211" t="s">
        <v>356</v>
      </c>
      <c r="C39" s="211"/>
      <c r="D39" s="211" t="s">
        <v>357</v>
      </c>
      <c r="E39" s="212"/>
      <c r="F39" s="63"/>
      <c r="G39" s="63" t="s">
        <v>84</v>
      </c>
      <c r="H39" s="234" t="n">
        <f aca="false">H33</f>
        <v>20500</v>
      </c>
      <c r="I39" s="234" t="n">
        <f aca="false">(I48*H46)+H44</f>
        <v>44525.9095313712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0</v>
      </c>
      <c r="B40" s="103" t="n">
        <f aca="false">IF(B26="YES",H42,"0")</f>
        <v>0</v>
      </c>
      <c r="C40" s="103"/>
      <c r="D40" s="181" t="n">
        <f aca="false">I32</f>
        <v>0</v>
      </c>
      <c r="E40" s="212"/>
      <c r="F40" s="63"/>
      <c r="G40" s="63" t="s">
        <v>106</v>
      </c>
      <c r="H40" s="234" t="n">
        <f aca="false">A40/1.2</f>
        <v>0</v>
      </c>
      <c r="I40" s="234" t="n">
        <f aca="false">H39-I39</f>
        <v>-24025.9095313712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358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359</v>
      </c>
      <c r="H42" s="234" t="n">
        <f aca="false">(I32/H34)*(C45/100)</f>
        <v>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360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1"/>
      <c r="C44" s="362" t="s">
        <v>77</v>
      </c>
      <c r="D44" s="362"/>
      <c r="E44" s="212"/>
      <c r="F44" s="63"/>
      <c r="G44" s="63" t="s">
        <v>371</v>
      </c>
      <c r="H44" s="234" t="n">
        <f aca="false">(H40/(1+H41)^(H34+1))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1"/>
      <c r="C45" s="463" t="n">
        <v>100</v>
      </c>
      <c r="D45" s="463"/>
      <c r="E45" s="212"/>
      <c r="F45" s="63"/>
      <c r="G45" s="63" t="s">
        <v>372</v>
      </c>
      <c r="H45" s="234" t="n">
        <f aca="false">(H39-H44)</f>
        <v>20500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373</v>
      </c>
      <c r="H46" s="234" t="n">
        <f aca="false">((1-(1/((1+H41)^H34)))/H41)</f>
        <v>31.8042210938366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364</v>
      </c>
      <c r="H47" s="234" t="n">
        <f aca="false">H45/H46</f>
        <v>644.568528797354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4" t="s">
        <v>365</v>
      </c>
      <c r="H48" s="234" t="n">
        <f aca="false">IF(B26="YES", H47+H42, H47)</f>
        <v>644.568528797354</v>
      </c>
      <c r="I48" s="234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366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35</v>
      </c>
      <c r="B52" s="74" t="n">
        <f aca="false">H48</f>
        <v>644.568528797354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34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34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34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374</v>
      </c>
      <c r="B60" s="211" t="n">
        <f aca="false">E19</f>
        <v>24600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40526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0.103541666666667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0.103541666666667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0.103541666666667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2547.125</v>
      </c>
      <c r="C64" s="465" t="n">
        <v>10000</v>
      </c>
      <c r="D64" s="290" t="n">
        <f aca="false">B64</f>
        <v>2547.125</v>
      </c>
      <c r="E64" s="466" t="n">
        <f aca="false">D64/(B58+B57)</f>
        <v>72.775</v>
      </c>
      <c r="F64" s="63"/>
      <c r="G64" s="284" t="s">
        <v>90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90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0.0195833333333333</v>
      </c>
      <c r="C66" s="467" t="s">
        <v>218</v>
      </c>
      <c r="D66" s="211"/>
      <c r="E66" s="212"/>
      <c r="F66" s="63"/>
      <c r="G66" s="210" t="s">
        <v>92</v>
      </c>
      <c r="H66" s="293" t="n">
        <f aca="false">H65+(H65*0.5*(H29/12-1))</f>
        <v>0.0195833333333333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0.0195833333333333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793.634166666667</v>
      </c>
      <c r="C67" s="468" t="s">
        <v>218</v>
      </c>
      <c r="D67" s="469"/>
      <c r="E67" s="212"/>
      <c r="F67" s="63"/>
      <c r="G67" s="284" t="s">
        <v>93</v>
      </c>
      <c r="H67" s="129" t="n">
        <f aca="false">(H61*H66)/1.2</f>
        <v>0</v>
      </c>
      <c r="I67" s="211"/>
      <c r="J67" s="290"/>
      <c r="K67" s="212"/>
      <c r="L67" s="63"/>
      <c r="M67" s="284" t="s">
        <v>93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70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1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175</v>
      </c>
      <c r="C73" s="211"/>
      <c r="D73" s="472" t="n">
        <f aca="false">B73+B71</f>
        <v>375</v>
      </c>
      <c r="E73" s="212" t="s">
        <v>224</v>
      </c>
      <c r="F73" s="63"/>
      <c r="G73" s="284" t="s">
        <v>99</v>
      </c>
      <c r="H73" s="129" t="n">
        <f aca="false">H72*H29</f>
        <v>157.5</v>
      </c>
      <c r="I73" s="211"/>
      <c r="J73" s="290" t="n">
        <f aca="false">H73+H71</f>
        <v>317.5</v>
      </c>
      <c r="K73" s="212"/>
      <c r="L73" s="63"/>
      <c r="M73" s="284" t="s">
        <v>99</v>
      </c>
      <c r="N73" s="129" t="n">
        <f aca="false">N72*H29</f>
        <v>157.5</v>
      </c>
      <c r="O73" s="211"/>
      <c r="P73" s="290" t="n">
        <f aca="false">N73+N71</f>
        <v>317.5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330</v>
      </c>
      <c r="I76" s="211"/>
      <c r="J76" s="290" t="n">
        <f aca="false">H76</f>
        <v>330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0</v>
      </c>
      <c r="C77" s="473"/>
      <c r="D77" s="290" t="n">
        <f aca="false">B77</f>
        <v>0</v>
      </c>
      <c r="E77" s="466" t="n">
        <f aca="false">D77/(B58+B57)</f>
        <v>0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0</v>
      </c>
      <c r="C78" s="473"/>
      <c r="D78" s="290" t="n">
        <f aca="false">B78</f>
        <v>0</v>
      </c>
      <c r="E78" s="466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473"/>
      <c r="D79" s="290" t="n">
        <f aca="false">B79</f>
        <v>200</v>
      </c>
      <c r="E79" s="466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473"/>
      <c r="D80" s="290" t="n">
        <f aca="false">B80</f>
        <v>200</v>
      </c>
      <c r="E80" s="466" t="n">
        <f aca="false">(D73+D76+D79+D80)/(B58+B57)</f>
        <v>22.1428571428571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3322.125</v>
      </c>
      <c r="C81" s="473"/>
      <c r="D81" s="474"/>
      <c r="E81" s="466"/>
      <c r="F81" s="63"/>
      <c r="G81" s="302" t="s">
        <v>102</v>
      </c>
      <c r="H81" s="303" t="n">
        <f aca="false">SUM(J64:J80)</f>
        <v>1047.5</v>
      </c>
      <c r="I81" s="211"/>
      <c r="J81" s="211"/>
      <c r="K81" s="212"/>
      <c r="L81" s="63"/>
      <c r="M81" s="302" t="s">
        <v>102</v>
      </c>
      <c r="N81" s="303" t="n">
        <f aca="false">SUM(P64:P80)</f>
        <v>717.5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94.9178571428572</v>
      </c>
      <c r="C82" s="473"/>
      <c r="D82" s="211"/>
      <c r="E82" s="466"/>
      <c r="F82" s="63"/>
      <c r="G82" s="210" t="s">
        <v>103</v>
      </c>
      <c r="H82" s="299" t="n">
        <f aca="false">H81/H29</f>
        <v>29.9285714285714</v>
      </c>
      <c r="I82" s="211"/>
      <c r="J82" s="211"/>
      <c r="K82" s="212"/>
      <c r="L82" s="63"/>
      <c r="M82" s="210" t="s">
        <v>103</v>
      </c>
      <c r="N82" s="299" t="n">
        <f aca="false">N81/H29</f>
        <v>20.5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644.568528797354</v>
      </c>
      <c r="C83" s="473"/>
      <c r="D83" s="211"/>
      <c r="E83" s="466" t="n">
        <f aca="false">B83+E80+E77+E64</f>
        <v>739.486385940211</v>
      </c>
      <c r="F83" s="63"/>
      <c r="G83" s="304" t="s">
        <v>104</v>
      </c>
      <c r="H83" s="305" t="n">
        <f aca="false">H47</f>
        <v>644.568528797354</v>
      </c>
      <c r="I83" s="211"/>
      <c r="J83" s="211"/>
      <c r="K83" s="212"/>
      <c r="L83" s="63"/>
      <c r="M83" s="304" t="s">
        <v>104</v>
      </c>
      <c r="N83" s="305" t="n">
        <f aca="false">H47</f>
        <v>644.568528797354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3"/>
      <c r="D84" s="473"/>
      <c r="E84" s="466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</f>
        <v>25882.0235079074</v>
      </c>
      <c r="C85" s="473"/>
      <c r="D85" s="473"/>
      <c r="E85" s="466" t="n">
        <f aca="false">B85/(B58+B57)</f>
        <v>739.486385940211</v>
      </c>
      <c r="F85" s="63"/>
      <c r="G85" s="287" t="s">
        <v>114</v>
      </c>
      <c r="H85" s="127" t="n">
        <f aca="false">((H83*H29)+H81)*1.2</f>
        <v>28328.8782094889</v>
      </c>
      <c r="I85" s="211"/>
      <c r="J85" s="211"/>
      <c r="K85" s="212"/>
      <c r="L85" s="63"/>
      <c r="M85" s="287" t="s">
        <v>114</v>
      </c>
      <c r="N85" s="127" t="n">
        <f aca="false">((N83*H29)+N81)</f>
        <v>23277.3985079074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219.25070337477</v>
      </c>
      <c r="C86" s="473" t="s">
        <v>227</v>
      </c>
      <c r="D86" s="211"/>
      <c r="E86" s="466" t="n">
        <f aca="false">B86/(B58+B57)</f>
        <v>6.26430581070772</v>
      </c>
      <c r="F86" s="63"/>
      <c r="G86" s="210" t="s">
        <v>115</v>
      </c>
      <c r="H86" s="299" t="n">
        <f aca="false">((((H83*H29)+H81))/(1-H70))*H70</f>
        <v>199.981996234794</v>
      </c>
      <c r="I86" s="211"/>
      <c r="J86" s="211"/>
      <c r="K86" s="212"/>
      <c r="L86" s="63"/>
      <c r="M86" s="210" t="s">
        <v>115</v>
      </c>
      <c r="N86" s="299" t="n">
        <f aca="false">(N85/(1-N70))*N70</f>
        <v>197.186514185581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26101.2742112822</v>
      </c>
      <c r="C87" s="473"/>
      <c r="D87" s="475"/>
      <c r="E87" s="466" t="n">
        <f aca="false">E86+E85</f>
        <v>745.750691750919</v>
      </c>
      <c r="F87" s="63"/>
      <c r="G87" s="284" t="s">
        <v>116</v>
      </c>
      <c r="H87" s="129" t="n">
        <f aca="false">IF(H110="YES",((H85+H86)-K114),(H85+H86))</f>
        <v>28528.8602057237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23474.585022093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3"/>
      <c r="D88" s="211"/>
      <c r="E88" s="466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</f>
        <v>0</v>
      </c>
      <c r="C89" s="473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0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0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745.750691750919</v>
      </c>
      <c r="C90" s="473"/>
      <c r="D90" s="211"/>
      <c r="E90" s="476"/>
      <c r="F90" s="63"/>
      <c r="G90" s="307" t="s">
        <v>118</v>
      </c>
      <c r="H90" s="308" t="n">
        <f aca="false">IF(H99=Y98, (H87-J105)/(H58), H87/(H57+H58))</f>
        <v>713.221505143092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586.864625552324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745.750691750919</v>
      </c>
      <c r="C91" s="473"/>
      <c r="D91" s="477"/>
      <c r="E91" s="429"/>
      <c r="F91" s="63"/>
      <c r="G91" s="309" t="s">
        <v>119</v>
      </c>
      <c r="H91" s="310" t="n">
        <f aca="false">IF(G105="YES", H90+H89, H90)</f>
        <v>713.221505143092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586.864625552324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8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375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9"/>
      <c r="C97" s="479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261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0</v>
      </c>
      <c r="E99" s="103"/>
      <c r="F99" s="63"/>
      <c r="G99" s="216" t="s">
        <v>284</v>
      </c>
      <c r="H99" s="311" t="s">
        <v>263</v>
      </c>
      <c r="I99" s="311"/>
      <c r="J99" s="103" t="n">
        <v>0</v>
      </c>
      <c r="K99" s="103"/>
      <c r="L99" s="63"/>
      <c r="M99" s="216" t="s">
        <v>284</v>
      </c>
      <c r="N99" s="311" t="s">
        <v>263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262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263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376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264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0</v>
      </c>
      <c r="C102" s="103"/>
      <c r="D102" s="103" t="n">
        <v>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0.2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0</v>
      </c>
      <c r="E113" s="103" t="n">
        <v>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0</v>
      </c>
      <c r="E114" s="164" t="n">
        <f aca="false">E112-E113</f>
        <v>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(E118*1.2)+E117-E114</f>
        <v>1239.988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35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250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713.221505143092</v>
      </c>
      <c r="H127" s="174" t="n">
        <f aca="false">IF(G105="YES", H89*H57, 0)</f>
        <v>0</v>
      </c>
      <c r="I127" s="174"/>
      <c r="J127" s="333" t="n">
        <f aca="false">H91</f>
        <v>713.221505143092</v>
      </c>
      <c r="K127" s="212"/>
      <c r="L127" s="63"/>
      <c r="M127" s="332" t="n">
        <f aca="false">N90</f>
        <v>586.864625552324</v>
      </c>
      <c r="N127" s="174" t="n">
        <f aca="false">IF(M105="YES", N89*N57, 0)</f>
        <v>0</v>
      </c>
      <c r="O127" s="174"/>
      <c r="P127" s="174" t="n">
        <f aca="false">N91</f>
        <v>586.864625552324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745.750691750919</v>
      </c>
      <c r="B128" s="320" t="n">
        <f aca="false">IF(A105="YES", B89, 0)</f>
        <v>0</v>
      </c>
      <c r="C128" s="324"/>
      <c r="D128" s="320" t="n">
        <f aca="false">B91</f>
        <v>745.750691750919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35</v>
      </c>
      <c r="H130" s="225" t="n">
        <f aca="false">B151</f>
        <v>0</v>
      </c>
      <c r="I130" s="226"/>
      <c r="J130" s="225" t="n">
        <f aca="false">B58</f>
        <v>34</v>
      </c>
      <c r="K130" s="212"/>
      <c r="L130" s="63"/>
      <c r="M130" s="224" t="n">
        <f aca="false">M155</f>
        <v>35</v>
      </c>
      <c r="N130" s="225" t="n">
        <f aca="false">B151</f>
        <v>0</v>
      </c>
      <c r="O130" s="226"/>
      <c r="P130" s="225" t="n">
        <f aca="false">B58</f>
        <v>34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745.750691750919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239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4279.32903085855</v>
      </c>
      <c r="H133" s="99" t="n">
        <f aca="false">IF(G105="YES", H89*H57, 0)</f>
        <v>0</v>
      </c>
      <c r="I133" s="217"/>
      <c r="J133" s="181" t="n">
        <f aca="false">H91*H57</f>
        <v>4279.32903085855</v>
      </c>
      <c r="K133" s="212"/>
      <c r="L133" s="63"/>
      <c r="M133" s="182" t="n">
        <f aca="false">N90*N57</f>
        <v>3521.18775331395</v>
      </c>
      <c r="N133" s="99" t="n">
        <f aca="false">IF(M105="YES", N89*N57, 0)</f>
        <v>0</v>
      </c>
      <c r="O133" s="217"/>
      <c r="P133" s="181" t="n">
        <f aca="false">N91*N57</f>
        <v>3521.18775331395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745.750691750919</v>
      </c>
      <c r="B134" s="38" t="n">
        <f aca="false">E114</f>
        <v>0</v>
      </c>
      <c r="C134" s="316"/>
      <c r="D134" s="336" t="n">
        <f aca="false">B58</f>
        <v>34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252</v>
      </c>
      <c r="N135" s="211" t="s">
        <v>253</v>
      </c>
      <c r="O135" s="211"/>
      <c r="P135" s="211" t="s">
        <v>257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745.750691750919</v>
      </c>
      <c r="B137" s="38" t="n">
        <f aca="false">IF(A105="YES", B89, 0)</f>
        <v>0</v>
      </c>
      <c r="C137" s="316"/>
      <c r="D137" s="38" t="n">
        <f aca="false">B91</f>
        <v>745.750691750919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29.17872</v>
      </c>
      <c r="B140" s="342" t="n">
        <f aca="false">IF(A105="YES", B61*0.000002, 0)*1.2*100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0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0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793.634166666667</v>
      </c>
      <c r="B148" s="99" t="n">
        <f aca="false">B102</f>
        <v>0</v>
      </c>
      <c r="C148" s="38"/>
      <c r="D148" s="38" t="n">
        <f aca="false">IF(A105="YES", (B40*B105)*B125, 0)*0.1</f>
        <v>0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893.624166666667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35</v>
      </c>
      <c r="H152" s="74" t="n">
        <f aca="false">H91</f>
        <v>713.221505143092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35</v>
      </c>
      <c r="N155" s="74" t="n">
        <f aca="false">N91</f>
        <v>586.864625552324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35</v>
      </c>
      <c r="B161" s="74" t="n">
        <f aca="false">B91</f>
        <v>745.750691750919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35</v>
      </c>
      <c r="C174" s="356"/>
      <c r="D174" s="323" t="n">
        <f aca="false">D125</f>
        <v>35000</v>
      </c>
      <c r="E174" s="321"/>
      <c r="F174" s="63"/>
      <c r="G174" s="386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745.750691750919</v>
      </c>
      <c r="B177" s="354" t="n">
        <f aca="false">IF(A105="YES", B89, 0)</f>
        <v>0</v>
      </c>
      <c r="C177" s="356"/>
      <c r="D177" s="354" t="n">
        <f aca="false">B91</f>
        <v>745.750691750919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745.750691750919</v>
      </c>
      <c r="C180" s="352"/>
      <c r="D180" s="99" t="n">
        <f aca="false">IF(A105="YES", B89*B57,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745.750691750919</v>
      </c>
      <c r="B183" s="99" t="n">
        <f aca="false">E114</f>
        <v>0</v>
      </c>
      <c r="C183" s="352"/>
      <c r="D183" s="360" t="n">
        <f aca="false">B58</f>
        <v>34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745.750691750919</v>
      </c>
      <c r="B186" s="99" t="n">
        <f aca="false">IF(A105="YES", B89, 0)</f>
        <v>0</v>
      </c>
      <c r="C186" s="352"/>
      <c r="D186" s="99" t="n">
        <f aca="false">B91</f>
        <v>745.750691750919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29.17872</v>
      </c>
      <c r="B189" s="364" t="n">
        <f aca="false">B140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793.634166666667</v>
      </c>
      <c r="B197" s="99" t="n">
        <f aca="false">B102</f>
        <v>0</v>
      </c>
      <c r="C197" s="99"/>
      <c r="D197" s="99" t="n">
        <f aca="false">IF(A105="YES", (B40*B105)*B125,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893.624166666667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2547.125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793.634166666667</v>
      </c>
      <c r="C211" s="319" t="s">
        <v>214</v>
      </c>
      <c r="D211" s="369" t="n">
        <f aca="false">B225+E221+B221+B223</f>
        <v>99.99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1853.48083333333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2547.125</v>
      </c>
      <c r="C217" s="374" t="s">
        <v>218</v>
      </c>
      <c r="D217" s="316"/>
      <c r="E217" s="375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793.634166666667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0</v>
      </c>
      <c r="C223" s="335" t="s">
        <v>215</v>
      </c>
      <c r="D223" s="316"/>
      <c r="E223" s="33" t="n">
        <f aca="false">(B217-B211+D211)</f>
        <v>1853.48083333333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200</v>
      </c>
      <c r="C229" s="335" t="s">
        <v>223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219.25070337477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200</v>
      </c>
      <c r="C233" s="381" t="s">
        <v>330</v>
      </c>
      <c r="D233" s="382"/>
      <c r="E233" s="146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200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349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7" t="n">
        <v>12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346</v>
      </c>
      <c r="C30" s="169"/>
      <c r="D30" s="211"/>
      <c r="E30" s="212"/>
      <c r="F30" s="63"/>
      <c r="G30" s="214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17400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8" t="s">
        <v>350</v>
      </c>
      <c r="E32" s="212"/>
      <c r="F32" s="63"/>
      <c r="G32" s="214" t="s">
        <v>36</v>
      </c>
      <c r="I32" s="448" t="n">
        <v>947.2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12</v>
      </c>
      <c r="B33" s="225" t="n">
        <v>10000</v>
      </c>
      <c r="C33" s="226"/>
      <c r="D33" s="459" t="n">
        <f aca="false">H48</f>
        <v>1442.82509593885</v>
      </c>
      <c r="E33" s="212"/>
      <c r="F33" s="63"/>
      <c r="G33" s="215" t="s">
        <v>351</v>
      </c>
      <c r="H33" s="460" t="n">
        <f aca="false">E21-E11</f>
        <v>20500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370</v>
      </c>
      <c r="H34" s="63" t="n">
        <f aca="false">H29</f>
        <v>12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352</v>
      </c>
      <c r="B35" s="211" t="s">
        <v>353</v>
      </c>
      <c r="C35" s="211"/>
      <c r="D35" s="211" t="s">
        <v>354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1419.14509593885</v>
      </c>
      <c r="B36" s="99" t="n">
        <f aca="false">IF(B26="YES", H42, "")</f>
        <v>23.68</v>
      </c>
      <c r="C36" s="217"/>
      <c r="D36" s="181" t="n">
        <f aca="false">H31</f>
        <v>17400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355</v>
      </c>
      <c r="B39" s="211" t="s">
        <v>356</v>
      </c>
      <c r="C39" s="211"/>
      <c r="D39" s="211" t="s">
        <v>357</v>
      </c>
      <c r="E39" s="212"/>
      <c r="F39" s="63"/>
      <c r="G39" s="63" t="s">
        <v>84</v>
      </c>
      <c r="H39" s="234" t="n">
        <f aca="false">H33</f>
        <v>20500</v>
      </c>
      <c r="I39" s="234" t="n">
        <f aca="false">(I48*H46)+H44</f>
        <v>20003.7442173461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5220</v>
      </c>
      <c r="B40" s="103" t="n">
        <f aca="false">IF(B26="YES",H42,"0")</f>
        <v>23.68</v>
      </c>
      <c r="C40" s="103"/>
      <c r="D40" s="181" t="n">
        <f aca="false">I32</f>
        <v>947.2</v>
      </c>
      <c r="E40" s="212"/>
      <c r="F40" s="63"/>
      <c r="G40" s="63" t="s">
        <v>106</v>
      </c>
      <c r="H40" s="234" t="n">
        <f aca="false">A40/1.2</f>
        <v>4350</v>
      </c>
      <c r="I40" s="234" t="n">
        <f aca="false">H39-I39</f>
        <v>496.255782653898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358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359</v>
      </c>
      <c r="H42" s="234" t="n">
        <f aca="false">(I32/H34)*(C45/100)</f>
        <v>23.68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360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1"/>
      <c r="C44" s="362" t="s">
        <v>77</v>
      </c>
      <c r="D44" s="362"/>
      <c r="E44" s="212"/>
      <c r="F44" s="63"/>
      <c r="G44" s="63" t="s">
        <v>371</v>
      </c>
      <c r="H44" s="234" t="n">
        <f aca="false">(H40/(1+H41)^(H34+1))</f>
        <v>4054.9939855323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</v>
      </c>
      <c r="B45" s="211"/>
      <c r="C45" s="463" t="n">
        <v>30</v>
      </c>
      <c r="D45" s="463"/>
      <c r="E45" s="212"/>
      <c r="F45" s="63"/>
      <c r="G45" s="63" t="s">
        <v>372</v>
      </c>
      <c r="H45" s="234" t="n">
        <f aca="false">(H39-H44)</f>
        <v>16445.0060144677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373</v>
      </c>
      <c r="H46" s="234" t="n">
        <f aca="false">((1-(1/((1+H41)^H34)))/H41)</f>
        <v>11.5879666297182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364</v>
      </c>
      <c r="H47" s="234" t="n">
        <f aca="false">H45/H46</f>
        <v>1419.14509593885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4" t="s">
        <v>365</v>
      </c>
      <c r="H48" s="234" t="n">
        <f aca="false">IF(B26="YES", H47+H42, H47)</f>
        <v>1442.82509593885</v>
      </c>
      <c r="I48" s="234" t="n">
        <f aca="false">I49-H42</f>
        <v>1376.32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366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H48</f>
        <v>1442.82509593885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11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11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11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374</v>
      </c>
      <c r="B60" s="211" t="n">
        <f aca="false">E19</f>
        <v>24600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40526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0.07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1722</v>
      </c>
      <c r="C64" s="465" t="n">
        <v>10000</v>
      </c>
      <c r="D64" s="290" t="n">
        <f aca="false">B64</f>
        <v>1722</v>
      </c>
      <c r="E64" s="466" t="n">
        <f aca="false">D64/(B58+B57)</f>
        <v>143.5</v>
      </c>
      <c r="F64" s="63"/>
      <c r="G64" s="284" t="s">
        <v>90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90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</v>
      </c>
      <c r="C66" s="467" t="s">
        <v>218</v>
      </c>
      <c r="D66" s="211"/>
      <c r="E66" s="212"/>
      <c r="F66" s="63"/>
      <c r="G66" s="210" t="s">
        <v>92</v>
      </c>
      <c r="H66" s="293" t="n">
        <f aca="false">H65+(H65*0.5*(H29/12-1))</f>
        <v>0.01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0.01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405.26</v>
      </c>
      <c r="C67" s="468" t="s">
        <v>218</v>
      </c>
      <c r="D67" s="469"/>
      <c r="E67" s="212"/>
      <c r="F67" s="63"/>
      <c r="G67" s="284" t="s">
        <v>93</v>
      </c>
      <c r="H67" s="129" t="n">
        <f aca="false">(H61*H66)/1.2</f>
        <v>0</v>
      </c>
      <c r="I67" s="211"/>
      <c r="J67" s="290"/>
      <c r="K67" s="212"/>
      <c r="L67" s="63"/>
      <c r="M67" s="284" t="s">
        <v>93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70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1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60</v>
      </c>
      <c r="C73" s="211"/>
      <c r="D73" s="472" t="n">
        <f aca="false">B73+B71</f>
        <v>260</v>
      </c>
      <c r="E73" s="212" t="s">
        <v>224</v>
      </c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284" t="s">
        <v>99</v>
      </c>
      <c r="N73" s="129" t="n">
        <f aca="false">N72*H29</f>
        <v>54</v>
      </c>
      <c r="O73" s="211"/>
      <c r="P73" s="290" t="n">
        <f aca="false">N73+N71</f>
        <v>214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275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297.916666666667</v>
      </c>
      <c r="C76" s="211"/>
      <c r="D76" s="290" t="n">
        <f aca="false">B76</f>
        <v>297.916666666667</v>
      </c>
      <c r="E76" s="212"/>
      <c r="F76" s="63"/>
      <c r="G76" s="284" t="s">
        <v>279</v>
      </c>
      <c r="H76" s="129" t="n">
        <f aca="false">((H74+H75)/12)*(H29-11)</f>
        <v>13.75</v>
      </c>
      <c r="I76" s="211"/>
      <c r="J76" s="290" t="n">
        <f aca="false">H76</f>
        <v>13.75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444.444444444444</v>
      </c>
      <c r="C77" s="473"/>
      <c r="D77" s="290" t="n">
        <f aca="false">B77</f>
        <v>444.444444444444</v>
      </c>
      <c r="E77" s="466" t="n">
        <f aca="false">D77/(B58+B57)</f>
        <v>37.037037037037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473"/>
      <c r="D78" s="290" t="n">
        <f aca="false">B78</f>
        <v>222.222222222222</v>
      </c>
      <c r="E78" s="466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473"/>
      <c r="D79" s="290" t="n">
        <f aca="false">B79</f>
        <v>200</v>
      </c>
      <c r="E79" s="466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473"/>
      <c r="D80" s="290" t="n">
        <f aca="false">B80</f>
        <v>200</v>
      </c>
      <c r="E80" s="466" t="n">
        <f aca="false">(D73+D76+D79+D80)/(B58+B57)</f>
        <v>79.8263888888889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3346.58333333333</v>
      </c>
      <c r="C81" s="473"/>
      <c r="D81" s="474"/>
      <c r="E81" s="466"/>
      <c r="F81" s="63"/>
      <c r="G81" s="302" t="s">
        <v>102</v>
      </c>
      <c r="H81" s="303" t="n">
        <f aca="false">SUM(J64:J80)</f>
        <v>627.75</v>
      </c>
      <c r="I81" s="211"/>
      <c r="J81" s="211"/>
      <c r="K81" s="212"/>
      <c r="L81" s="63"/>
      <c r="M81" s="302" t="s">
        <v>102</v>
      </c>
      <c r="N81" s="303" t="n">
        <f aca="false">SUM(P64:P80)</f>
        <v>614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278.881944444444</v>
      </c>
      <c r="C82" s="473"/>
      <c r="D82" s="211"/>
      <c r="E82" s="466"/>
      <c r="F82" s="63"/>
      <c r="G82" s="210" t="s">
        <v>103</v>
      </c>
      <c r="H82" s="299" t="n">
        <f aca="false">H81/H29</f>
        <v>52.3125</v>
      </c>
      <c r="I82" s="211"/>
      <c r="J82" s="211"/>
      <c r="K82" s="212"/>
      <c r="L82" s="63"/>
      <c r="M82" s="210" t="s">
        <v>103</v>
      </c>
      <c r="N82" s="299" t="n">
        <f aca="false">N81/H29</f>
        <v>51.1666666666667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1419.14509593885</v>
      </c>
      <c r="C83" s="473"/>
      <c r="D83" s="211"/>
      <c r="E83" s="466" t="n">
        <f aca="false">B83+E80+E77+E64</f>
        <v>1679.50852186478</v>
      </c>
      <c r="F83" s="63"/>
      <c r="G83" s="304" t="s">
        <v>104</v>
      </c>
      <c r="H83" s="305" t="n">
        <f aca="false">H47</f>
        <v>1419.14509593885</v>
      </c>
      <c r="I83" s="211"/>
      <c r="J83" s="211"/>
      <c r="K83" s="212"/>
      <c r="L83" s="63"/>
      <c r="M83" s="304" t="s">
        <v>104</v>
      </c>
      <c r="N83" s="305" t="n">
        <f aca="false">H47</f>
        <v>1419.14509593885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3"/>
      <c r="D84" s="473"/>
      <c r="E84" s="466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((B83*H29)+B81)*1.2</f>
        <v>24451.5893815195</v>
      </c>
      <c r="C85" s="473"/>
      <c r="D85" s="473"/>
      <c r="E85" s="466" t="n">
        <f aca="false">B85/(B58+B57)</f>
        <v>2037.63244845996</v>
      </c>
      <c r="F85" s="63"/>
      <c r="G85" s="287" t="s">
        <v>114</v>
      </c>
      <c r="H85" s="127" t="n">
        <f aca="false">((H83*H29)+H81)*1.2</f>
        <v>21188.9893815195</v>
      </c>
      <c r="I85" s="211"/>
      <c r="J85" s="211"/>
      <c r="K85" s="212"/>
      <c r="L85" s="63"/>
      <c r="M85" s="287" t="s">
        <v>114</v>
      </c>
      <c r="N85" s="127" t="n">
        <f aca="false">((N83*H29)+N81)</f>
        <v>17643.7411512662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172.611058562562</v>
      </c>
      <c r="C86" s="473" t="s">
        <v>227</v>
      </c>
      <c r="D86" s="211"/>
      <c r="E86" s="466" t="n">
        <f aca="false">B86/(B58+B57)</f>
        <v>14.3842548802135</v>
      </c>
      <c r="F86" s="63"/>
      <c r="G86" s="210" t="s">
        <v>115</v>
      </c>
      <c r="H86" s="299" t="n">
        <f aca="false">((((H83*H29)+H81))/(1-H70))*H70</f>
        <v>149.579392568209</v>
      </c>
      <c r="I86" s="211"/>
      <c r="J86" s="211"/>
      <c r="K86" s="212"/>
      <c r="L86" s="63"/>
      <c r="M86" s="210" t="s">
        <v>115</v>
      </c>
      <c r="N86" s="299" t="n">
        <f aca="false">(N85/(1-N70))*N70</f>
        <v>149.462914149492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24624.200440082</v>
      </c>
      <c r="C87" s="473"/>
      <c r="D87" s="475"/>
      <c r="E87" s="466" t="n">
        <f aca="false">E86+E85</f>
        <v>2052.01670334017</v>
      </c>
      <c r="F87" s="63"/>
      <c r="G87" s="284" t="s">
        <v>116</v>
      </c>
      <c r="H87" s="129" t="n">
        <f aca="false">IF(H110="YES",((H85+H86)-K114),(H85+H86))</f>
        <v>21338.5687740877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17793.2040654157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3"/>
      <c r="D88" s="211"/>
      <c r="E88" s="466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(I32+(I32*B105))/(B57+B58))*(C45/100)*1.2</f>
        <v>36.9408</v>
      </c>
      <c r="C89" s="473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80.2334117647059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66.8611764705882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2052.01670334017</v>
      </c>
      <c r="C90" s="473"/>
      <c r="D90" s="211"/>
      <c r="E90" s="476"/>
      <c r="F90" s="63"/>
      <c r="G90" s="307" t="s">
        <v>118</v>
      </c>
      <c r="H90" s="308" t="n">
        <f aca="false">IF(H99=Y98, (H87-J105)/(H58), H87/(H57+H58))</f>
        <v>1255.20992788751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1046.65906267151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2088.95750334017</v>
      </c>
      <c r="C91" s="473"/>
      <c r="D91" s="477"/>
      <c r="E91" s="429"/>
      <c r="F91" s="63"/>
      <c r="G91" s="309" t="s">
        <v>119</v>
      </c>
      <c r="H91" s="310" t="n">
        <f aca="false">IF(G105="YES", H90+H89, H90)</f>
        <v>1335.44333965222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1113.5202391421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8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375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9"/>
      <c r="C97" s="479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261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</v>
      </c>
      <c r="E99" s="103"/>
      <c r="F99" s="63"/>
      <c r="G99" s="216" t="s">
        <v>284</v>
      </c>
      <c r="H99" s="311" t="s">
        <v>263</v>
      </c>
      <c r="I99" s="311"/>
      <c r="J99" s="103" t="n">
        <v>0</v>
      </c>
      <c r="K99" s="103"/>
      <c r="L99" s="63"/>
      <c r="M99" s="216" t="s">
        <v>284</v>
      </c>
      <c r="N99" s="311" t="s">
        <v>263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262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263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376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264</v>
      </c>
      <c r="Z101" s="63"/>
    </row>
    <row r="102" customFormat="false" ht="18.75" hidden="false" customHeight="true" outlineLevel="0" collapsed="false">
      <c r="A102" s="312" t="n">
        <v>239.99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0.3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(E118)+E117-E114</f>
        <v>-2760.01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250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1255.20992788751</v>
      </c>
      <c r="H127" s="174" t="n">
        <f aca="false">IF(G105="YES", H89*H57, 0)</f>
        <v>481.400470588235</v>
      </c>
      <c r="I127" s="174"/>
      <c r="J127" s="333" t="n">
        <f aca="false">H91</f>
        <v>1335.44333965222</v>
      </c>
      <c r="K127" s="212"/>
      <c r="L127" s="63"/>
      <c r="M127" s="332" t="n">
        <f aca="false">N90</f>
        <v>1046.65906267151</v>
      </c>
      <c r="N127" s="174" t="n">
        <f aca="false">IF(M105="YES", N89*N57, 0)</f>
        <v>401.167058823529</v>
      </c>
      <c r="O127" s="174"/>
      <c r="P127" s="174" t="n">
        <f aca="false">N91</f>
        <v>1113.5202391421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2052.01670334017</v>
      </c>
      <c r="B128" s="320" t="n">
        <f aca="false">IF(A105="YES", B89, 0)</f>
        <v>36.9408</v>
      </c>
      <c r="C128" s="324"/>
      <c r="D128" s="320" t="n">
        <f aca="false">B91</f>
        <v>2088.95750334017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12</v>
      </c>
      <c r="H130" s="225" t="n">
        <f aca="false">B151</f>
        <v>0</v>
      </c>
      <c r="I130" s="226"/>
      <c r="J130" s="225" t="n">
        <f aca="false">B58</f>
        <v>11</v>
      </c>
      <c r="K130" s="212"/>
      <c r="L130" s="63"/>
      <c r="M130" s="224" t="n">
        <f aca="false">M155</f>
        <v>12</v>
      </c>
      <c r="N130" s="225" t="n">
        <f aca="false">B151</f>
        <v>0</v>
      </c>
      <c r="O130" s="226"/>
      <c r="P130" s="225" t="n">
        <f aca="false">B58</f>
        <v>11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2052.01670334017</v>
      </c>
      <c r="C131" s="316"/>
      <c r="D131" s="38" t="n">
        <f aca="false">IF(A105="YES", B89*B57, 0)</f>
        <v>36.9408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239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7531.25956732506</v>
      </c>
      <c r="H133" s="99" t="n">
        <f aca="false">IF(G105="YES", H89*H57, 0)</f>
        <v>481.400470588235</v>
      </c>
      <c r="I133" s="217"/>
      <c r="J133" s="181" t="n">
        <f aca="false">H91*H57</f>
        <v>8012.6600379133</v>
      </c>
      <c r="K133" s="212"/>
      <c r="L133" s="63"/>
      <c r="M133" s="182" t="n">
        <f aca="false">N90*N57</f>
        <v>6279.95437602908</v>
      </c>
      <c r="N133" s="99" t="n">
        <f aca="false">IF(M105="YES", N89*N57, 0)</f>
        <v>401.167058823529</v>
      </c>
      <c r="O133" s="217"/>
      <c r="P133" s="181" t="n">
        <f aca="false">N91*N57</f>
        <v>6681.12143485261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2088.95750334017</v>
      </c>
      <c r="B134" s="38" t="n">
        <f aca="false">E114</f>
        <v>4000</v>
      </c>
      <c r="C134" s="316"/>
      <c r="D134" s="336" t="n">
        <f aca="false">B58</f>
        <v>11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252</v>
      </c>
      <c r="N135" s="211" t="s">
        <v>253</v>
      </c>
      <c r="O135" s="211"/>
      <c r="P135" s="211" t="s">
        <v>257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2052.01670334017</v>
      </c>
      <c r="B137" s="38" t="n">
        <f aca="false">IF(A105="YES", B89, 0)</f>
        <v>36.9408</v>
      </c>
      <c r="C137" s="316"/>
      <c r="D137" s="38" t="n">
        <f aca="false">B91</f>
        <v>2088.95750334017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29.17872</v>
      </c>
      <c r="B140" s="342" t="n">
        <f aca="false">IF(A105="YES", B61*0.000002, 0)*1.2*100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5.6832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5.6832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405.26</v>
      </c>
      <c r="B148" s="99" t="n">
        <f aca="false">B102</f>
        <v>400</v>
      </c>
      <c r="C148" s="38"/>
      <c r="D148" s="38" t="n">
        <f aca="false">IF(A105="YES", (B40*B105)*B125, 0)*0.1</f>
        <v>8.5248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913.776466666667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1335.44333965222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12</v>
      </c>
      <c r="N155" s="74" t="n">
        <f aca="false">N91</f>
        <v>1113.5202391421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2088.95750334017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12</v>
      </c>
      <c r="C174" s="356"/>
      <c r="D174" s="323" t="n">
        <f aca="false">D125</f>
        <v>35000</v>
      </c>
      <c r="E174" s="321"/>
      <c r="F174" s="63"/>
      <c r="G174" s="386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2052.01670334017</v>
      </c>
      <c r="B177" s="354" t="n">
        <f aca="false">IF(A105="YES", B89, 0)</f>
        <v>36.9408</v>
      </c>
      <c r="C177" s="356"/>
      <c r="D177" s="354" t="n">
        <f aca="false">B91</f>
        <v>2088.95750334017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2052.01670334017</v>
      </c>
      <c r="C180" s="352"/>
      <c r="D180" s="99" t="n">
        <f aca="false">IF(A105="YES", B89*B57, 0)</f>
        <v>36.9408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2088.95750334017</v>
      </c>
      <c r="B183" s="99" t="n">
        <f aca="false">E114</f>
        <v>4000</v>
      </c>
      <c r="C183" s="352"/>
      <c r="D183" s="360" t="n">
        <f aca="false">B58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2052.01670334017</v>
      </c>
      <c r="B186" s="99" t="n">
        <f aca="false">IF(A105="YES", B89, 0)</f>
        <v>36.9408</v>
      </c>
      <c r="C186" s="352"/>
      <c r="D186" s="99" t="n">
        <f aca="false">B91</f>
        <v>2088.95750334017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29.17872</v>
      </c>
      <c r="B189" s="364" t="n">
        <f aca="false">B140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239.99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405.26</v>
      </c>
      <c r="B197" s="99" t="n">
        <f aca="false">B102</f>
        <v>400</v>
      </c>
      <c r="C197" s="99"/>
      <c r="D197" s="99" t="n">
        <f aca="false">IF(A105="YES", (B40*B105)*B125, 0)*0.1</f>
        <v>8.5248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E118/1.2-100</f>
        <v>99.9916666666667</v>
      </c>
      <c r="B200" s="99" t="n">
        <f aca="false">(A148+B148+D148+A151)*(A143/B64)</f>
        <v>0</v>
      </c>
      <c r="C200" s="99"/>
      <c r="D200" s="99" t="n">
        <f aca="false">(A148+B148+D148+A151)-B151</f>
        <v>913.776466666667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1722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405.26</v>
      </c>
      <c r="C211" s="319" t="s">
        <v>214</v>
      </c>
      <c r="D211" s="369" t="n">
        <f aca="false">B225+E221+B221+B223</f>
        <v>425.239666666667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1741.97966666667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1722</v>
      </c>
      <c r="C217" s="374" t="s">
        <v>218</v>
      </c>
      <c r="D217" s="316"/>
      <c r="E217" s="375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405.26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40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200</v>
      </c>
      <c r="C223" s="335" t="s">
        <v>215</v>
      </c>
      <c r="D223" s="316"/>
      <c r="E223" s="33" t="n">
        <f aca="false">(B217-B211+D211)</f>
        <v>1741.97966666667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85.248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200</v>
      </c>
      <c r="C229" s="335" t="s">
        <v>223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172.611058562562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200</v>
      </c>
      <c r="C233" s="381" t="s">
        <v>330</v>
      </c>
      <c r="D233" s="382"/>
      <c r="E233" s="146" t="n">
        <f aca="false">B74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200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60000</v>
      </c>
      <c r="C2" s="4" t="s">
        <v>2</v>
      </c>
      <c r="D2" s="5" t="n">
        <f aca="false">C9</f>
        <v>12000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72000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60000</v>
      </c>
      <c r="C9" s="14" t="n">
        <f aca="false">B9*0.2</f>
        <v>12000</v>
      </c>
      <c r="D9" s="270"/>
      <c r="E9" s="270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60000</v>
      </c>
      <c r="C15" s="14" t="n">
        <f aca="false">SUM(C9:C13)</f>
        <v>12000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72000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60000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349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7" t="n">
        <v>35</v>
      </c>
      <c r="I29" s="386"/>
      <c r="J29" s="63"/>
      <c r="K29" s="63" t="n">
        <v>35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346</v>
      </c>
      <c r="C30" s="169"/>
      <c r="D30" s="211"/>
      <c r="E30" s="212"/>
      <c r="F30" s="63"/>
      <c r="G30" s="214" t="s">
        <v>32</v>
      </c>
      <c r="H30" s="457" t="n">
        <v>35000</v>
      </c>
      <c r="I30" s="63"/>
      <c r="J30" s="63"/>
      <c r="K30" s="63" t="n">
        <v>35000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0</v>
      </c>
      <c r="I31" s="63"/>
      <c r="J31" s="63"/>
      <c r="K31" s="63" t="n">
        <v>80000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8" t="s">
        <v>350</v>
      </c>
      <c r="E32" s="212"/>
      <c r="F32" s="63"/>
      <c r="G32" s="214" t="s">
        <v>36</v>
      </c>
      <c r="I32" s="448" t="n">
        <v>0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35</v>
      </c>
      <c r="B33" s="225" t="n">
        <v>10000</v>
      </c>
      <c r="C33" s="226"/>
      <c r="D33" s="459" t="n">
        <f aca="false">H48</f>
        <v>1886.54203550445</v>
      </c>
      <c r="E33" s="212"/>
      <c r="F33" s="63"/>
      <c r="G33" s="215" t="s">
        <v>351</v>
      </c>
      <c r="H33" s="460" t="n">
        <f aca="false">E21-E11</f>
        <v>60000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370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352</v>
      </c>
      <c r="B35" s="211" t="s">
        <v>353</v>
      </c>
      <c r="C35" s="211"/>
      <c r="D35" s="211" t="s">
        <v>354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1886.54203550445</v>
      </c>
      <c r="B36" s="99" t="n">
        <f aca="false">IF(B26="YES", H42, "")</f>
        <v>0</v>
      </c>
      <c r="C36" s="217"/>
      <c r="D36" s="181" t="n">
        <f aca="false">H31</f>
        <v>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355</v>
      </c>
      <c r="B39" s="211" t="s">
        <v>356</v>
      </c>
      <c r="C39" s="211"/>
      <c r="D39" s="211" t="s">
        <v>357</v>
      </c>
      <c r="E39" s="212"/>
      <c r="F39" s="63"/>
      <c r="G39" s="63" t="s">
        <v>84</v>
      </c>
      <c r="H39" s="234" t="n">
        <f aca="false">H33</f>
        <v>60000</v>
      </c>
      <c r="I39" s="234" t="n">
        <f aca="false">(I48*H46)+H44</f>
        <v>44525.9095313712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0</v>
      </c>
      <c r="B40" s="103" t="n">
        <f aca="false">IF(B26="YES",H42,"0")</f>
        <v>0</v>
      </c>
      <c r="C40" s="103"/>
      <c r="D40" s="181" t="n">
        <f aca="false">I32</f>
        <v>0</v>
      </c>
      <c r="E40" s="212"/>
      <c r="F40" s="63"/>
      <c r="G40" s="63" t="s">
        <v>106</v>
      </c>
      <c r="H40" s="234" t="n">
        <f aca="false">A40/1.2</f>
        <v>0</v>
      </c>
      <c r="I40" s="234" t="n">
        <f aca="false">H39-I39</f>
        <v>15474.0904686288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358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359</v>
      </c>
      <c r="H42" s="234" t="n">
        <f aca="false">(I32/H34)*(C45/100)</f>
        <v>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360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1"/>
      <c r="C44" s="362" t="s">
        <v>77</v>
      </c>
      <c r="D44" s="362"/>
      <c r="E44" s="212"/>
      <c r="F44" s="63"/>
      <c r="G44" s="63" t="s">
        <v>371</v>
      </c>
      <c r="H44" s="234" t="n">
        <f aca="false">(H40/(1+H41)^(H34+1))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1"/>
      <c r="C45" s="463" t="n">
        <v>100</v>
      </c>
      <c r="D45" s="463"/>
      <c r="E45" s="212"/>
      <c r="F45" s="63"/>
      <c r="G45" s="63" t="s">
        <v>372</v>
      </c>
      <c r="H45" s="234" t="n">
        <f aca="false">(H39-H44)</f>
        <v>60000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373</v>
      </c>
      <c r="H46" s="234" t="n">
        <f aca="false">((1-(1/((1+H41)^H34)))/H41)</f>
        <v>31.8042210938366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364</v>
      </c>
      <c r="H47" s="234" t="n">
        <f aca="false">H45/H46</f>
        <v>1886.54203550445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4" t="s">
        <v>365</v>
      </c>
      <c r="H48" s="234" t="n">
        <f aca="false">IF(B26="YES", H47+H42, H47)</f>
        <v>1886.54203550445</v>
      </c>
      <c r="I48" s="234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366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35</v>
      </c>
      <c r="B52" s="74" t="n">
        <f aca="false">H48</f>
        <v>1886.54203550445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34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34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34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374</v>
      </c>
      <c r="B60" s="211" t="n">
        <f aca="false">E19</f>
        <v>72000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40526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0.103541666666667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0.103541666666667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0.103541666666667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7455</v>
      </c>
      <c r="C64" s="465" t="n">
        <v>10000</v>
      </c>
      <c r="D64" s="290" t="n">
        <f aca="false">B64</f>
        <v>7455</v>
      </c>
      <c r="E64" s="466" t="n">
        <f aca="false">D64/(B58+B57)</f>
        <v>213</v>
      </c>
      <c r="F64" s="63"/>
      <c r="G64" s="284" t="s">
        <v>90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90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0.0195833333333333</v>
      </c>
      <c r="C66" s="467" t="s">
        <v>218</v>
      </c>
      <c r="D66" s="211"/>
      <c r="E66" s="212"/>
      <c r="F66" s="63"/>
      <c r="G66" s="210" t="s">
        <v>92</v>
      </c>
      <c r="H66" s="293" t="n">
        <f aca="false">H65+(H65*0.5*(H29/12-1))</f>
        <v>0.0195833333333333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0.0195833333333333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793.634166666667</v>
      </c>
      <c r="C67" s="468" t="s">
        <v>218</v>
      </c>
      <c r="D67" s="469"/>
      <c r="E67" s="212"/>
      <c r="F67" s="63"/>
      <c r="G67" s="284" t="s">
        <v>93</v>
      </c>
      <c r="H67" s="129" t="n">
        <f aca="false">(H61*H66)/1.2</f>
        <v>0</v>
      </c>
      <c r="I67" s="211"/>
      <c r="J67" s="290"/>
      <c r="K67" s="212"/>
      <c r="L67" s="63"/>
      <c r="M67" s="284" t="s">
        <v>93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70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1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175</v>
      </c>
      <c r="C73" s="211"/>
      <c r="D73" s="472" t="n">
        <f aca="false">B73+B71</f>
        <v>375</v>
      </c>
      <c r="E73" s="212" t="s">
        <v>224</v>
      </c>
      <c r="F73" s="63"/>
      <c r="G73" s="284" t="s">
        <v>99</v>
      </c>
      <c r="H73" s="129" t="n">
        <f aca="false">H72*H29</f>
        <v>157.5</v>
      </c>
      <c r="I73" s="211"/>
      <c r="J73" s="290" t="n">
        <f aca="false">H73+H71</f>
        <v>317.5</v>
      </c>
      <c r="K73" s="212"/>
      <c r="L73" s="63"/>
      <c r="M73" s="284" t="s">
        <v>99</v>
      </c>
      <c r="N73" s="129" t="n">
        <f aca="false">N72*H29</f>
        <v>157.5</v>
      </c>
      <c r="O73" s="211"/>
      <c r="P73" s="290" t="n">
        <f aca="false">N73+N71</f>
        <v>317.5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275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825</v>
      </c>
      <c r="C76" s="211"/>
      <c r="D76" s="290" t="n">
        <f aca="false">B76</f>
        <v>825</v>
      </c>
      <c r="E76" s="212"/>
      <c r="F76" s="63"/>
      <c r="G76" s="284" t="s">
        <v>279</v>
      </c>
      <c r="H76" s="129" t="n">
        <f aca="false">((H74+H75)/12)*(H29-11)</f>
        <v>330</v>
      </c>
      <c r="I76" s="211"/>
      <c r="J76" s="290" t="n">
        <f aca="false">H76</f>
        <v>330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444.444444444444</v>
      </c>
      <c r="C77" s="473"/>
      <c r="D77" s="290" t="n">
        <f aca="false">B77</f>
        <v>444.444444444444</v>
      </c>
      <c r="E77" s="466" t="n">
        <f aca="false">D77/(B58+B57)</f>
        <v>12.6984126984127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473"/>
      <c r="D78" s="290" t="n">
        <f aca="false">B78</f>
        <v>222.222222222222</v>
      </c>
      <c r="E78" s="466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473"/>
      <c r="D79" s="290" t="n">
        <f aca="false">B79</f>
        <v>200</v>
      </c>
      <c r="E79" s="466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473"/>
      <c r="D80" s="290" t="n">
        <f aca="false">B80</f>
        <v>200</v>
      </c>
      <c r="E80" s="466" t="n">
        <f aca="false">(D73+D76+D79+D80)/(B58+B57)</f>
        <v>45.7142857142857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9721.66666666667</v>
      </c>
      <c r="C81" s="473"/>
      <c r="D81" s="474"/>
      <c r="E81" s="466"/>
      <c r="F81" s="63"/>
      <c r="G81" s="302" t="s">
        <v>102</v>
      </c>
      <c r="H81" s="303" t="n">
        <f aca="false">SUM(J64:J80)</f>
        <v>1047.5</v>
      </c>
      <c r="I81" s="211"/>
      <c r="J81" s="211"/>
      <c r="K81" s="212"/>
      <c r="L81" s="63"/>
      <c r="M81" s="302" t="s">
        <v>102</v>
      </c>
      <c r="N81" s="303" t="n">
        <f aca="false">SUM(P64:P80)</f>
        <v>717.5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277.761904761905</v>
      </c>
      <c r="C82" s="473"/>
      <c r="D82" s="211"/>
      <c r="E82" s="466"/>
      <c r="F82" s="63"/>
      <c r="G82" s="210" t="s">
        <v>103</v>
      </c>
      <c r="H82" s="299" t="n">
        <f aca="false">H81/H29</f>
        <v>29.9285714285714</v>
      </c>
      <c r="I82" s="211"/>
      <c r="J82" s="211"/>
      <c r="K82" s="212"/>
      <c r="L82" s="63"/>
      <c r="M82" s="210" t="s">
        <v>103</v>
      </c>
      <c r="N82" s="299" t="n">
        <f aca="false">N81/H29</f>
        <v>20.5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1886.54203550445</v>
      </c>
      <c r="C83" s="473"/>
      <c r="D83" s="211"/>
      <c r="E83" s="466" t="n">
        <f aca="false">B83+E80+E77+E64</f>
        <v>2157.95473391715</v>
      </c>
      <c r="F83" s="63"/>
      <c r="G83" s="304" t="s">
        <v>104</v>
      </c>
      <c r="H83" s="305" t="n">
        <f aca="false">H47</f>
        <v>1886.54203550445</v>
      </c>
      <c r="I83" s="211"/>
      <c r="J83" s="211"/>
      <c r="K83" s="212"/>
      <c r="L83" s="63"/>
      <c r="M83" s="304" t="s">
        <v>104</v>
      </c>
      <c r="N83" s="305" t="n">
        <f aca="false">H47</f>
        <v>1886.54203550445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3"/>
      <c r="D84" s="473"/>
      <c r="E84" s="466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</f>
        <v>75750.6379093224</v>
      </c>
      <c r="C85" s="473"/>
      <c r="D85" s="473"/>
      <c r="E85" s="466" t="n">
        <f aca="false">B85/(B58+B57)</f>
        <v>2164.30394026635</v>
      </c>
      <c r="F85" s="63"/>
      <c r="G85" s="287" t="s">
        <v>114</v>
      </c>
      <c r="H85" s="127" t="n">
        <f aca="false">((H83*H29)+H81)*1.2</f>
        <v>80491.7654911869</v>
      </c>
      <c r="I85" s="211"/>
      <c r="J85" s="211"/>
      <c r="K85" s="212"/>
      <c r="L85" s="63"/>
      <c r="M85" s="287" t="s">
        <v>114</v>
      </c>
      <c r="N85" s="127" t="n">
        <f aca="false">((N83*H29)+N81)</f>
        <v>66746.4712426558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641.695601490831</v>
      </c>
      <c r="C86" s="473" t="s">
        <v>227</v>
      </c>
      <c r="D86" s="211"/>
      <c r="E86" s="466" t="n">
        <f aca="false">B86/(B58+B57)</f>
        <v>18.3341600425952</v>
      </c>
      <c r="F86" s="63"/>
      <c r="G86" s="210" t="s">
        <v>115</v>
      </c>
      <c r="H86" s="299" t="n">
        <f aca="false">((((H83*H29)+H81))/(1-H70))*H70</f>
        <v>568.215367525523</v>
      </c>
      <c r="I86" s="211"/>
      <c r="J86" s="211"/>
      <c r="K86" s="212"/>
      <c r="L86" s="63"/>
      <c r="M86" s="210" t="s">
        <v>115</v>
      </c>
      <c r="N86" s="299" t="n">
        <f aca="false">(N85/(1-N70))*N70</f>
        <v>565.419885476309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76392.3335108133</v>
      </c>
      <c r="C87" s="473"/>
      <c r="D87" s="475"/>
      <c r="E87" s="466" t="n">
        <f aca="false">E86+E85</f>
        <v>2182.63810030895</v>
      </c>
      <c r="F87" s="63"/>
      <c r="G87" s="284" t="s">
        <v>116</v>
      </c>
      <c r="H87" s="129" t="n">
        <f aca="false">IF(H110="YES",((H85+H86)-K114),(H85+H86))</f>
        <v>81059.9808587124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67311.8911281321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3"/>
      <c r="D88" s="211"/>
      <c r="E88" s="466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</f>
        <v>0</v>
      </c>
      <c r="C89" s="473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0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0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2182.63810030895</v>
      </c>
      <c r="C90" s="473"/>
      <c r="D90" s="211"/>
      <c r="E90" s="476"/>
      <c r="F90" s="63"/>
      <c r="G90" s="307" t="s">
        <v>118</v>
      </c>
      <c r="H90" s="308" t="n">
        <f aca="false">IF(H99=Y98, (H87-J105)/(H58), H87/(H57+H58))</f>
        <v>2026.49952146781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1682.7972782033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2182.63810030895</v>
      </c>
      <c r="C91" s="473"/>
      <c r="D91" s="477"/>
      <c r="E91" s="429"/>
      <c r="F91" s="63"/>
      <c r="G91" s="309" t="s">
        <v>119</v>
      </c>
      <c r="H91" s="310" t="n">
        <f aca="false">IF(G105="YES", H90+H89, H90)</f>
        <v>2026.49952146781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1682.7972782033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8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375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9"/>
      <c r="C97" s="479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261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</v>
      </c>
      <c r="E99" s="103"/>
      <c r="F99" s="63"/>
      <c r="G99" s="216" t="s">
        <v>284</v>
      </c>
      <c r="H99" s="311" t="s">
        <v>263</v>
      </c>
      <c r="I99" s="311"/>
      <c r="J99" s="103" t="n">
        <v>0</v>
      </c>
      <c r="K99" s="103"/>
      <c r="L99" s="63"/>
      <c r="M99" s="216" t="s">
        <v>284</v>
      </c>
      <c r="N99" s="311" t="s">
        <v>263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262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263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376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264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0.2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(E118*1.2)+E117-E114</f>
        <v>-2760.012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35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250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2026.49952146781</v>
      </c>
      <c r="H127" s="174" t="n">
        <f aca="false">IF(G105="YES", H89*H57, 0)</f>
        <v>0</v>
      </c>
      <c r="I127" s="174"/>
      <c r="J127" s="333" t="n">
        <f aca="false">H91</f>
        <v>2026.49952146781</v>
      </c>
      <c r="K127" s="212"/>
      <c r="L127" s="63"/>
      <c r="M127" s="332" t="n">
        <f aca="false">N90</f>
        <v>1682.7972782033</v>
      </c>
      <c r="N127" s="174" t="n">
        <f aca="false">IF(M105="YES", N89*N57, 0)</f>
        <v>0</v>
      </c>
      <c r="O127" s="174"/>
      <c r="P127" s="174" t="n">
        <f aca="false">N91</f>
        <v>1682.7972782033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2182.63810030895</v>
      </c>
      <c r="B128" s="320" t="n">
        <f aca="false">IF(A105="YES", B89, 0)</f>
        <v>0</v>
      </c>
      <c r="C128" s="324"/>
      <c r="D128" s="320" t="n">
        <f aca="false">B91</f>
        <v>2182.63810030895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35</v>
      </c>
      <c r="H130" s="225" t="n">
        <f aca="false">B151</f>
        <v>0</v>
      </c>
      <c r="I130" s="226"/>
      <c r="J130" s="225" t="n">
        <f aca="false">B58</f>
        <v>34</v>
      </c>
      <c r="K130" s="212"/>
      <c r="L130" s="63"/>
      <c r="M130" s="224" t="n">
        <f aca="false">M155</f>
        <v>35</v>
      </c>
      <c r="N130" s="225" t="n">
        <f aca="false">B151</f>
        <v>0</v>
      </c>
      <c r="O130" s="226"/>
      <c r="P130" s="225" t="n">
        <f aca="false">B58</f>
        <v>34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2182.63810030895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239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12158.9971288069</v>
      </c>
      <c r="H133" s="99" t="n">
        <f aca="false">IF(G105="YES", H89*H57, 0)</f>
        <v>0</v>
      </c>
      <c r="I133" s="217"/>
      <c r="J133" s="181" t="n">
        <f aca="false">H91*H57</f>
        <v>12158.9971288069</v>
      </c>
      <c r="K133" s="212"/>
      <c r="L133" s="63"/>
      <c r="M133" s="182" t="n">
        <f aca="false">N90*N57</f>
        <v>10096.7836692198</v>
      </c>
      <c r="N133" s="99" t="n">
        <f aca="false">IF(M105="YES", N89*N57, 0)</f>
        <v>0</v>
      </c>
      <c r="O133" s="217"/>
      <c r="P133" s="181" t="n">
        <f aca="false">N91*N57</f>
        <v>10096.7836692198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2182.63810030895</v>
      </c>
      <c r="B134" s="38" t="n">
        <f aca="false">E114</f>
        <v>4000</v>
      </c>
      <c r="C134" s="316"/>
      <c r="D134" s="336" t="n">
        <f aca="false">B58</f>
        <v>34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252</v>
      </c>
      <c r="N135" s="211" t="s">
        <v>253</v>
      </c>
      <c r="O135" s="211"/>
      <c r="P135" s="211" t="s">
        <v>257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2182.63810030895</v>
      </c>
      <c r="B137" s="38" t="n">
        <f aca="false">IF(A105="YES", B89, 0)</f>
        <v>0</v>
      </c>
      <c r="C137" s="316"/>
      <c r="D137" s="38" t="n">
        <f aca="false">B91</f>
        <v>2182.63810030895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29.17872</v>
      </c>
      <c r="B140" s="342" t="n">
        <f aca="false">IF(A105="YES", B61*0.000002, 0)*1.2*100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0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0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793.634166666667</v>
      </c>
      <c r="B148" s="99" t="n">
        <f aca="false">B102</f>
        <v>400</v>
      </c>
      <c r="C148" s="38"/>
      <c r="D148" s="38" t="n">
        <f aca="false">IF(A105="YES", (B40*B105)*B125, 0)*0.1</f>
        <v>0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1293.62416666667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35</v>
      </c>
      <c r="H152" s="74" t="n">
        <f aca="false">H91</f>
        <v>2026.49952146781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35</v>
      </c>
      <c r="N155" s="74" t="n">
        <f aca="false">N91</f>
        <v>1682.7972782033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35</v>
      </c>
      <c r="B161" s="74" t="n">
        <f aca="false">B91</f>
        <v>2182.63810030895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35</v>
      </c>
      <c r="C174" s="356"/>
      <c r="D174" s="323" t="n">
        <f aca="false">D125</f>
        <v>35000</v>
      </c>
      <c r="E174" s="321"/>
      <c r="F174" s="63"/>
      <c r="G174" s="386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2182.63810030895</v>
      </c>
      <c r="B177" s="354" t="n">
        <f aca="false">IF(A105="YES", B89, 0)</f>
        <v>0</v>
      </c>
      <c r="C177" s="356"/>
      <c r="D177" s="354" t="n">
        <f aca="false">B91</f>
        <v>2182.63810030895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2182.63810030895</v>
      </c>
      <c r="C180" s="352"/>
      <c r="D180" s="99" t="n">
        <f aca="false">IF(A105="YES", B89*B57,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2182.63810030895</v>
      </c>
      <c r="B183" s="99" t="n">
        <f aca="false">E114</f>
        <v>4000</v>
      </c>
      <c r="C183" s="352"/>
      <c r="D183" s="360" t="n">
        <f aca="false">B58</f>
        <v>34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2182.63810030895</v>
      </c>
      <c r="B186" s="99" t="n">
        <f aca="false">IF(A105="YES", B89, 0)</f>
        <v>0</v>
      </c>
      <c r="C186" s="352"/>
      <c r="D186" s="99" t="n">
        <f aca="false">B91</f>
        <v>2182.63810030895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29.17872</v>
      </c>
      <c r="B189" s="364" t="n">
        <f aca="false">B140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793.634166666667</v>
      </c>
      <c r="B197" s="99" t="n">
        <f aca="false">B102</f>
        <v>400</v>
      </c>
      <c r="C197" s="99"/>
      <c r="D197" s="99" t="n">
        <f aca="false">IF(A105="YES", (B40*B105)*B125,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1293.62416666667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7455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793.634166666667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7001.35583333333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7455</v>
      </c>
      <c r="C217" s="374" t="s">
        <v>218</v>
      </c>
      <c r="D217" s="316"/>
      <c r="E217" s="375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793.634166666667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200</v>
      </c>
      <c r="C223" s="335" t="s">
        <v>215</v>
      </c>
      <c r="D223" s="316"/>
      <c r="E223" s="33" t="n">
        <f aca="false">(B217-B211+D211)</f>
        <v>7001.35583333333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200</v>
      </c>
      <c r="C229" s="335" t="s">
        <v>223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641.695601490831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200</v>
      </c>
      <c r="C233" s="381" t="s">
        <v>330</v>
      </c>
      <c r="D233" s="382"/>
      <c r="E233" s="146" t="n">
        <f aca="false">B74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200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93" colorId="64" zoomScale="85" zoomScaleNormal="85" zoomScalePageLayoutView="100" workbookViewId="0">
      <selection pane="topLeft" activeCell="E198" activeCellId="0" sqref="E19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396</v>
      </c>
      <c r="B34" s="32"/>
      <c r="C34" s="41" t="s">
        <v>401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22458.33</v>
      </c>
      <c r="B37" s="32"/>
      <c r="C37" s="41" t="s">
        <v>402</v>
      </c>
      <c r="D37" s="41"/>
      <c r="E37" s="32"/>
      <c r="F37" s="43" t="n">
        <f aca="false">A37-C37</f>
        <v>21458.33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396</v>
      </c>
      <c r="B40" s="32"/>
      <c r="C40" s="54" t="n">
        <f aca="false">A34-1</f>
        <v>11</v>
      </c>
      <c r="D40" s="54"/>
      <c r="E40" s="32"/>
      <c r="F40" s="41" t="s">
        <v>393</v>
      </c>
      <c r="G40" s="41"/>
      <c r="H40" s="47"/>
      <c r="J40" s="2" t="s">
        <v>58</v>
      </c>
      <c r="K40" s="2" t="n">
        <f aca="false">C15</f>
        <v>4491.666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290.972166666667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209.027833333333</v>
      </c>
      <c r="L45" s="2"/>
    </row>
    <row r="46" customFormat="false" ht="17.35" hidden="false" customHeight="false" outlineLevel="0" collapsed="false">
      <c r="A46" s="40" t="n">
        <v>0.0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211.6945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211.6945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403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211.6945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10.0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17182.3272688712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146.25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0.0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0.0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0.0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0.0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211.6945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211.6945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211.6945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21458.33</v>
      </c>
      <c r="C90" s="32"/>
      <c r="D90" s="32"/>
      <c r="E90" s="23"/>
      <c r="F90" s="23"/>
      <c r="G90" s="23"/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23"/>
      <c r="G91" s="23"/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0.1255</v>
      </c>
      <c r="C92" s="32"/>
      <c r="D92" s="32"/>
      <c r="E92" s="23"/>
      <c r="F92" s="23"/>
      <c r="G92" s="23"/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0.0104583333333333</v>
      </c>
      <c r="C93" s="32"/>
      <c r="D93" s="32"/>
      <c r="E93" s="23"/>
      <c r="F93" s="23"/>
      <c r="G93" s="23"/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23"/>
      <c r="G94" s="23"/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5295.78483323301</v>
      </c>
      <c r="C95" s="32"/>
      <c r="D95" s="32"/>
      <c r="E95" s="23"/>
      <c r="F95" s="23"/>
      <c r="G95" s="23"/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10.3399216528992</v>
      </c>
      <c r="C96" s="32"/>
      <c r="D96" s="32"/>
      <c r="E96" s="23"/>
      <c r="F96" s="23"/>
      <c r="G96" s="23"/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16162.545166767</v>
      </c>
      <c r="C97" s="32"/>
      <c r="D97" s="32"/>
      <c r="E97" s="23"/>
      <c r="F97" s="23"/>
      <c r="G97" s="23"/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1563.12066080648</v>
      </c>
      <c r="C98" s="32"/>
      <c r="D98" s="32"/>
      <c r="E98" s="23"/>
      <c r="F98" s="23"/>
      <c r="G98" s="23"/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17194.3272688712</v>
      </c>
      <c r="C99" s="32"/>
      <c r="D99" s="32"/>
      <c r="E99" s="23"/>
      <c r="F99" s="23"/>
      <c r="G99" s="23"/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17194.3272688712</v>
      </c>
      <c r="C101" s="32"/>
      <c r="D101" s="32"/>
      <c r="E101" s="23"/>
      <c r="F101" s="23"/>
      <c r="G101" s="23"/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23"/>
      <c r="G103" s="23"/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118</v>
      </c>
      <c r="B104" s="92" t="n">
        <f aca="false">B101/(B94)</f>
        <v>1563.12066080648</v>
      </c>
      <c r="C104" s="32"/>
      <c r="D104" s="32"/>
      <c r="E104" s="23"/>
      <c r="F104" s="23"/>
      <c r="G104" s="23"/>
      <c r="H104" s="33"/>
      <c r="J104" s="91" t="s">
        <v>118</v>
      </c>
      <c r="K104" s="92" t="e">
        <f aca="false">K101/(K94)</f>
        <v>#VALUE!</v>
      </c>
      <c r="L104" s="32"/>
      <c r="M104" s="32"/>
      <c r="N104" s="23"/>
      <c r="O104" s="23"/>
      <c r="P104" s="23"/>
      <c r="Q104" s="33"/>
      <c r="S104" s="91" t="s">
        <v>118</v>
      </c>
      <c r="T104" s="92" t="e">
        <f aca="false">T101/(T94)</f>
        <v>#VALUE!</v>
      </c>
      <c r="U104" s="32"/>
      <c r="V104" s="32"/>
      <c r="W104" s="23"/>
      <c r="X104" s="23"/>
      <c r="Y104" s="23"/>
      <c r="Z104" s="33"/>
      <c r="AB104" s="91" t="s">
        <v>118</v>
      </c>
      <c r="AC104" s="92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119</v>
      </c>
      <c r="B105" s="94" t="n">
        <f aca="false">B103+B104</f>
        <v>1563.12066080648</v>
      </c>
      <c r="C105" s="32"/>
      <c r="D105" s="32"/>
      <c r="E105" s="23" t="s">
        <v>386</v>
      </c>
      <c r="F105" s="23"/>
      <c r="G105" s="23"/>
      <c r="H105" s="33"/>
      <c r="J105" s="93" t="s">
        <v>119</v>
      </c>
      <c r="K105" s="94" t="e">
        <f aca="false">(K103+K104)</f>
        <v>#VALUE!</v>
      </c>
      <c r="L105" s="32"/>
      <c r="M105" s="32"/>
      <c r="N105" s="23"/>
      <c r="O105" s="23"/>
      <c r="P105" s="23"/>
      <c r="Q105" s="33"/>
      <c r="S105" s="93" t="s">
        <v>119</v>
      </c>
      <c r="T105" s="94" t="e">
        <f aca="false">T103+T104</f>
        <v>#VALUE!</v>
      </c>
      <c r="U105" s="32"/>
      <c r="V105" s="32"/>
      <c r="W105" s="23"/>
      <c r="X105" s="23"/>
      <c r="Y105" s="23"/>
      <c r="Z105" s="33"/>
      <c r="AB105" s="93" t="s">
        <v>119</v>
      </c>
      <c r="AC105" s="94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0.0</v>
      </c>
      <c r="C108" s="23"/>
      <c r="D108" s="23" t="n">
        <v>0.0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120</v>
      </c>
      <c r="B109" s="96"/>
      <c r="C109" s="96"/>
      <c r="D109" s="96"/>
      <c r="E109" s="96"/>
      <c r="F109" s="96"/>
      <c r="G109" s="96"/>
      <c r="H109" s="96"/>
      <c r="J109" s="24" t="s">
        <v>121</v>
      </c>
      <c r="K109" s="24"/>
      <c r="L109" s="24"/>
      <c r="M109" s="24"/>
      <c r="N109" s="24"/>
      <c r="O109" s="24"/>
      <c r="P109" s="24"/>
      <c r="Q109" s="24"/>
      <c r="S109" s="96" t="s">
        <v>122</v>
      </c>
      <c r="T109" s="96"/>
      <c r="U109" s="96"/>
      <c r="V109" s="96"/>
      <c r="W109" s="96"/>
      <c r="X109" s="96"/>
      <c r="Y109" s="96"/>
      <c r="Z109" s="96"/>
      <c r="AB109" s="96" t="s">
        <v>123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386</v>
      </c>
      <c r="B111" s="28" t="n">
        <v>0.0</v>
      </c>
      <c r="C111" s="28"/>
      <c r="D111" s="28"/>
      <c r="E111" s="28" t="n">
        <v>0.0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99" t="s">
        <v>128</v>
      </c>
      <c r="C114" s="99"/>
      <c r="D114" s="99"/>
      <c r="E114" s="100" t="s">
        <v>390</v>
      </c>
      <c r="F114" s="100"/>
      <c r="G114" s="100"/>
      <c r="H114" s="98"/>
      <c r="J114" s="36" t="s">
        <v>127</v>
      </c>
      <c r="K114" s="101" t="s">
        <v>128</v>
      </c>
      <c r="L114" s="101"/>
      <c r="M114" s="101"/>
      <c r="N114" s="100" t="s">
        <v>18</v>
      </c>
      <c r="O114" s="100"/>
      <c r="P114" s="100"/>
      <c r="Q114" s="98"/>
      <c r="S114" s="36" t="s">
        <v>127</v>
      </c>
      <c r="T114" s="99" t="s">
        <v>128</v>
      </c>
      <c r="U114" s="99"/>
      <c r="V114" s="99"/>
      <c r="W114" s="100" t="s">
        <v>18</v>
      </c>
      <c r="X114" s="100"/>
      <c r="Y114" s="100"/>
      <c r="Z114" s="98"/>
      <c r="AB114" s="36" t="s">
        <v>127</v>
      </c>
      <c r="AC114" s="99" t="s">
        <v>128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98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98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98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132</v>
      </c>
      <c r="C117" s="103"/>
      <c r="D117" s="103"/>
      <c r="E117" s="104" t="n">
        <f aca="false">B92</f>
        <v>0.1255</v>
      </c>
      <c r="F117" s="104"/>
      <c r="G117" s="104"/>
      <c r="H117" s="47"/>
      <c r="J117" s="102" t="n">
        <v>0.3</v>
      </c>
      <c r="K117" s="103" t="s">
        <v>132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133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133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386</v>
      </c>
      <c r="B120" s="103" t="n">
        <v>0.0</v>
      </c>
      <c r="C120" s="103"/>
      <c r="D120" s="103"/>
      <c r="E120" s="103" t="n">
        <v>0.0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98"/>
      <c r="J122" s="106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98"/>
      <c r="S122" s="106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98"/>
      <c r="AB122" s="106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406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109"/>
      <c r="C127" s="109"/>
      <c r="D127" s="109"/>
      <c r="E127" s="109"/>
      <c r="F127" s="109"/>
      <c r="G127" s="109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143</v>
      </c>
      <c r="C128" s="110"/>
      <c r="D128" s="110" t="s">
        <v>144</v>
      </c>
      <c r="E128" s="110"/>
      <c r="F128" s="110" t="s">
        <v>145</v>
      </c>
      <c r="G128" s="110"/>
      <c r="H128" s="111" t="s">
        <v>146</v>
      </c>
      <c r="J128" s="78"/>
      <c r="K128" s="110" t="s">
        <v>143</v>
      </c>
      <c r="L128" s="110"/>
      <c r="M128" s="110" t="s">
        <v>144</v>
      </c>
      <c r="N128" s="110"/>
      <c r="O128" s="110" t="s">
        <v>145</v>
      </c>
      <c r="P128" s="110"/>
      <c r="Q128" s="111" t="s">
        <v>146</v>
      </c>
      <c r="S128" s="78"/>
      <c r="T128" s="110" t="s">
        <v>143</v>
      </c>
      <c r="U128" s="110"/>
      <c r="V128" s="110" t="s">
        <v>144</v>
      </c>
      <c r="W128" s="110"/>
      <c r="X128" s="110" t="s">
        <v>145</v>
      </c>
      <c r="Y128" s="110"/>
      <c r="Z128" s="111" t="s">
        <v>146</v>
      </c>
      <c r="AB128" s="78"/>
      <c r="AC128" s="110" t="s">
        <v>143</v>
      </c>
      <c r="AD128" s="110"/>
      <c r="AE128" s="110" t="s">
        <v>144</v>
      </c>
      <c r="AF128" s="110"/>
      <c r="AG128" s="110" t="s">
        <v>145</v>
      </c>
      <c r="AH128" s="110"/>
      <c r="AI128" s="111" t="s">
        <v>146</v>
      </c>
    </row>
    <row r="129" customFormat="false" ht="19.7" hidden="false" customHeight="false" outlineLevel="0" collapsed="false">
      <c r="A129" s="80"/>
      <c r="B129" s="112" t="s">
        <v>147</v>
      </c>
      <c r="C129" s="113" t="s">
        <v>148</v>
      </c>
      <c r="D129" s="112" t="s">
        <v>147</v>
      </c>
      <c r="E129" s="114" t="s">
        <v>148</v>
      </c>
      <c r="F129" s="112" t="s">
        <v>147</v>
      </c>
      <c r="G129" s="114" t="s">
        <v>148</v>
      </c>
      <c r="H129" s="115"/>
      <c r="J129" s="80"/>
      <c r="K129" s="112" t="s">
        <v>147</v>
      </c>
      <c r="L129" s="113" t="s">
        <v>148</v>
      </c>
      <c r="M129" s="112" t="s">
        <v>147</v>
      </c>
      <c r="N129" s="114" t="s">
        <v>148</v>
      </c>
      <c r="O129" s="112" t="s">
        <v>147</v>
      </c>
      <c r="P129" s="114" t="s">
        <v>148</v>
      </c>
      <c r="Q129" s="115"/>
      <c r="S129" s="80"/>
      <c r="T129" s="112" t="s">
        <v>147</v>
      </c>
      <c r="U129" s="113" t="s">
        <v>148</v>
      </c>
      <c r="V129" s="112" t="s">
        <v>147</v>
      </c>
      <c r="W129" s="114" t="s">
        <v>148</v>
      </c>
      <c r="X129" s="112" t="s">
        <v>147</v>
      </c>
      <c r="Y129" s="114" t="s">
        <v>148</v>
      </c>
      <c r="Z129" s="115"/>
      <c r="AB129" s="80"/>
      <c r="AC129" s="112" t="s">
        <v>147</v>
      </c>
      <c r="AD129" s="113" t="s">
        <v>148</v>
      </c>
      <c r="AE129" s="112" t="s">
        <v>147</v>
      </c>
      <c r="AF129" s="114" t="s">
        <v>148</v>
      </c>
      <c r="AG129" s="112" t="s">
        <v>147</v>
      </c>
      <c r="AH129" s="114" t="s">
        <v>148</v>
      </c>
      <c r="AI129" s="115"/>
    </row>
    <row r="130" customFormat="false" ht="17.35" hidden="false" customHeight="false" outlineLevel="0" collapsed="false">
      <c r="A130" s="25" t="s">
        <v>149</v>
      </c>
      <c r="B130" s="116" t="n">
        <f aca="false">E19</f>
        <v>26949.996</v>
      </c>
      <c r="C130" s="117" t="n">
        <v>24375.0</v>
      </c>
      <c r="D130" s="116" t="n">
        <f aca="false">D12</f>
        <v>0</v>
      </c>
      <c r="E130" s="117" t="n">
        <f aca="false">D130</f>
        <v>0</v>
      </c>
      <c r="F130" s="116" t="n">
        <v>0</v>
      </c>
      <c r="G130" s="117" t="n">
        <f aca="false">F130</f>
        <v>0</v>
      </c>
      <c r="H130" s="118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18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18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19" t="n">
        <v>0</v>
      </c>
      <c r="C131" s="120" t="n">
        <f aca="false">B131</f>
        <v>0</v>
      </c>
      <c r="D131" s="119" t="n">
        <v>0</v>
      </c>
      <c r="E131" s="120" t="n">
        <f aca="false">D131</f>
        <v>0</v>
      </c>
      <c r="F131" s="119" t="n">
        <v>0</v>
      </c>
      <c r="G131" s="121" t="n">
        <f aca="false">F131</f>
        <v>0</v>
      </c>
      <c r="H131" s="122"/>
      <c r="J131" s="31" t="s">
        <v>150</v>
      </c>
      <c r="K131" s="123" t="n">
        <f aca="false">B4</f>
        <v>26949.996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str">
        <f aca="false">F4</f>
        <v> </v>
      </c>
      <c r="P131" s="124" t="str">
        <f aca="false">O131</f>
        <v> </v>
      </c>
      <c r="Q131" s="125"/>
      <c r="S131" s="31" t="s">
        <v>150</v>
      </c>
      <c r="T131" s="123" t="n">
        <f aca="false">B4</f>
        <v>26949.996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str">
        <f aca="false">F4</f>
        <v> </v>
      </c>
      <c r="Y131" s="124" t="str">
        <f aca="false">X131</f>
        <v> </v>
      </c>
      <c r="Z131" s="125"/>
      <c r="AB131" s="31" t="s">
        <v>150</v>
      </c>
      <c r="AC131" s="123" t="n">
        <f aca="false">B4</f>
        <v>26949.996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str">
        <f aca="false">F4</f>
        <v> </v>
      </c>
      <c r="AH131" s="124" t="str">
        <f aca="false">AG131</f>
        <v> </v>
      </c>
      <c r="AI131" s="125"/>
    </row>
    <row r="132" customFormat="false" ht="17.35" hidden="false" customHeight="false" outlineLevel="0" collapsed="false">
      <c r="A132" s="31" t="s">
        <v>151</v>
      </c>
      <c r="B132" s="126" t="n">
        <v>0</v>
      </c>
      <c r="C132" s="117" t="n">
        <f aca="false">B132</f>
        <v>0</v>
      </c>
      <c r="D132" s="126" t="n">
        <v>0</v>
      </c>
      <c r="E132" s="117" t="n">
        <f aca="false">D132</f>
        <v>0</v>
      </c>
      <c r="F132" s="126" t="n">
        <v>0</v>
      </c>
      <c r="G132" s="117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26" t="n">
        <f aca="false">(B130*B131)+B132</f>
        <v>0</v>
      </c>
      <c r="C133" s="127" t="n">
        <f aca="false">(C130*C131/100)+C132</f>
        <v>0</v>
      </c>
      <c r="D133" s="126" t="n">
        <f aca="false">(D130*D131)+D132</f>
        <v>0</v>
      </c>
      <c r="E133" s="127" t="n">
        <f aca="false">(E130*E131/100)+E132</f>
        <v>0</v>
      </c>
      <c r="F133" s="126" t="n">
        <f aca="false">(F130*F131)+F132</f>
        <v>0</v>
      </c>
      <c r="G133" s="1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28" t="n">
        <f aca="false">B130-B133</f>
        <v>26949.996</v>
      </c>
      <c r="C134" s="129" t="n">
        <f aca="false">C130-C133</f>
        <v>24375</v>
      </c>
      <c r="D134" s="128" t="n">
        <f aca="false">D130-D133</f>
        <v>0</v>
      </c>
      <c r="E134" s="129" t="n">
        <f aca="false">E130-E133</f>
        <v>0</v>
      </c>
      <c r="F134" s="128" t="n">
        <f aca="false">F130-F133</f>
        <v>0</v>
      </c>
      <c r="G134" s="129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130"/>
      <c r="C135" s="130"/>
      <c r="D135" s="130"/>
      <c r="E135" s="130"/>
      <c r="F135" s="130"/>
      <c r="G135" s="130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2"/>
      <c r="C136" s="132"/>
      <c r="D136" s="132"/>
      <c r="E136" s="132"/>
      <c r="F136" s="132"/>
      <c r="G136" s="133" t="s">
        <v>147</v>
      </c>
      <c r="H136" s="134" t="s">
        <v>148</v>
      </c>
      <c r="J136" s="131"/>
      <c r="K136" s="135"/>
      <c r="L136" s="135"/>
      <c r="M136" s="135"/>
      <c r="N136" s="135"/>
      <c r="O136" s="135"/>
      <c r="P136" s="136" t="s">
        <v>147</v>
      </c>
      <c r="Q136" s="134" t="s">
        <v>148</v>
      </c>
      <c r="S136" s="131"/>
      <c r="T136" s="135"/>
      <c r="U136" s="135"/>
      <c r="V136" s="135"/>
      <c r="W136" s="135"/>
      <c r="X136" s="135"/>
      <c r="Y136" s="136" t="s">
        <v>147</v>
      </c>
      <c r="Z136" s="134" t="s">
        <v>148</v>
      </c>
      <c r="AB136" s="131"/>
      <c r="AC136" s="135"/>
      <c r="AD136" s="135"/>
      <c r="AE136" s="135"/>
      <c r="AF136" s="135"/>
      <c r="AG136" s="135"/>
      <c r="AH136" s="136" t="s">
        <v>147</v>
      </c>
      <c r="AI136" s="134" t="s">
        <v>148</v>
      </c>
    </row>
    <row r="137" customFormat="false" ht="17.35" hidden="false" customHeight="false" outlineLevel="0" collapsed="false">
      <c r="A137" s="137" t="s">
        <v>154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154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154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154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130"/>
      <c r="C138" s="130"/>
      <c r="D138" s="130"/>
      <c r="E138" s="130"/>
      <c r="F138" s="130"/>
      <c r="G138" s="141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155</v>
      </c>
      <c r="B139" s="141" t="s">
        <v>156</v>
      </c>
      <c r="C139" s="141"/>
      <c r="D139" s="141" t="s">
        <v>157</v>
      </c>
      <c r="E139" s="141"/>
      <c r="F139" s="141" t="s">
        <v>151</v>
      </c>
      <c r="G139" s="141"/>
      <c r="H139" s="142" t="s">
        <v>148</v>
      </c>
      <c r="J139" s="144" t="s">
        <v>155</v>
      </c>
      <c r="K139" s="145" t="s">
        <v>156</v>
      </c>
      <c r="L139" s="145"/>
      <c r="M139" s="141" t="s">
        <v>157</v>
      </c>
      <c r="N139" s="141"/>
      <c r="O139" s="141" t="s">
        <v>151</v>
      </c>
      <c r="P139" s="141"/>
      <c r="Q139" s="142" t="s">
        <v>148</v>
      </c>
      <c r="S139" s="144" t="s">
        <v>155</v>
      </c>
      <c r="T139" s="141" t="s">
        <v>156</v>
      </c>
      <c r="U139" s="141"/>
      <c r="V139" s="141" t="s">
        <v>157</v>
      </c>
      <c r="W139" s="141"/>
      <c r="X139" s="141" t="s">
        <v>151</v>
      </c>
      <c r="Y139" s="141"/>
      <c r="Z139" s="142" t="s">
        <v>148</v>
      </c>
      <c r="AB139" s="144" t="s">
        <v>155</v>
      </c>
      <c r="AC139" s="141" t="s">
        <v>156</v>
      </c>
      <c r="AD139" s="141"/>
      <c r="AE139" s="141" t="s">
        <v>157</v>
      </c>
      <c r="AF139" s="141"/>
      <c r="AG139" s="141" t="s">
        <v>151</v>
      </c>
      <c r="AH139" s="141"/>
      <c r="AI139" s="142" t="s">
        <v>148</v>
      </c>
    </row>
    <row r="140" customFormat="false" ht="17.35" hidden="false" customHeight="false" outlineLevel="0" collapsed="false">
      <c r="A140" s="31" t="s">
        <v>158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158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158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158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159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159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159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160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160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160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130"/>
      <c r="C143" s="130"/>
      <c r="D143" s="130"/>
      <c r="E143" s="130"/>
      <c r="F143" s="130"/>
      <c r="G143" s="141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161</v>
      </c>
      <c r="B144" s="149"/>
      <c r="C144" s="149"/>
      <c r="D144" s="149"/>
      <c r="E144" s="149"/>
      <c r="F144" s="149"/>
      <c r="G144" s="133" t="n">
        <f aca="false">E21</f>
        <v>22458.33</v>
      </c>
      <c r="H144" s="150" t="n">
        <f aca="false">C134+E134+G134+H137</f>
        <v>24375</v>
      </c>
      <c r="J144" s="149" t="s">
        <v>161</v>
      </c>
      <c r="K144" s="149"/>
      <c r="L144" s="149"/>
      <c r="M144" s="149"/>
      <c r="N144" s="149"/>
      <c r="O144" s="149"/>
      <c r="P144" s="136" t="n">
        <f aca="false">H9</f>
        <v>0</v>
      </c>
      <c r="Q144" s="150" t="e">
        <f aca="false">L134+N134+P134+Q137</f>
        <v>#VALUE!</v>
      </c>
      <c r="S144" s="149" t="s">
        <v>161</v>
      </c>
      <c r="T144" s="149"/>
      <c r="U144" s="149"/>
      <c r="V144" s="149"/>
      <c r="W144" s="149"/>
      <c r="X144" s="149"/>
      <c r="Y144" s="136" t="n">
        <f aca="false">H9</f>
        <v>0</v>
      </c>
      <c r="Z144" s="150" t="e">
        <f aca="false">U134+W134+Y134+Z137</f>
        <v>#VALUE!</v>
      </c>
      <c r="AB144" s="149" t="s">
        <v>161</v>
      </c>
      <c r="AC144" s="149"/>
      <c r="AD144" s="149"/>
      <c r="AE144" s="149"/>
      <c r="AF144" s="149"/>
      <c r="AG144" s="149"/>
      <c r="AH144" s="136" t="n">
        <f aca="false">H9</f>
        <v>0</v>
      </c>
      <c r="AI144" s="150" t="e">
        <f aca="false">AD134+AF134+AH134+AI137</f>
        <v>#VALUE!</v>
      </c>
    </row>
    <row r="145" customFormat="false" ht="17.35" hidden="false" customHeight="false" outlineLevel="0" collapsed="false">
      <c r="A145" s="151" t="s">
        <v>162</v>
      </c>
      <c r="B145" s="151"/>
      <c r="C145" s="151"/>
      <c r="D145" s="151"/>
      <c r="E145" s="151"/>
      <c r="F145" s="151"/>
      <c r="G145" s="152" t="n">
        <f aca="false">H19</f>
        <v>0</v>
      </c>
      <c r="H145" s="33" t="n">
        <f aca="false">G145</f>
        <v>0</v>
      </c>
      <c r="J145" s="151" t="s">
        <v>162</v>
      </c>
      <c r="K145" s="151"/>
      <c r="L145" s="151"/>
      <c r="M145" s="151"/>
      <c r="N145" s="151"/>
      <c r="O145" s="151"/>
      <c r="P145" s="153" t="n">
        <f aca="false">H10</f>
        <v>0</v>
      </c>
      <c r="Q145" s="33" t="n">
        <f aca="false">P145</f>
        <v>0</v>
      </c>
      <c r="S145" s="151" t="s">
        <v>162</v>
      </c>
      <c r="T145" s="151"/>
      <c r="U145" s="151"/>
      <c r="V145" s="151"/>
      <c r="W145" s="151"/>
      <c r="X145" s="151"/>
      <c r="Y145" s="153" t="n">
        <f aca="false">H10</f>
        <v>0</v>
      </c>
      <c r="Z145" s="33" t="n">
        <f aca="false">Y145</f>
        <v>0</v>
      </c>
      <c r="AB145" s="151" t="s">
        <v>162</v>
      </c>
      <c r="AC145" s="151"/>
      <c r="AD145" s="151"/>
      <c r="AE145" s="151"/>
      <c r="AF145" s="151"/>
      <c r="AG145" s="151"/>
      <c r="AH145" s="153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1" t="s">
        <v>163</v>
      </c>
      <c r="B146" s="151"/>
      <c r="C146" s="151"/>
      <c r="D146" s="151"/>
      <c r="E146" s="151"/>
      <c r="F146" s="151"/>
      <c r="G146" s="33" t="n">
        <f aca="false">(G144+G145)*20%</f>
        <v>4491.666</v>
      </c>
      <c r="H146" s="33" t="n">
        <f aca="false">(H144+H145)*20%</f>
        <v>4875</v>
      </c>
      <c r="J146" s="151" t="s">
        <v>163</v>
      </c>
      <c r="K146" s="151"/>
      <c r="L146" s="151"/>
      <c r="M146" s="151"/>
      <c r="N146" s="151"/>
      <c r="O146" s="151"/>
      <c r="P146" s="153" t="n">
        <f aca="false">H11</f>
        <v>0</v>
      </c>
      <c r="Q146" s="33" t="e">
        <f aca="false">(Q144+Q145)*20%</f>
        <v>#VALUE!</v>
      </c>
      <c r="S146" s="151" t="s">
        <v>163</v>
      </c>
      <c r="T146" s="151"/>
      <c r="U146" s="151"/>
      <c r="V146" s="151"/>
      <c r="W146" s="151"/>
      <c r="X146" s="151"/>
      <c r="Y146" s="153" t="n">
        <f aca="false">H11</f>
        <v>0</v>
      </c>
      <c r="Z146" s="33" t="e">
        <f aca="false">(Z144+Z145)*20%</f>
        <v>#VALUE!</v>
      </c>
      <c r="AB146" s="151" t="s">
        <v>163</v>
      </c>
      <c r="AC146" s="151"/>
      <c r="AD146" s="151"/>
      <c r="AE146" s="151"/>
      <c r="AF146" s="151"/>
      <c r="AG146" s="151"/>
      <c r="AH146" s="153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1" t="s">
        <v>164</v>
      </c>
      <c r="B147" s="151"/>
      <c r="C147" s="151"/>
      <c r="D147" s="151"/>
      <c r="E147" s="151"/>
      <c r="F147" s="151"/>
      <c r="G147" s="152" t="n">
        <f aca="false">H21</f>
        <v>0</v>
      </c>
      <c r="H147" s="33" t="n">
        <v>0</v>
      </c>
      <c r="J147" s="151" t="s">
        <v>164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164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164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165</v>
      </c>
      <c r="B148" s="151"/>
      <c r="C148" s="151"/>
      <c r="D148" s="151"/>
      <c r="E148" s="151"/>
      <c r="F148" s="151"/>
      <c r="G148" s="152" t="n">
        <f aca="false">H22</f>
        <v>0</v>
      </c>
      <c r="H148" s="33" t="n">
        <f aca="false">G148</f>
        <v>0</v>
      </c>
      <c r="J148" s="151" t="s">
        <v>165</v>
      </c>
      <c r="K148" s="151"/>
      <c r="L148" s="151"/>
      <c r="M148" s="151"/>
      <c r="N148" s="151"/>
      <c r="O148" s="151"/>
      <c r="P148" s="153" t="n">
        <f aca="false">H13</f>
        <v>0</v>
      </c>
      <c r="Q148" s="33" t="n">
        <f aca="false">P148</f>
        <v>0</v>
      </c>
      <c r="S148" s="151" t="s">
        <v>165</v>
      </c>
      <c r="T148" s="151"/>
      <c r="U148" s="151"/>
      <c r="V148" s="151"/>
      <c r="W148" s="151"/>
      <c r="X148" s="151"/>
      <c r="Y148" s="153" t="n">
        <f aca="false">H13</f>
        <v>0</v>
      </c>
      <c r="Z148" s="33" t="n">
        <f aca="false">Y148</f>
        <v>0</v>
      </c>
      <c r="AB148" s="151" t="s">
        <v>165</v>
      </c>
      <c r="AC148" s="151"/>
      <c r="AD148" s="151"/>
      <c r="AE148" s="151"/>
      <c r="AF148" s="151"/>
      <c r="AG148" s="151"/>
      <c r="AH148" s="153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1" t="s">
        <v>166</v>
      </c>
      <c r="B149" s="151"/>
      <c r="C149" s="151"/>
      <c r="D149" s="151"/>
      <c r="E149" s="151"/>
      <c r="F149" s="151"/>
      <c r="G149" s="152" t="n">
        <f aca="false">H23</f>
        <v>0</v>
      </c>
      <c r="H149" s="33" t="n">
        <v>0</v>
      </c>
      <c r="J149" s="151" t="s">
        <v>166</v>
      </c>
      <c r="K149" s="151"/>
      <c r="L149" s="151"/>
      <c r="M149" s="151"/>
      <c r="N149" s="151"/>
      <c r="O149" s="151"/>
      <c r="P149" s="153" t="n">
        <f aca="false">H14</f>
        <v>0</v>
      </c>
      <c r="Q149" s="33" t="n">
        <v>55</v>
      </c>
      <c r="S149" s="151" t="s">
        <v>166</v>
      </c>
      <c r="T149" s="151"/>
      <c r="U149" s="151"/>
      <c r="V149" s="151"/>
      <c r="W149" s="151"/>
      <c r="X149" s="151"/>
      <c r="Y149" s="153" t="n">
        <f aca="false">H14</f>
        <v>0</v>
      </c>
      <c r="Z149" s="33" t="n">
        <v>55</v>
      </c>
      <c r="AB149" s="151" t="s">
        <v>166</v>
      </c>
      <c r="AC149" s="151"/>
      <c r="AD149" s="151"/>
      <c r="AE149" s="151"/>
      <c r="AF149" s="151"/>
      <c r="AG149" s="151"/>
      <c r="AH149" s="153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1" t="s">
        <v>167</v>
      </c>
      <c r="B150" s="151"/>
      <c r="C150" s="151"/>
      <c r="D150" s="151"/>
      <c r="E150" s="151"/>
      <c r="F150" s="151"/>
      <c r="G150" s="154" t="n">
        <f aca="false">(G144+G145+G148+G149+G146)-G147</f>
        <v>26949.996</v>
      </c>
      <c r="H150" s="154" t="n">
        <f aca="false">(H144+H145+H148+H149+H146)-H147</f>
        <v>29250</v>
      </c>
      <c r="J150" s="151" t="s">
        <v>167</v>
      </c>
      <c r="K150" s="151"/>
      <c r="L150" s="151"/>
      <c r="M150" s="151"/>
      <c r="N150" s="151"/>
      <c r="O150" s="151"/>
      <c r="P150" s="155" t="n">
        <f aca="false">H15</f>
        <v>0</v>
      </c>
      <c r="Q150" s="154" t="e">
        <f aca="false">(Q144+Q145+Q148+Q149+Q146)-Q147</f>
        <v>#VALUE!</v>
      </c>
      <c r="S150" s="151" t="s">
        <v>167</v>
      </c>
      <c r="T150" s="151"/>
      <c r="U150" s="151"/>
      <c r="V150" s="151"/>
      <c r="W150" s="151"/>
      <c r="X150" s="151"/>
      <c r="Y150" s="155" t="n">
        <f aca="false">H15</f>
        <v>0</v>
      </c>
      <c r="Z150" s="154" t="e">
        <f aca="false">(Z144+Z145+Z148+Z149+Z146)-Z147</f>
        <v>#VALUE!</v>
      </c>
      <c r="AB150" s="151" t="s">
        <v>167</v>
      </c>
      <c r="AC150" s="151"/>
      <c r="AD150" s="151"/>
      <c r="AE150" s="151"/>
      <c r="AF150" s="151"/>
      <c r="AG150" s="151"/>
      <c r="AH150" s="155" t="n">
        <f aca="false">H15</f>
        <v>0</v>
      </c>
      <c r="AI150" s="154" t="e">
        <f aca="false">(AI144+AI145+AI148+AI149+AI146)-AI147</f>
        <v>#VALUE!</v>
      </c>
    </row>
    <row r="151" customFormat="false" ht="17.35" hidden="false" customHeight="false" outlineLevel="0" collapsed="false">
      <c r="A151" s="151" t="s">
        <v>168</v>
      </c>
      <c r="B151" s="151"/>
      <c r="C151" s="151"/>
      <c r="D151" s="151"/>
      <c r="E151" s="151"/>
      <c r="F151" s="151"/>
      <c r="G151" s="40" t="n">
        <f aca="false">F151</f>
        <v>0</v>
      </c>
      <c r="H151" s="40" t="n">
        <f aca="false">G151</f>
        <v>0</v>
      </c>
      <c r="J151" s="151" t="s">
        <v>168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168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168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169</v>
      </c>
      <c r="B152" s="107"/>
      <c r="C152" s="107"/>
      <c r="D152" s="107"/>
      <c r="E152" s="107" t="n">
        <v>0.0</v>
      </c>
      <c r="F152" s="107"/>
      <c r="G152" s="33" t="n">
        <v>0.0</v>
      </c>
      <c r="H152" s="33"/>
      <c r="J152" s="156" t="s">
        <v>169</v>
      </c>
      <c r="K152" s="156"/>
      <c r="L152" s="156"/>
      <c r="M152" s="156"/>
      <c r="N152" s="156"/>
      <c r="O152" s="156"/>
      <c r="P152" s="38"/>
      <c r="Q152" s="33"/>
      <c r="S152" s="107" t="s">
        <v>169</v>
      </c>
      <c r="T152" s="107"/>
      <c r="U152" s="107"/>
      <c r="V152" s="107"/>
      <c r="W152" s="107"/>
      <c r="X152" s="107"/>
      <c r="Y152" s="38"/>
      <c r="Z152" s="33"/>
      <c r="AB152" s="107" t="s">
        <v>169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n">
        <v>0</v>
      </c>
      <c r="C153" s="158"/>
      <c r="D153" s="158"/>
      <c r="E153" s="158"/>
      <c r="F153" s="158"/>
      <c r="G153" s="40" t="n">
        <v>0.0</v>
      </c>
      <c r="H153" s="40" t="n">
        <v>0</v>
      </c>
      <c r="J153" s="157" t="s">
        <v>13</v>
      </c>
      <c r="K153" s="158" t="s">
        <v>170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170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170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170</v>
      </c>
      <c r="C154" s="158"/>
      <c r="D154" s="158"/>
      <c r="E154" s="158"/>
      <c r="F154" s="158"/>
      <c r="G154" s="40" t="n"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170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170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170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170</v>
      </c>
      <c r="C155" s="160"/>
      <c r="D155" s="160"/>
      <c r="E155" s="160"/>
      <c r="F155" s="160"/>
      <c r="G155" s="40" t="n"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170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170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170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171</v>
      </c>
      <c r="B156" s="151"/>
      <c r="C156" s="151"/>
      <c r="D156" s="151"/>
      <c r="E156" s="151"/>
      <c r="F156" s="151"/>
      <c r="G156" s="161" t="n">
        <f aca="false">G150-((G153*1.2)+(G154*1.2)+(G155*1.2)+(G151*1.2))</f>
        <v>26949.996</v>
      </c>
      <c r="H156" s="161" t="n">
        <f aca="false">H150-((H153*1.2)+(H154*1.2)+(H155*1.2)+(H151*1.2))</f>
        <v>29250</v>
      </c>
      <c r="J156" s="162" t="s">
        <v>171</v>
      </c>
      <c r="K156" s="162"/>
      <c r="L156" s="162"/>
      <c r="M156" s="162"/>
      <c r="N156" s="162"/>
      <c r="O156" s="162"/>
      <c r="P156" s="155" t="n">
        <f aca="false">P150-((P153*1.2)+(P154*1.2)+(P155*1.2)+(P151*1.2))</f>
        <v>0</v>
      </c>
      <c r="Q156" s="161" t="e">
        <f aca="false">Q150-((Q153*1.2)+(Q154*1.2)+(Q155*1.2)+(Q151*1.2))</f>
        <v>#VALUE!</v>
      </c>
      <c r="S156" s="151" t="s">
        <v>171</v>
      </c>
      <c r="T156" s="151"/>
      <c r="U156" s="151"/>
      <c r="V156" s="151"/>
      <c r="W156" s="151"/>
      <c r="X156" s="151"/>
      <c r="Y156" s="155" t="n">
        <f aca="false">Y150-((Y153*1.2)+(Y154*1.2)+(Y155*1.2)+(Y151*1.2))</f>
        <v>0</v>
      </c>
      <c r="Z156" s="161" t="e">
        <f aca="false">Z150-((Z153*1.2)+(Z154*1.2)+(Z155*1.2)+(Z151*1.2))</f>
        <v>#VALUE!</v>
      </c>
      <c r="AB156" s="151" t="s">
        <v>171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0</v>
      </c>
      <c r="AI156" s="161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1" t="s">
        <v>172</v>
      </c>
      <c r="B157" s="151"/>
      <c r="C157" s="151"/>
      <c r="D157" s="151"/>
      <c r="E157" s="151"/>
      <c r="F157" s="151"/>
      <c r="G157" s="152"/>
      <c r="H157" s="40" t="n">
        <f aca="false">((H156-G156)-(H146-G146))+((I155-I154)*0.2)</f>
        <v>1916.67</v>
      </c>
      <c r="I157" s="1" t="n">
        <f aca="false">(H157-G90)/1.2</f>
        <v>1597.225</v>
      </c>
      <c r="J157" s="151" t="s">
        <v>172</v>
      </c>
      <c r="K157" s="151"/>
      <c r="L157" s="151"/>
      <c r="M157" s="151"/>
      <c r="N157" s="151"/>
      <c r="O157" s="151"/>
      <c r="P157" s="153"/>
      <c r="Q157" s="40" t="e">
        <f aca="false">Q156-P156</f>
        <v>#VALUE!</v>
      </c>
      <c r="S157" s="151" t="s">
        <v>172</v>
      </c>
      <c r="T157" s="151"/>
      <c r="U157" s="151"/>
      <c r="V157" s="151"/>
      <c r="W157" s="151"/>
      <c r="X157" s="151"/>
      <c r="Y157" s="153"/>
      <c r="Z157" s="40" t="e">
        <f aca="false">Z156-Y156</f>
        <v>#VALUE!</v>
      </c>
      <c r="AB157" s="151" t="s">
        <v>172</v>
      </c>
      <c r="AC157" s="151"/>
      <c r="AD157" s="151"/>
      <c r="AE157" s="151"/>
      <c r="AF157" s="151"/>
      <c r="AG157" s="151"/>
      <c r="AH157" s="153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3" t="n">
        <v>0.0</v>
      </c>
      <c r="F161" s="103"/>
      <c r="G161" s="103" t="n">
        <v>0.0</v>
      </c>
      <c r="H161" s="103"/>
      <c r="J161" s="31" t="s">
        <v>174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174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174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3" t="n">
        <f aca="false">G162</f>
        <v>0</v>
      </c>
      <c r="F162" s="163"/>
      <c r="G162" s="103" t="n">
        <v>0.0</v>
      </c>
      <c r="H162" s="103"/>
      <c r="J162" s="31" t="s">
        <v>175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175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175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176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176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176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177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177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177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178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178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178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179</v>
      </c>
      <c r="B167" s="32"/>
      <c r="C167" s="32"/>
      <c r="D167" s="23"/>
      <c r="E167" s="32"/>
      <c r="F167" s="23"/>
      <c r="G167" s="167" t="n">
        <f aca="false">H156-G163-G166</f>
        <v>29250</v>
      </c>
      <c r="H167" s="167"/>
      <c r="J167" s="166" t="s">
        <v>179</v>
      </c>
      <c r="K167" s="32"/>
      <c r="L167" s="32"/>
      <c r="M167" s="23"/>
      <c r="N167" s="32"/>
      <c r="O167" s="23"/>
      <c r="P167" s="167" t="e">
        <f aca="false">Q156-P163-P166</f>
        <v>#VALUE!</v>
      </c>
      <c r="Q167" s="167"/>
      <c r="S167" s="166" t="s">
        <v>179</v>
      </c>
      <c r="T167" s="32"/>
      <c r="U167" s="32"/>
      <c r="V167" s="23"/>
      <c r="W167" s="32"/>
      <c r="X167" s="23"/>
      <c r="Y167" s="167" t="e">
        <f aca="false">Z156-Y163-Y166</f>
        <v>#VALUE!</v>
      </c>
      <c r="Z167" s="167"/>
      <c r="AB167" s="166" t="s">
        <v>179</v>
      </c>
      <c r="AC167" s="32"/>
      <c r="AD167" s="32"/>
      <c r="AE167" s="23"/>
      <c r="AF167" s="32"/>
      <c r="AG167" s="23"/>
      <c r="AH167" s="167" t="e">
        <f aca="false">AI156-AH163-AH166</f>
        <v>#VALUE!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199.99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181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181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181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182</v>
      </c>
      <c r="B175" s="171" t="s">
        <v>183</v>
      </c>
      <c r="C175" s="171"/>
      <c r="D175" s="171"/>
      <c r="E175" s="171" t="s">
        <v>184</v>
      </c>
      <c r="F175" s="23"/>
      <c r="G175" s="23"/>
      <c r="H175" s="33"/>
      <c r="J175" s="170" t="s">
        <v>182</v>
      </c>
      <c r="K175" s="172" t="s">
        <v>183</v>
      </c>
      <c r="L175" s="172"/>
      <c r="M175" s="172"/>
      <c r="N175" s="172" t="s">
        <v>184</v>
      </c>
      <c r="O175" s="23"/>
      <c r="P175" s="23"/>
      <c r="Q175" s="33"/>
      <c r="S175" s="170" t="s">
        <v>182</v>
      </c>
      <c r="T175" s="172" t="s">
        <v>183</v>
      </c>
      <c r="U175" s="172"/>
      <c r="V175" s="172"/>
      <c r="W175" s="172" t="s">
        <v>184</v>
      </c>
      <c r="X175" s="23"/>
      <c r="Y175" s="23"/>
      <c r="Z175" s="33"/>
      <c r="AB175" s="170" t="s">
        <v>182</v>
      </c>
      <c r="AC175" s="172" t="s">
        <v>183</v>
      </c>
      <c r="AD175" s="172"/>
      <c r="AE175" s="172"/>
      <c r="AF175" s="172" t="s">
        <v>184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1563.12066080648</v>
      </c>
      <c r="B176" s="174" t="n">
        <f aca="false">B103</f>
        <v>0</v>
      </c>
      <c r="C176" s="171"/>
      <c r="D176" s="171"/>
      <c r="E176" s="174" t="n">
        <f aca="false">B105</f>
        <v>1563.12066080648</v>
      </c>
      <c r="F176" s="23"/>
      <c r="G176" s="23"/>
      <c r="H176" s="33"/>
      <c r="J176" s="173" t="e">
        <f aca="false">K104</f>
        <v>#VALUE!</v>
      </c>
      <c r="K176" s="175" t="n">
        <f aca="false">K103</f>
        <v>0</v>
      </c>
      <c r="L176" s="172"/>
      <c r="M176" s="172"/>
      <c r="N176" s="175" t="e">
        <f aca="false">K105</f>
        <v>#VALUE!</v>
      </c>
      <c r="O176" s="23"/>
      <c r="P176" s="23"/>
      <c r="Q176" s="33"/>
      <c r="S176" s="173" t="e">
        <f aca="false">T104</f>
        <v>#VALUE!</v>
      </c>
      <c r="T176" s="175" t="n">
        <f aca="false">T103</f>
        <v>0</v>
      </c>
      <c r="U176" s="172"/>
      <c r="V176" s="172"/>
      <c r="W176" s="175" t="e">
        <f aca="false">T105</f>
        <v>#VALUE!</v>
      </c>
      <c r="X176" s="23"/>
      <c r="Y176" s="23"/>
      <c r="Z176" s="33"/>
      <c r="AB176" s="173" t="e">
        <f aca="false">AC104</f>
        <v>#VALUE!</v>
      </c>
      <c r="AC176" s="175" t="n">
        <f aca="false">AC103</f>
        <v>0</v>
      </c>
      <c r="AD176" s="172"/>
      <c r="AE176" s="172"/>
      <c r="AF176" s="175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130" t="s">
        <v>83</v>
      </c>
      <c r="C178" s="130"/>
      <c r="D178" s="23"/>
      <c r="E178" s="130" t="s">
        <v>185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185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185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185</v>
      </c>
      <c r="AG178" s="23"/>
      <c r="AH178" s="23"/>
      <c r="AI178" s="33"/>
    </row>
    <row r="179" customFormat="false" ht="17.35" hidden="false" customHeight="false" outlineLevel="0" collapsed="false">
      <c r="A179" s="176" t="n">
        <f aca="false">B38</f>
        <v>0</v>
      </c>
      <c r="B179" s="177" t="n">
        <f aca="false">B39</f>
        <v>0</v>
      </c>
      <c r="C179" s="178"/>
      <c r="D179" s="23"/>
      <c r="E179" s="179" t="n">
        <v>6000</v>
      </c>
      <c r="F179" s="23"/>
      <c r="G179" s="23"/>
      <c r="H179" s="33"/>
      <c r="J179" s="176" t="str">
        <f aca="false">K29</f>
        <v>12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12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12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186</v>
      </c>
      <c r="B181" s="130" t="s">
        <v>187</v>
      </c>
      <c r="C181" s="130"/>
      <c r="D181" s="23"/>
      <c r="E181" s="130" t="s">
        <v>188</v>
      </c>
      <c r="F181" s="23"/>
      <c r="G181" s="23"/>
      <c r="H181" s="33"/>
      <c r="J181" s="31" t="s">
        <v>186</v>
      </c>
      <c r="K181" s="32" t="s">
        <v>187</v>
      </c>
      <c r="L181" s="32"/>
      <c r="M181" s="23"/>
      <c r="N181" s="32" t="s">
        <v>188</v>
      </c>
      <c r="O181" s="23"/>
      <c r="P181" s="23"/>
      <c r="Q181" s="33"/>
      <c r="S181" s="31" t="s">
        <v>186</v>
      </c>
      <c r="T181" s="32" t="s">
        <v>187</v>
      </c>
      <c r="U181" s="32"/>
      <c r="V181" s="23"/>
      <c r="W181" s="32" t="s">
        <v>188</v>
      </c>
      <c r="X181" s="23"/>
      <c r="Y181" s="23"/>
      <c r="Z181" s="33"/>
      <c r="AB181" s="31" t="s">
        <v>186</v>
      </c>
      <c r="AC181" s="32" t="s">
        <v>187</v>
      </c>
      <c r="AD181" s="32"/>
      <c r="AE181" s="23"/>
      <c r="AF181" s="32" t="s">
        <v>188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24375</v>
      </c>
      <c r="B182" s="99" t="n">
        <f aca="false">H146</f>
        <v>4875</v>
      </c>
      <c r="C182" s="183"/>
      <c r="D182" s="23"/>
      <c r="E182" s="179" t="n">
        <f aca="false">H148+H149</f>
        <v>0</v>
      </c>
      <c r="F182" s="23"/>
      <c r="G182" s="23"/>
      <c r="H182" s="33"/>
      <c r="J182" s="182" t="e">
        <f aca="false">Q150-Q146-Q148-Q149</f>
        <v>#VALUE!</v>
      </c>
      <c r="K182" s="38" t="e">
        <f aca="false">Q146</f>
        <v>#VALUE!</v>
      </c>
      <c r="L182" s="43"/>
      <c r="M182" s="23"/>
      <c r="N182" s="181" t="n">
        <f aca="false">Q148+Q149</f>
        <v>55</v>
      </c>
      <c r="O182" s="23"/>
      <c r="P182" s="23"/>
      <c r="Q182" s="33"/>
      <c r="S182" s="182" t="e">
        <f aca="false">Z150-Z146-Z148-Z149</f>
        <v>#VALUE!</v>
      </c>
      <c r="T182" s="38" t="e">
        <f aca="false">Z146</f>
        <v>#VALUE!</v>
      </c>
      <c r="U182" s="43"/>
      <c r="V182" s="23"/>
      <c r="W182" s="181" t="n">
        <f aca="false">Z148+Z149</f>
        <v>55</v>
      </c>
      <c r="X182" s="23"/>
      <c r="Y182" s="23"/>
      <c r="Z182" s="33"/>
      <c r="AB182" s="182" t="e">
        <f aca="false">AI150-AI146-AI148-AI149</f>
        <v>#VALUE!</v>
      </c>
      <c r="AC182" s="38" t="e">
        <f aca="false">AI146</f>
        <v>#VALUE!</v>
      </c>
      <c r="AD182" s="43"/>
      <c r="AE182" s="23"/>
      <c r="AF182" s="181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189</v>
      </c>
      <c r="B184" s="130" t="s">
        <v>136</v>
      </c>
      <c r="C184" s="130"/>
      <c r="D184" s="23"/>
      <c r="E184" s="130" t="s">
        <v>137</v>
      </c>
      <c r="F184" s="23"/>
      <c r="G184" s="23"/>
      <c r="H184" s="33"/>
      <c r="J184" s="31" t="s">
        <v>189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189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189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29250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130" t="s">
        <v>174</v>
      </c>
      <c r="C187" s="130"/>
      <c r="D187" s="23"/>
      <c r="E187" s="130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29250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190</v>
      </c>
      <c r="B190" s="130" t="s">
        <v>53</v>
      </c>
      <c r="C190" s="130"/>
      <c r="D190" s="23"/>
      <c r="E190" s="130" t="s">
        <v>191</v>
      </c>
      <c r="F190" s="23"/>
      <c r="G190" s="23"/>
      <c r="H190" s="33"/>
      <c r="J190" s="31" t="s">
        <v>190</v>
      </c>
      <c r="K190" s="32" t="s">
        <v>53</v>
      </c>
      <c r="L190" s="32"/>
      <c r="M190" s="23"/>
      <c r="N190" s="32" t="s">
        <v>191</v>
      </c>
      <c r="O190" s="23"/>
      <c r="P190" s="23"/>
      <c r="Q190" s="33"/>
      <c r="S190" s="31" t="s">
        <v>190</v>
      </c>
      <c r="T190" s="32" t="s">
        <v>53</v>
      </c>
      <c r="U190" s="32"/>
      <c r="V190" s="23"/>
      <c r="W190" s="32" t="s">
        <v>191</v>
      </c>
      <c r="X190" s="23"/>
      <c r="Y190" s="23"/>
      <c r="Z190" s="33"/>
      <c r="AB190" s="31" t="s">
        <v>190</v>
      </c>
      <c r="AC190" s="32" t="s">
        <v>53</v>
      </c>
      <c r="AD190" s="32"/>
      <c r="AE190" s="23"/>
      <c r="AF190" s="32" t="s">
        <v>191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-6055.67273112877</v>
      </c>
      <c r="B191" s="99" t="str">
        <f aca="false">B123</f>
        <v>199.99</v>
      </c>
      <c r="C191" s="99"/>
      <c r="D191" s="23"/>
      <c r="E191" s="99" t="n">
        <f aca="false">E188+A191+B191+A194</f>
        <v>23404.3172688712</v>
      </c>
      <c r="F191" s="23"/>
      <c r="G191" s="23"/>
      <c r="H191" s="101"/>
      <c r="J191" s="107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1"/>
      <c r="S191" s="107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1"/>
      <c r="AB191" s="107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192</v>
      </c>
      <c r="B193" s="130" t="s">
        <v>193</v>
      </c>
      <c r="C193" s="130"/>
      <c r="D193" s="23"/>
      <c r="E193" s="130" t="s">
        <v>194</v>
      </c>
      <c r="F193" s="23"/>
      <c r="G193" s="23"/>
      <c r="H193" s="33"/>
      <c r="J193" s="31" t="s">
        <v>192</v>
      </c>
      <c r="K193" s="32" t="s">
        <v>193</v>
      </c>
      <c r="L193" s="32"/>
      <c r="M193" s="23"/>
      <c r="N193" s="32" t="s">
        <v>194</v>
      </c>
      <c r="O193" s="23"/>
      <c r="P193" s="23"/>
      <c r="Q193" s="33"/>
      <c r="S193" s="31" t="s">
        <v>192</v>
      </c>
      <c r="T193" s="32" t="s">
        <v>193</v>
      </c>
      <c r="U193" s="32"/>
      <c r="V193" s="23"/>
      <c r="W193" s="32" t="s">
        <v>194</v>
      </c>
      <c r="X193" s="23"/>
      <c r="Y193" s="23"/>
      <c r="Z193" s="33"/>
      <c r="AB193" s="31" t="s">
        <v>192</v>
      </c>
      <c r="AC193" s="32" t="s">
        <v>193</v>
      </c>
      <c r="AD193" s="32"/>
      <c r="AE193" s="23"/>
      <c r="AF193" s="32" t="s">
        <v>194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</f>
        <v>199.99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195</v>
      </c>
      <c r="B196" s="130" t="s">
        <v>196</v>
      </c>
      <c r="C196" s="130"/>
      <c r="D196" s="130"/>
      <c r="E196" s="163" t="s">
        <v>197</v>
      </c>
      <c r="F196" s="23"/>
      <c r="G196" s="23"/>
      <c r="H196" s="33"/>
      <c r="J196" s="31" t="s">
        <v>195</v>
      </c>
      <c r="K196" s="32" t="s">
        <v>196</v>
      </c>
      <c r="L196" s="32"/>
      <c r="M196" s="32"/>
      <c r="N196" s="39" t="s">
        <v>197</v>
      </c>
      <c r="O196" s="23"/>
      <c r="P196" s="23"/>
      <c r="Q196" s="33"/>
      <c r="S196" s="31" t="s">
        <v>195</v>
      </c>
      <c r="T196" s="32" t="s">
        <v>196</v>
      </c>
      <c r="U196" s="32"/>
      <c r="V196" s="32"/>
      <c r="W196" s="39" t="s">
        <v>197</v>
      </c>
      <c r="X196" s="32"/>
      <c r="Y196" s="32"/>
      <c r="Z196" s="33"/>
      <c r="AB196" s="31" t="s">
        <v>195</v>
      </c>
      <c r="AC196" s="32" t="s">
        <v>196</v>
      </c>
      <c r="AD196" s="32"/>
      <c r="AE196" s="32"/>
      <c r="AF196" s="39" t="s">
        <v>197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J18*0.000002*100*1.2</f>
        <v>8.97696</v>
      </c>
      <c r="B197" s="99" t="n">
        <f aca="false">(G167*B76)/1.2</f>
        <v>121.875</v>
      </c>
      <c r="C197" s="130"/>
      <c r="D197" s="130"/>
      <c r="E197" s="99" t="n">
        <f aca="false">K55*A117*0.1</f>
        <v>0</v>
      </c>
      <c r="F197" s="23"/>
      <c r="G197" s="23"/>
      <c r="H197" s="33"/>
      <c r="J197" s="107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198</v>
      </c>
      <c r="B199" s="163" t="s">
        <v>199</v>
      </c>
      <c r="C199" s="130"/>
      <c r="D199" s="130"/>
      <c r="E199" s="163" t="s">
        <v>200</v>
      </c>
      <c r="F199" s="23"/>
      <c r="G199" s="23"/>
      <c r="H199" s="33"/>
      <c r="J199" s="60" t="s">
        <v>198</v>
      </c>
      <c r="K199" s="39" t="s">
        <v>199</v>
      </c>
      <c r="L199" s="32"/>
      <c r="M199" s="32"/>
      <c r="N199" s="39" t="s">
        <v>200</v>
      </c>
      <c r="O199" s="23"/>
      <c r="P199" s="23"/>
      <c r="Q199" s="33"/>
      <c r="S199" s="60" t="s">
        <v>198</v>
      </c>
      <c r="T199" s="39" t="s">
        <v>199</v>
      </c>
      <c r="U199" s="32"/>
      <c r="V199" s="32"/>
      <c r="W199" s="39" t="s">
        <v>200</v>
      </c>
      <c r="X199" s="32"/>
      <c r="Y199" s="32"/>
      <c r="Z199" s="33"/>
      <c r="AB199" s="60" t="s">
        <v>198</v>
      </c>
      <c r="AC199" s="39" t="s">
        <v>199</v>
      </c>
      <c r="AD199" s="32"/>
      <c r="AE199" s="32"/>
      <c r="AF199" s="39" t="s">
        <v>200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(B191/1.2)-100</f>
        <v>66.6583333333334</v>
      </c>
      <c r="B200" s="99" t="n">
        <f aca="false">B197+E197+A200</f>
        <v>188.533333333333</v>
      </c>
      <c r="C200" s="130"/>
      <c r="D200" s="130"/>
      <c r="E200" s="99" t="n">
        <f aca="false">H157</f>
        <v>1916.67</v>
      </c>
      <c r="F200" s="23"/>
      <c r="G200" s="23"/>
      <c r="H200" s="33"/>
      <c r="J200" s="107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07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07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201</v>
      </c>
      <c r="B202" s="130"/>
      <c r="C202" s="130"/>
      <c r="D202" s="67"/>
      <c r="E202" s="67"/>
      <c r="F202" s="67"/>
      <c r="G202" s="67"/>
      <c r="H202" s="68"/>
      <c r="J202" s="66" t="s">
        <v>201</v>
      </c>
      <c r="K202" s="32"/>
      <c r="L202" s="32"/>
      <c r="M202" s="67"/>
      <c r="N202" s="67"/>
      <c r="O202" s="67"/>
      <c r="P202" s="67"/>
      <c r="Q202" s="68"/>
      <c r="S202" s="66" t="s">
        <v>201</v>
      </c>
      <c r="T202" s="32"/>
      <c r="U202" s="32"/>
      <c r="V202" s="67"/>
      <c r="W202" s="67"/>
      <c r="X202" s="67"/>
      <c r="Y202" s="67"/>
      <c r="Z202" s="68"/>
      <c r="AB202" s="66" t="s">
        <v>201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4" t="s">
        <v>82</v>
      </c>
      <c r="K204" s="185" t="s">
        <v>83</v>
      </c>
      <c r="L204" s="185"/>
      <c r="M204" s="185"/>
      <c r="N204" s="23"/>
      <c r="O204" s="23"/>
      <c r="P204" s="23"/>
      <c r="Q204" s="33"/>
      <c r="S204" s="184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4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1563.12066080648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180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125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202</v>
      </c>
      <c r="B218" s="171" t="str">
        <f aca="false">A206</f>
        <v>12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182</v>
      </c>
      <c r="B220" s="189" t="s">
        <v>183</v>
      </c>
      <c r="C220" s="189"/>
      <c r="D220" s="189"/>
      <c r="E220" s="189" t="s">
        <v>184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1563.12066080648</v>
      </c>
      <c r="B221" s="174" t="n">
        <f aca="false">B176</f>
        <v>0</v>
      </c>
      <c r="C221" s="171"/>
      <c r="D221" s="171"/>
      <c r="E221" s="174" t="n">
        <f aca="false">E176</f>
        <v>1563.12066080648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186</v>
      </c>
      <c r="B223" s="130" t="s">
        <v>187</v>
      </c>
      <c r="C223" s="130"/>
      <c r="D223" s="109"/>
      <c r="E223" s="130" t="s">
        <v>188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24375</v>
      </c>
      <c r="B224" s="99" t="n">
        <f aca="false">B182</f>
        <v>4875</v>
      </c>
      <c r="C224" s="183"/>
      <c r="D224" s="109"/>
      <c r="E224" s="179" t="n">
        <f aca="false">E182</f>
        <v>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189</v>
      </c>
      <c r="B226" s="130" t="s">
        <v>136</v>
      </c>
      <c r="C226" s="130"/>
      <c r="D226" s="109"/>
      <c r="E226" s="130" t="s">
        <v>137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29250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138</v>
      </c>
      <c r="B229" s="130" t="s">
        <v>174</v>
      </c>
      <c r="C229" s="130"/>
      <c r="D229" s="109"/>
      <c r="E229" s="130" t="s">
        <v>179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29250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190</v>
      </c>
      <c r="B232" s="130" t="s">
        <v>53</v>
      </c>
      <c r="C232" s="130"/>
      <c r="D232" s="109"/>
      <c r="E232" s="130" t="s">
        <v>191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-6055.67273112877</v>
      </c>
      <c r="B233" s="99" t="str">
        <f aca="false">B191</f>
        <v>199.99</v>
      </c>
      <c r="C233" s="99"/>
      <c r="D233" s="109"/>
      <c r="E233" s="99" t="n">
        <f aca="false">E191</f>
        <v>23404.3172688712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192</v>
      </c>
      <c r="B235" s="130" t="s">
        <v>193</v>
      </c>
      <c r="C235" s="130"/>
      <c r="D235" s="109"/>
      <c r="E235" s="130" t="s">
        <v>203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199.99</v>
      </c>
      <c r="C236" s="99"/>
      <c r="D236" s="109"/>
      <c r="E236" s="99" t="n">
        <f aca="false">B68</f>
        <v>11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182</v>
      </c>
      <c r="B238" s="130" t="s">
        <v>183</v>
      </c>
      <c r="C238" s="130"/>
      <c r="D238" s="130"/>
      <c r="E238" s="130" t="s">
        <v>184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1563.12066080648</v>
      </c>
      <c r="B239" s="99" t="n">
        <f aca="false">B176</f>
        <v>0</v>
      </c>
      <c r="C239" s="183"/>
      <c r="D239" s="183"/>
      <c r="E239" s="99" t="n">
        <f aca="false">E176</f>
        <v>1563.12066080648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204</v>
      </c>
      <c r="B241" s="130" t="s">
        <v>205</v>
      </c>
      <c r="C241" s="130"/>
      <c r="D241" s="130"/>
      <c r="E241" s="130" t="s">
        <v>67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J18*0.000006*100*1.2</f>
        <v>26.93088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206</v>
      </c>
      <c r="B244" s="163" t="s">
        <v>72</v>
      </c>
      <c r="C244" s="130"/>
      <c r="D244" s="130"/>
      <c r="E244" s="163" t="s">
        <v>130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8.97696</v>
      </c>
      <c r="B245" s="99" t="n">
        <f aca="false">E242+A245</f>
        <v>35.90784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207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208</v>
      </c>
      <c r="B248" s="130" t="s">
        <v>196</v>
      </c>
      <c r="C248" s="130"/>
      <c r="D248" s="130"/>
      <c r="E248" s="163" t="s">
        <v>197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1916.67</v>
      </c>
      <c r="B249" s="99" t="n">
        <f aca="false">B197</f>
        <v>121.875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198</v>
      </c>
      <c r="B251" s="163" t="s">
        <v>199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66.6583333333334</v>
      </c>
      <c r="B252" s="99" t="n">
        <f aca="false">B249+E249+A252+A249</f>
        <v>2105.20333333333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209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210</v>
      </c>
      <c r="B262" s="193" t="n">
        <f aca="false">B72</f>
        <v>0.065</v>
      </c>
      <c r="C262" s="194"/>
      <c r="D262" s="195" t="s">
        <v>211</v>
      </c>
      <c r="E262" s="195"/>
      <c r="F262" s="193" t="n">
        <f aca="false">B92</f>
        <v>0.1255</v>
      </c>
      <c r="G262" s="23"/>
      <c r="H262" s="33"/>
    </row>
    <row r="263" customFormat="false" ht="17.35" hidden="false" customHeight="false" outlineLevel="0" collapsed="false">
      <c r="A263" s="188" t="s">
        <v>212</v>
      </c>
      <c r="B263" s="196"/>
      <c r="C263" s="194"/>
      <c r="D263" s="195" t="s">
        <v>213</v>
      </c>
      <c r="E263" s="195"/>
      <c r="F263" s="196" t="n">
        <f aca="false">F270+F276+F278+B279+B280</f>
        <v>146.25</v>
      </c>
      <c r="G263" s="23"/>
      <c r="H263" s="33"/>
    </row>
    <row r="264" customFormat="false" ht="17.35" hidden="false" customHeight="false" outlineLevel="0" collapsed="false">
      <c r="A264" s="188" t="s">
        <v>214</v>
      </c>
      <c r="B264" s="196" t="n">
        <f aca="false">F271+B272</f>
        <v>66.6583333333334</v>
      </c>
      <c r="C264" s="194"/>
      <c r="D264" s="195" t="s">
        <v>215</v>
      </c>
      <c r="E264" s="195"/>
      <c r="F264" s="196" t="n">
        <f aca="false">(B263-F263)+B264</f>
        <v>-79.5916666666666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210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216</v>
      </c>
      <c r="B268" s="201" t="n">
        <f aca="false">B73</f>
        <v>0.05</v>
      </c>
      <c r="C268" s="32"/>
      <c r="D268" s="163" t="s">
        <v>217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211</v>
      </c>
      <c r="B269" s="205" t="n">
        <f aca="false">B92</f>
        <v>0.1255</v>
      </c>
      <c r="C269" s="43"/>
      <c r="D269" s="163" t="s">
        <v>212</v>
      </c>
      <c r="E269" s="163"/>
      <c r="F269" s="143" t="n">
        <f aca="false">(B98*B68)-(C98*B68)</f>
        <v>17194.3272688712</v>
      </c>
      <c r="G269" s="23"/>
      <c r="H269" s="33"/>
    </row>
    <row r="270" customFormat="false" ht="17.35" hidden="false" customHeight="false" outlineLevel="0" collapsed="false">
      <c r="A270" s="31" t="s">
        <v>218</v>
      </c>
      <c r="B270" s="205" t="n">
        <f aca="false">B76</f>
        <v>0.005</v>
      </c>
      <c r="C270" s="32"/>
      <c r="D270" s="163" t="s">
        <v>218</v>
      </c>
      <c r="E270" s="163"/>
      <c r="F270" s="148" t="n">
        <f aca="false">B77</f>
        <v>146.25</v>
      </c>
      <c r="G270" s="23"/>
      <c r="H270" s="33"/>
    </row>
    <row r="271" customFormat="false" ht="17.35" hidden="false" customHeight="false" outlineLevel="0" collapsed="false">
      <c r="A271" s="31" t="s">
        <v>219</v>
      </c>
      <c r="B271" s="201" t="n">
        <f aca="false">A117</f>
        <v>0.2</v>
      </c>
      <c r="C271" s="32"/>
      <c r="D271" s="163" t="s">
        <v>219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220</v>
      </c>
      <c r="B272" s="143" t="n">
        <f aca="false">A252</f>
        <v>66.6583333333334</v>
      </c>
      <c r="C272" s="32"/>
      <c r="D272" s="39" t="s">
        <v>215</v>
      </c>
      <c r="E272" s="39"/>
      <c r="F272" s="143" t="n">
        <f aca="false">(B263-F263)+B264</f>
        <v>-79.5916666666666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221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222</v>
      </c>
      <c r="B275" s="148" t="n">
        <v>0</v>
      </c>
      <c r="C275" s="32"/>
      <c r="D275" s="206" t="s">
        <v>223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224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225</v>
      </c>
      <c r="B277" s="207" t="s">
        <v>4</v>
      </c>
      <c r="C277" s="32"/>
      <c r="D277" s="163" t="s">
        <v>226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227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228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229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32" colorId="64" zoomScale="85" zoomScaleNormal="85" zoomScalePageLayoutView="100" workbookViewId="0">
      <selection pane="topLeft" activeCell="E249" activeCellId="0" sqref="E249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396</v>
      </c>
      <c r="B34" s="32"/>
      <c r="C34" s="41" t="s">
        <v>401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22458.33</v>
      </c>
      <c r="B37" s="32"/>
      <c r="C37" s="41" t="s">
        <v>402</v>
      </c>
      <c r="D37" s="41"/>
      <c r="E37" s="32"/>
      <c r="F37" s="43" t="n">
        <f aca="false">A37-C37</f>
        <v>21458.33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396</v>
      </c>
      <c r="B40" s="32"/>
      <c r="C40" s="54" t="n">
        <f aca="false">A34-1</f>
        <v>11</v>
      </c>
      <c r="D40" s="54"/>
      <c r="E40" s="32"/>
      <c r="F40" s="41" t="s">
        <v>393</v>
      </c>
      <c r="G40" s="41"/>
      <c r="H40" s="47"/>
      <c r="J40" s="2" t="s">
        <v>58</v>
      </c>
      <c r="K40" s="2" t="n">
        <f aca="false">C15</f>
        <v>4491.666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290.972166666667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259.027833333333</v>
      </c>
      <c r="L45" s="2"/>
    </row>
    <row r="46" customFormat="false" ht="17.35" hidden="false" customHeight="false" outlineLevel="0" collapsed="false">
      <c r="A46" s="40" t="s">
        <v>389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261.6945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211.6945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403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261.6945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10.0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17182.3272688712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146.25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0.0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0.0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0.0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0.0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261.6945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261.6945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261.6945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21458.33</v>
      </c>
      <c r="C90" s="32"/>
      <c r="D90" s="32"/>
      <c r="E90" s="23"/>
      <c r="F90" s="23"/>
      <c r="G90" s="23"/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23"/>
      <c r="G91" s="23"/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0.1255</v>
      </c>
      <c r="C92" s="32"/>
      <c r="D92" s="32"/>
      <c r="E92" s="23"/>
      <c r="F92" s="23"/>
      <c r="G92" s="23"/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0.0104583333333333</v>
      </c>
      <c r="C93" s="32"/>
      <c r="D93" s="32"/>
      <c r="E93" s="23"/>
      <c r="F93" s="23"/>
      <c r="G93" s="23"/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23"/>
      <c r="G94" s="23"/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5295.78483323301</v>
      </c>
      <c r="C95" s="32"/>
      <c r="D95" s="32"/>
      <c r="E95" s="23"/>
      <c r="F95" s="23"/>
      <c r="G95" s="23"/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10.3399216528992</v>
      </c>
      <c r="C96" s="32"/>
      <c r="D96" s="32"/>
      <c r="E96" s="23"/>
      <c r="F96" s="23"/>
      <c r="G96" s="23"/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16162.545166767</v>
      </c>
      <c r="C97" s="32"/>
      <c r="D97" s="32"/>
      <c r="E97" s="23"/>
      <c r="F97" s="23"/>
      <c r="G97" s="23"/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1563.12066080648</v>
      </c>
      <c r="C98" s="32"/>
      <c r="D98" s="32"/>
      <c r="E98" s="23"/>
      <c r="F98" s="23"/>
      <c r="G98" s="23"/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17194.3272688712</v>
      </c>
      <c r="C99" s="32"/>
      <c r="D99" s="32"/>
      <c r="E99" s="23"/>
      <c r="F99" s="23"/>
      <c r="G99" s="23"/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17194.3272688712</v>
      </c>
      <c r="C101" s="32"/>
      <c r="D101" s="32"/>
      <c r="E101" s="23"/>
      <c r="F101" s="23"/>
      <c r="G101" s="23"/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70.9090909090909</v>
      </c>
      <c r="C103" s="32"/>
      <c r="D103" s="32"/>
      <c r="E103" s="23"/>
      <c r="F103" s="23"/>
      <c r="G103" s="23"/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118</v>
      </c>
      <c r="B104" s="92" t="n">
        <f aca="false">B101/(B94)</f>
        <v>1563.12066080648</v>
      </c>
      <c r="C104" s="32"/>
      <c r="D104" s="32"/>
      <c r="E104" s="23"/>
      <c r="F104" s="23"/>
      <c r="G104" s="23"/>
      <c r="H104" s="33"/>
      <c r="J104" s="91" t="s">
        <v>118</v>
      </c>
      <c r="K104" s="92" t="e">
        <f aca="false">K101/(K94)</f>
        <v>#VALUE!</v>
      </c>
      <c r="L104" s="32"/>
      <c r="M104" s="32"/>
      <c r="N104" s="23"/>
      <c r="O104" s="23"/>
      <c r="P104" s="23"/>
      <c r="Q104" s="33"/>
      <c r="S104" s="91" t="s">
        <v>118</v>
      </c>
      <c r="T104" s="92" t="e">
        <f aca="false">T101/(T94)</f>
        <v>#VALUE!</v>
      </c>
      <c r="U104" s="32"/>
      <c r="V104" s="32"/>
      <c r="W104" s="23"/>
      <c r="X104" s="23"/>
      <c r="Y104" s="23"/>
      <c r="Z104" s="33"/>
      <c r="AB104" s="91" t="s">
        <v>118</v>
      </c>
      <c r="AC104" s="92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119</v>
      </c>
      <c r="B105" s="94" t="n">
        <f aca="false">B103+B104</f>
        <v>1634.02975171557</v>
      </c>
      <c r="C105" s="32"/>
      <c r="D105" s="32"/>
      <c r="E105" s="23" t="s">
        <v>386</v>
      </c>
      <c r="F105" s="23"/>
      <c r="G105" s="23"/>
      <c r="H105" s="33"/>
      <c r="J105" s="93" t="s">
        <v>119</v>
      </c>
      <c r="K105" s="94" t="e">
        <f aca="false">(K103+K104)</f>
        <v>#VALUE!</v>
      </c>
      <c r="L105" s="32"/>
      <c r="M105" s="32"/>
      <c r="N105" s="23"/>
      <c r="O105" s="23"/>
      <c r="P105" s="23"/>
      <c r="Q105" s="33"/>
      <c r="S105" s="93" t="s">
        <v>119</v>
      </c>
      <c r="T105" s="94" t="e">
        <f aca="false">T103+T104</f>
        <v>#VALUE!</v>
      </c>
      <c r="U105" s="32"/>
      <c r="V105" s="32"/>
      <c r="W105" s="23"/>
      <c r="X105" s="23"/>
      <c r="Y105" s="23"/>
      <c r="Z105" s="33"/>
      <c r="AB105" s="93" t="s">
        <v>119</v>
      </c>
      <c r="AC105" s="94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404</v>
      </c>
      <c r="C108" s="23"/>
      <c r="D108" s="23" t="n">
        <v>0.0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120</v>
      </c>
      <c r="B109" s="96"/>
      <c r="C109" s="96"/>
      <c r="D109" s="96"/>
      <c r="E109" s="96"/>
      <c r="F109" s="96"/>
      <c r="G109" s="96"/>
      <c r="H109" s="96"/>
      <c r="J109" s="24" t="s">
        <v>121</v>
      </c>
      <c r="K109" s="24"/>
      <c r="L109" s="24"/>
      <c r="M109" s="24"/>
      <c r="N109" s="24"/>
      <c r="O109" s="24"/>
      <c r="P109" s="24"/>
      <c r="Q109" s="24"/>
      <c r="S109" s="96" t="s">
        <v>122</v>
      </c>
      <c r="T109" s="96"/>
      <c r="U109" s="96"/>
      <c r="V109" s="96"/>
      <c r="W109" s="96"/>
      <c r="X109" s="96"/>
      <c r="Y109" s="96"/>
      <c r="Z109" s="96"/>
      <c r="AB109" s="96" t="s">
        <v>123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386</v>
      </c>
      <c r="B111" s="28" t="n">
        <v>0.0</v>
      </c>
      <c r="C111" s="28"/>
      <c r="D111" s="28"/>
      <c r="E111" s="28" t="n">
        <v>0.0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99" t="s">
        <v>233</v>
      </c>
      <c r="C114" s="99"/>
      <c r="D114" s="99"/>
      <c r="E114" s="100" t="s">
        <v>19</v>
      </c>
      <c r="F114" s="100"/>
      <c r="G114" s="100"/>
      <c r="H114" s="98"/>
      <c r="J114" s="36" t="s">
        <v>127</v>
      </c>
      <c r="K114" s="101" t="s">
        <v>128</v>
      </c>
      <c r="L114" s="101"/>
      <c r="M114" s="101"/>
      <c r="N114" s="100" t="s">
        <v>18</v>
      </c>
      <c r="O114" s="100"/>
      <c r="P114" s="100"/>
      <c r="Q114" s="98"/>
      <c r="S114" s="36" t="s">
        <v>127</v>
      </c>
      <c r="T114" s="99" t="s">
        <v>128</v>
      </c>
      <c r="U114" s="99"/>
      <c r="V114" s="99"/>
      <c r="W114" s="100" t="s">
        <v>18</v>
      </c>
      <c r="X114" s="100"/>
      <c r="Y114" s="100"/>
      <c r="Z114" s="98"/>
      <c r="AB114" s="36" t="s">
        <v>127</v>
      </c>
      <c r="AC114" s="99" t="s">
        <v>128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98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98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98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98"/>
    </row>
    <row r="117" customFormat="false" ht="17.35" hidden="false" customHeight="false" outlineLevel="0" collapsed="false">
      <c r="A117" s="102" t="n">
        <v>0.3</v>
      </c>
      <c r="B117" s="103" t="s">
        <v>132</v>
      </c>
      <c r="C117" s="103"/>
      <c r="D117" s="103"/>
      <c r="E117" s="104" t="n">
        <f aca="false">B92</f>
        <v>0.1255</v>
      </c>
      <c r="F117" s="104"/>
      <c r="G117" s="104"/>
      <c r="H117" s="47"/>
      <c r="J117" s="102" t="n">
        <v>0.3</v>
      </c>
      <c r="K117" s="103" t="s">
        <v>132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133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133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0.0</v>
      </c>
      <c r="C120" s="103"/>
      <c r="D120" s="103"/>
      <c r="E120" s="103" t="n">
        <v>0.0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98"/>
      <c r="J122" s="106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98"/>
      <c r="S122" s="106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98"/>
      <c r="AB122" s="106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406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109"/>
      <c r="C127" s="109"/>
      <c r="D127" s="109"/>
      <c r="E127" s="109"/>
      <c r="F127" s="109"/>
      <c r="G127" s="109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143</v>
      </c>
      <c r="C128" s="110"/>
      <c r="D128" s="110" t="s">
        <v>144</v>
      </c>
      <c r="E128" s="110"/>
      <c r="F128" s="110" t="s">
        <v>145</v>
      </c>
      <c r="G128" s="110"/>
      <c r="H128" s="111" t="s">
        <v>146</v>
      </c>
      <c r="J128" s="78"/>
      <c r="K128" s="110" t="s">
        <v>143</v>
      </c>
      <c r="L128" s="110"/>
      <c r="M128" s="110" t="s">
        <v>144</v>
      </c>
      <c r="N128" s="110"/>
      <c r="O128" s="110" t="s">
        <v>145</v>
      </c>
      <c r="P128" s="110"/>
      <c r="Q128" s="111" t="s">
        <v>146</v>
      </c>
      <c r="S128" s="78"/>
      <c r="T128" s="110" t="s">
        <v>143</v>
      </c>
      <c r="U128" s="110"/>
      <c r="V128" s="110" t="s">
        <v>144</v>
      </c>
      <c r="W128" s="110"/>
      <c r="X128" s="110" t="s">
        <v>145</v>
      </c>
      <c r="Y128" s="110"/>
      <c r="Z128" s="111" t="s">
        <v>146</v>
      </c>
      <c r="AB128" s="78"/>
      <c r="AC128" s="110" t="s">
        <v>143</v>
      </c>
      <c r="AD128" s="110"/>
      <c r="AE128" s="110" t="s">
        <v>144</v>
      </c>
      <c r="AF128" s="110"/>
      <c r="AG128" s="110" t="s">
        <v>145</v>
      </c>
      <c r="AH128" s="110"/>
      <c r="AI128" s="111" t="s">
        <v>146</v>
      </c>
    </row>
    <row r="129" customFormat="false" ht="19.7" hidden="false" customHeight="false" outlineLevel="0" collapsed="false">
      <c r="A129" s="80"/>
      <c r="B129" s="112" t="s">
        <v>147</v>
      </c>
      <c r="C129" s="113" t="s">
        <v>148</v>
      </c>
      <c r="D129" s="112" t="s">
        <v>147</v>
      </c>
      <c r="E129" s="114" t="s">
        <v>148</v>
      </c>
      <c r="F129" s="112" t="s">
        <v>147</v>
      </c>
      <c r="G129" s="114" t="s">
        <v>148</v>
      </c>
      <c r="H129" s="115"/>
      <c r="J129" s="80"/>
      <c r="K129" s="112" t="s">
        <v>147</v>
      </c>
      <c r="L129" s="113" t="s">
        <v>148</v>
      </c>
      <c r="M129" s="112" t="s">
        <v>147</v>
      </c>
      <c r="N129" s="114" t="s">
        <v>148</v>
      </c>
      <c r="O129" s="112" t="s">
        <v>147</v>
      </c>
      <c r="P129" s="114" t="s">
        <v>148</v>
      </c>
      <c r="Q129" s="115"/>
      <c r="S129" s="80"/>
      <c r="T129" s="112" t="s">
        <v>147</v>
      </c>
      <c r="U129" s="113" t="s">
        <v>148</v>
      </c>
      <c r="V129" s="112" t="s">
        <v>147</v>
      </c>
      <c r="W129" s="114" t="s">
        <v>148</v>
      </c>
      <c r="X129" s="112" t="s">
        <v>147</v>
      </c>
      <c r="Y129" s="114" t="s">
        <v>148</v>
      </c>
      <c r="Z129" s="115"/>
      <c r="AB129" s="80"/>
      <c r="AC129" s="112" t="s">
        <v>147</v>
      </c>
      <c r="AD129" s="113" t="s">
        <v>148</v>
      </c>
      <c r="AE129" s="112" t="s">
        <v>147</v>
      </c>
      <c r="AF129" s="114" t="s">
        <v>148</v>
      </c>
      <c r="AG129" s="112" t="s">
        <v>147</v>
      </c>
      <c r="AH129" s="114" t="s">
        <v>148</v>
      </c>
      <c r="AI129" s="115"/>
    </row>
    <row r="130" customFormat="false" ht="17.35" hidden="false" customHeight="false" outlineLevel="0" collapsed="false">
      <c r="A130" s="25" t="s">
        <v>149</v>
      </c>
      <c r="B130" s="116" t="n">
        <f aca="false">E19</f>
        <v>26949.996</v>
      </c>
      <c r="C130" s="117" t="n">
        <v>24375.0</v>
      </c>
      <c r="D130" s="116" t="n">
        <f aca="false">D12</f>
        <v>0</v>
      </c>
      <c r="E130" s="117" t="n">
        <f aca="false">D130</f>
        <v>0</v>
      </c>
      <c r="F130" s="116" t="n">
        <v>0</v>
      </c>
      <c r="G130" s="117" t="n">
        <f aca="false">F130</f>
        <v>0</v>
      </c>
      <c r="H130" s="118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18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18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19" t="n">
        <v>0</v>
      </c>
      <c r="C131" s="120" t="n">
        <f aca="false">B131</f>
        <v>0</v>
      </c>
      <c r="D131" s="119" t="n">
        <v>0</v>
      </c>
      <c r="E131" s="120" t="n">
        <f aca="false">D131</f>
        <v>0</v>
      </c>
      <c r="F131" s="119" t="n">
        <v>0</v>
      </c>
      <c r="G131" s="121" t="n">
        <f aca="false">F131</f>
        <v>0</v>
      </c>
      <c r="H131" s="122"/>
      <c r="J131" s="31" t="s">
        <v>150</v>
      </c>
      <c r="K131" s="123" t="n">
        <f aca="false">B4</f>
        <v>26949.996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str">
        <f aca="false">F4</f>
        <v> </v>
      </c>
      <c r="P131" s="124" t="str">
        <f aca="false">O131</f>
        <v> </v>
      </c>
      <c r="Q131" s="125"/>
      <c r="S131" s="31" t="s">
        <v>150</v>
      </c>
      <c r="T131" s="123" t="n">
        <f aca="false">B4</f>
        <v>26949.996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str">
        <f aca="false">F4</f>
        <v> </v>
      </c>
      <c r="Y131" s="124" t="str">
        <f aca="false">X131</f>
        <v> </v>
      </c>
      <c r="Z131" s="125"/>
      <c r="AB131" s="31" t="s">
        <v>150</v>
      </c>
      <c r="AC131" s="123" t="n">
        <f aca="false">B4</f>
        <v>26949.996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str">
        <f aca="false">F4</f>
        <v> </v>
      </c>
      <c r="AH131" s="124" t="str">
        <f aca="false">AG131</f>
        <v> </v>
      </c>
      <c r="AI131" s="125"/>
    </row>
    <row r="132" customFormat="false" ht="17.35" hidden="false" customHeight="false" outlineLevel="0" collapsed="false">
      <c r="A132" s="31" t="s">
        <v>151</v>
      </c>
      <c r="B132" s="126" t="n">
        <v>0</v>
      </c>
      <c r="C132" s="117" t="n">
        <f aca="false">B132</f>
        <v>0</v>
      </c>
      <c r="D132" s="126" t="n">
        <v>0</v>
      </c>
      <c r="E132" s="117" t="n">
        <f aca="false">D132</f>
        <v>0</v>
      </c>
      <c r="F132" s="126" t="n">
        <v>0</v>
      </c>
      <c r="G132" s="117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26" t="n">
        <f aca="false">(B130*B131)+B132</f>
        <v>0</v>
      </c>
      <c r="C133" s="127" t="n">
        <f aca="false">(C130*C131/100)+C132</f>
        <v>0</v>
      </c>
      <c r="D133" s="126" t="n">
        <f aca="false">(D130*D131)+D132</f>
        <v>0</v>
      </c>
      <c r="E133" s="127" t="n">
        <f aca="false">(E130*E131/100)+E132</f>
        <v>0</v>
      </c>
      <c r="F133" s="126" t="n">
        <f aca="false">(F130*F131)+F132</f>
        <v>0</v>
      </c>
      <c r="G133" s="1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28" t="n">
        <f aca="false">B130-B133</f>
        <v>26949.996</v>
      </c>
      <c r="C134" s="129" t="n">
        <f aca="false">C130-C133</f>
        <v>24375</v>
      </c>
      <c r="D134" s="128" t="n">
        <f aca="false">D130-D133</f>
        <v>0</v>
      </c>
      <c r="E134" s="129" t="n">
        <f aca="false">E130-E133</f>
        <v>0</v>
      </c>
      <c r="F134" s="128" t="n">
        <f aca="false">F130-F133</f>
        <v>0</v>
      </c>
      <c r="G134" s="129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130"/>
      <c r="C135" s="130"/>
      <c r="D135" s="130"/>
      <c r="E135" s="130"/>
      <c r="F135" s="130"/>
      <c r="G135" s="130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2"/>
      <c r="C136" s="132"/>
      <c r="D136" s="132"/>
      <c r="E136" s="132"/>
      <c r="F136" s="132"/>
      <c r="G136" s="133" t="s">
        <v>147</v>
      </c>
      <c r="H136" s="134" t="s">
        <v>148</v>
      </c>
      <c r="J136" s="131"/>
      <c r="K136" s="135"/>
      <c r="L136" s="135"/>
      <c r="M136" s="135"/>
      <c r="N136" s="135"/>
      <c r="O136" s="135"/>
      <c r="P136" s="136" t="s">
        <v>147</v>
      </c>
      <c r="Q136" s="134" t="s">
        <v>148</v>
      </c>
      <c r="S136" s="131"/>
      <c r="T136" s="135"/>
      <c r="U136" s="135"/>
      <c r="V136" s="135"/>
      <c r="W136" s="135"/>
      <c r="X136" s="135"/>
      <c r="Y136" s="136" t="s">
        <v>147</v>
      </c>
      <c r="Z136" s="134" t="s">
        <v>148</v>
      </c>
      <c r="AB136" s="131"/>
      <c r="AC136" s="135"/>
      <c r="AD136" s="135"/>
      <c r="AE136" s="135"/>
      <c r="AF136" s="135"/>
      <c r="AG136" s="135"/>
      <c r="AH136" s="136" t="s">
        <v>147</v>
      </c>
      <c r="AI136" s="134" t="s">
        <v>148</v>
      </c>
    </row>
    <row r="137" customFormat="false" ht="17.35" hidden="false" customHeight="false" outlineLevel="0" collapsed="false">
      <c r="A137" s="137" t="s">
        <v>154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154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154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154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130"/>
      <c r="C138" s="130"/>
      <c r="D138" s="130"/>
      <c r="E138" s="130"/>
      <c r="F138" s="130"/>
      <c r="G138" s="141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155</v>
      </c>
      <c r="B139" s="141" t="s">
        <v>156</v>
      </c>
      <c r="C139" s="141"/>
      <c r="D139" s="141" t="s">
        <v>157</v>
      </c>
      <c r="E139" s="141"/>
      <c r="F139" s="141" t="s">
        <v>151</v>
      </c>
      <c r="G139" s="141"/>
      <c r="H139" s="142" t="s">
        <v>148</v>
      </c>
      <c r="J139" s="144" t="s">
        <v>155</v>
      </c>
      <c r="K139" s="145" t="s">
        <v>156</v>
      </c>
      <c r="L139" s="145"/>
      <c r="M139" s="141" t="s">
        <v>157</v>
      </c>
      <c r="N139" s="141"/>
      <c r="O139" s="141" t="s">
        <v>151</v>
      </c>
      <c r="P139" s="141"/>
      <c r="Q139" s="142" t="s">
        <v>148</v>
      </c>
      <c r="S139" s="144" t="s">
        <v>155</v>
      </c>
      <c r="T139" s="141" t="s">
        <v>156</v>
      </c>
      <c r="U139" s="141"/>
      <c r="V139" s="141" t="s">
        <v>157</v>
      </c>
      <c r="W139" s="141"/>
      <c r="X139" s="141" t="s">
        <v>151</v>
      </c>
      <c r="Y139" s="141"/>
      <c r="Z139" s="142" t="s">
        <v>148</v>
      </c>
      <c r="AB139" s="144" t="s">
        <v>155</v>
      </c>
      <c r="AC139" s="141" t="s">
        <v>156</v>
      </c>
      <c r="AD139" s="141"/>
      <c r="AE139" s="141" t="s">
        <v>157</v>
      </c>
      <c r="AF139" s="141"/>
      <c r="AG139" s="141" t="s">
        <v>151</v>
      </c>
      <c r="AH139" s="141"/>
      <c r="AI139" s="142" t="s">
        <v>148</v>
      </c>
    </row>
    <row r="140" customFormat="false" ht="17.35" hidden="false" customHeight="false" outlineLevel="0" collapsed="false">
      <c r="A140" s="31" t="s">
        <v>158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158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158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158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159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159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159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160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160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160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130"/>
      <c r="C143" s="130"/>
      <c r="D143" s="130"/>
      <c r="E143" s="130"/>
      <c r="F143" s="130"/>
      <c r="G143" s="141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161</v>
      </c>
      <c r="B144" s="149"/>
      <c r="C144" s="149"/>
      <c r="D144" s="149"/>
      <c r="E144" s="149"/>
      <c r="F144" s="149"/>
      <c r="G144" s="133" t="n">
        <f aca="false">E21</f>
        <v>22458.33</v>
      </c>
      <c r="H144" s="150" t="n">
        <f aca="false">C134+E134+G134+H137</f>
        <v>24375</v>
      </c>
      <c r="J144" s="149" t="s">
        <v>161</v>
      </c>
      <c r="K144" s="149"/>
      <c r="L144" s="149"/>
      <c r="M144" s="149"/>
      <c r="N144" s="149"/>
      <c r="O144" s="149"/>
      <c r="P144" s="136" t="n">
        <f aca="false">H9</f>
        <v>0</v>
      </c>
      <c r="Q144" s="150" t="e">
        <f aca="false">L134+N134+P134+Q137</f>
        <v>#VALUE!</v>
      </c>
      <c r="S144" s="149" t="s">
        <v>161</v>
      </c>
      <c r="T144" s="149"/>
      <c r="U144" s="149"/>
      <c r="V144" s="149"/>
      <c r="W144" s="149"/>
      <c r="X144" s="149"/>
      <c r="Y144" s="136" t="n">
        <f aca="false">H9</f>
        <v>0</v>
      </c>
      <c r="Z144" s="150" t="e">
        <f aca="false">U134+W134+Y134+Z137</f>
        <v>#VALUE!</v>
      </c>
      <c r="AB144" s="149" t="s">
        <v>161</v>
      </c>
      <c r="AC144" s="149"/>
      <c r="AD144" s="149"/>
      <c r="AE144" s="149"/>
      <c r="AF144" s="149"/>
      <c r="AG144" s="149"/>
      <c r="AH144" s="136" t="n">
        <f aca="false">H9</f>
        <v>0</v>
      </c>
      <c r="AI144" s="150" t="e">
        <f aca="false">AD134+AF134+AH134+AI137</f>
        <v>#VALUE!</v>
      </c>
    </row>
    <row r="145" customFormat="false" ht="17.35" hidden="false" customHeight="false" outlineLevel="0" collapsed="false">
      <c r="A145" s="151" t="s">
        <v>162</v>
      </c>
      <c r="B145" s="151"/>
      <c r="C145" s="151"/>
      <c r="D145" s="151"/>
      <c r="E145" s="151"/>
      <c r="F145" s="151"/>
      <c r="G145" s="152" t="n">
        <f aca="false">H19</f>
        <v>0</v>
      </c>
      <c r="H145" s="33" t="n">
        <f aca="false">G145</f>
        <v>0</v>
      </c>
      <c r="J145" s="151" t="s">
        <v>162</v>
      </c>
      <c r="K145" s="151"/>
      <c r="L145" s="151"/>
      <c r="M145" s="151"/>
      <c r="N145" s="151"/>
      <c r="O145" s="151"/>
      <c r="P145" s="153" t="n">
        <f aca="false">H10</f>
        <v>0</v>
      </c>
      <c r="Q145" s="33" t="n">
        <f aca="false">P145</f>
        <v>0</v>
      </c>
      <c r="S145" s="151" t="s">
        <v>162</v>
      </c>
      <c r="T145" s="151"/>
      <c r="U145" s="151"/>
      <c r="V145" s="151"/>
      <c r="W145" s="151"/>
      <c r="X145" s="151"/>
      <c r="Y145" s="153" t="n">
        <f aca="false">H10</f>
        <v>0</v>
      </c>
      <c r="Z145" s="33" t="n">
        <f aca="false">Y145</f>
        <v>0</v>
      </c>
      <c r="AB145" s="151" t="s">
        <v>162</v>
      </c>
      <c r="AC145" s="151"/>
      <c r="AD145" s="151"/>
      <c r="AE145" s="151"/>
      <c r="AF145" s="151"/>
      <c r="AG145" s="151"/>
      <c r="AH145" s="153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1" t="s">
        <v>163</v>
      </c>
      <c r="B146" s="151"/>
      <c r="C146" s="151"/>
      <c r="D146" s="151"/>
      <c r="E146" s="151"/>
      <c r="F146" s="151"/>
      <c r="G146" s="33" t="n">
        <f aca="false">(G144+G145)*20%</f>
        <v>4491.666</v>
      </c>
      <c r="H146" s="33" t="n">
        <f aca="false">(H144+H145)*20%</f>
        <v>4875</v>
      </c>
      <c r="J146" s="151" t="s">
        <v>163</v>
      </c>
      <c r="K146" s="151"/>
      <c r="L146" s="151"/>
      <c r="M146" s="151"/>
      <c r="N146" s="151"/>
      <c r="O146" s="151"/>
      <c r="P146" s="153" t="n">
        <f aca="false">H11</f>
        <v>0</v>
      </c>
      <c r="Q146" s="33" t="e">
        <f aca="false">(Q144+Q145)*20%</f>
        <v>#VALUE!</v>
      </c>
      <c r="S146" s="151" t="s">
        <v>163</v>
      </c>
      <c r="T146" s="151"/>
      <c r="U146" s="151"/>
      <c r="V146" s="151"/>
      <c r="W146" s="151"/>
      <c r="X146" s="151"/>
      <c r="Y146" s="153" t="n">
        <f aca="false">H11</f>
        <v>0</v>
      </c>
      <c r="Z146" s="33" t="e">
        <f aca="false">(Z144+Z145)*20%</f>
        <v>#VALUE!</v>
      </c>
      <c r="AB146" s="151" t="s">
        <v>163</v>
      </c>
      <c r="AC146" s="151"/>
      <c r="AD146" s="151"/>
      <c r="AE146" s="151"/>
      <c r="AF146" s="151"/>
      <c r="AG146" s="151"/>
      <c r="AH146" s="153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1" t="s">
        <v>164</v>
      </c>
      <c r="B147" s="151"/>
      <c r="C147" s="151"/>
      <c r="D147" s="151"/>
      <c r="E147" s="151"/>
      <c r="F147" s="151"/>
      <c r="G147" s="152" t="n">
        <f aca="false">H21</f>
        <v>0</v>
      </c>
      <c r="H147" s="33" t="n">
        <v>0</v>
      </c>
      <c r="J147" s="151" t="s">
        <v>164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164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164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165</v>
      </c>
      <c r="B148" s="151"/>
      <c r="C148" s="151"/>
      <c r="D148" s="151"/>
      <c r="E148" s="151"/>
      <c r="F148" s="151"/>
      <c r="G148" s="152" t="n">
        <f aca="false">H22</f>
        <v>0</v>
      </c>
      <c r="H148" s="33" t="n">
        <f aca="false">G148</f>
        <v>0</v>
      </c>
      <c r="J148" s="151" t="s">
        <v>165</v>
      </c>
      <c r="K148" s="151"/>
      <c r="L148" s="151"/>
      <c r="M148" s="151"/>
      <c r="N148" s="151"/>
      <c r="O148" s="151"/>
      <c r="P148" s="153" t="n">
        <f aca="false">H13</f>
        <v>0</v>
      </c>
      <c r="Q148" s="33" t="n">
        <f aca="false">P148</f>
        <v>0</v>
      </c>
      <c r="S148" s="151" t="s">
        <v>165</v>
      </c>
      <c r="T148" s="151"/>
      <c r="U148" s="151"/>
      <c r="V148" s="151"/>
      <c r="W148" s="151"/>
      <c r="X148" s="151"/>
      <c r="Y148" s="153" t="n">
        <f aca="false">H13</f>
        <v>0</v>
      </c>
      <c r="Z148" s="33" t="n">
        <f aca="false">Y148</f>
        <v>0</v>
      </c>
      <c r="AB148" s="151" t="s">
        <v>165</v>
      </c>
      <c r="AC148" s="151"/>
      <c r="AD148" s="151"/>
      <c r="AE148" s="151"/>
      <c r="AF148" s="151"/>
      <c r="AG148" s="151"/>
      <c r="AH148" s="153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1" t="s">
        <v>166</v>
      </c>
      <c r="B149" s="151"/>
      <c r="C149" s="151"/>
      <c r="D149" s="151"/>
      <c r="E149" s="151"/>
      <c r="F149" s="151"/>
      <c r="G149" s="152" t="n">
        <f aca="false">H23</f>
        <v>0</v>
      </c>
      <c r="H149" s="33" t="n">
        <v>0</v>
      </c>
      <c r="J149" s="151" t="s">
        <v>166</v>
      </c>
      <c r="K149" s="151"/>
      <c r="L149" s="151"/>
      <c r="M149" s="151"/>
      <c r="N149" s="151"/>
      <c r="O149" s="151"/>
      <c r="P149" s="153" t="n">
        <f aca="false">H14</f>
        <v>0</v>
      </c>
      <c r="Q149" s="33" t="n">
        <v>55</v>
      </c>
      <c r="S149" s="151" t="s">
        <v>166</v>
      </c>
      <c r="T149" s="151"/>
      <c r="U149" s="151"/>
      <c r="V149" s="151"/>
      <c r="W149" s="151"/>
      <c r="X149" s="151"/>
      <c r="Y149" s="153" t="n">
        <f aca="false">H14</f>
        <v>0</v>
      </c>
      <c r="Z149" s="33" t="n">
        <v>55</v>
      </c>
      <c r="AB149" s="151" t="s">
        <v>166</v>
      </c>
      <c r="AC149" s="151"/>
      <c r="AD149" s="151"/>
      <c r="AE149" s="151"/>
      <c r="AF149" s="151"/>
      <c r="AG149" s="151"/>
      <c r="AH149" s="153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1" t="s">
        <v>167</v>
      </c>
      <c r="B150" s="151"/>
      <c r="C150" s="151"/>
      <c r="D150" s="151"/>
      <c r="E150" s="151"/>
      <c r="F150" s="151"/>
      <c r="G150" s="154" t="n">
        <f aca="false">(G144+G145+G148+G149+G146)-G147</f>
        <v>26949.996</v>
      </c>
      <c r="H150" s="154" t="n">
        <f aca="false">(H144+H145+H148+H149+H146)-H147</f>
        <v>29250</v>
      </c>
      <c r="J150" s="151" t="s">
        <v>167</v>
      </c>
      <c r="K150" s="151"/>
      <c r="L150" s="151"/>
      <c r="M150" s="151"/>
      <c r="N150" s="151"/>
      <c r="O150" s="151"/>
      <c r="P150" s="155" t="n">
        <f aca="false">H15</f>
        <v>0</v>
      </c>
      <c r="Q150" s="154" t="e">
        <f aca="false">(Q144+Q145+Q148+Q149+Q146)-Q147</f>
        <v>#VALUE!</v>
      </c>
      <c r="S150" s="151" t="s">
        <v>167</v>
      </c>
      <c r="T150" s="151"/>
      <c r="U150" s="151"/>
      <c r="V150" s="151"/>
      <c r="W150" s="151"/>
      <c r="X150" s="151"/>
      <c r="Y150" s="155" t="n">
        <f aca="false">H15</f>
        <v>0</v>
      </c>
      <c r="Z150" s="154" t="e">
        <f aca="false">(Z144+Z145+Z148+Z149+Z146)-Z147</f>
        <v>#VALUE!</v>
      </c>
      <c r="AB150" s="151" t="s">
        <v>167</v>
      </c>
      <c r="AC150" s="151"/>
      <c r="AD150" s="151"/>
      <c r="AE150" s="151"/>
      <c r="AF150" s="151"/>
      <c r="AG150" s="151"/>
      <c r="AH150" s="155" t="n">
        <f aca="false">H15</f>
        <v>0</v>
      </c>
      <c r="AI150" s="154" t="e">
        <f aca="false">(AI144+AI145+AI148+AI149+AI146)-AI147</f>
        <v>#VALUE!</v>
      </c>
    </row>
    <row r="151" customFormat="false" ht="17.35" hidden="false" customHeight="false" outlineLevel="0" collapsed="false">
      <c r="A151" s="151" t="s">
        <v>168</v>
      </c>
      <c r="B151" s="151"/>
      <c r="C151" s="151"/>
      <c r="D151" s="151"/>
      <c r="E151" s="151"/>
      <c r="F151" s="151"/>
      <c r="G151" s="40" t="n">
        <f aca="false">F151</f>
        <v>0</v>
      </c>
      <c r="H151" s="40" t="n">
        <f aca="false">G151</f>
        <v>0</v>
      </c>
      <c r="J151" s="151" t="s">
        <v>168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168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168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169</v>
      </c>
      <c r="B152" s="107"/>
      <c r="C152" s="107"/>
      <c r="D152" s="107"/>
      <c r="E152" s="107" t="n">
        <v>0.0</v>
      </c>
      <c r="F152" s="107"/>
      <c r="G152" s="33" t="n">
        <v>0.0</v>
      </c>
      <c r="H152" s="33"/>
      <c r="J152" s="156" t="s">
        <v>169</v>
      </c>
      <c r="K152" s="156"/>
      <c r="L152" s="156"/>
      <c r="M152" s="156"/>
      <c r="N152" s="156"/>
      <c r="O152" s="156"/>
      <c r="P152" s="38"/>
      <c r="Q152" s="33"/>
      <c r="S152" s="107" t="s">
        <v>169</v>
      </c>
      <c r="T152" s="107"/>
      <c r="U152" s="107"/>
      <c r="V152" s="107"/>
      <c r="W152" s="107"/>
      <c r="X152" s="107"/>
      <c r="Y152" s="38"/>
      <c r="Z152" s="33"/>
      <c r="AB152" s="107" t="s">
        <v>169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n">
        <v>0</v>
      </c>
      <c r="C153" s="158"/>
      <c r="D153" s="158"/>
      <c r="E153" s="158"/>
      <c r="F153" s="158"/>
      <c r="G153" s="40" t="n">
        <v>0.0</v>
      </c>
      <c r="H153" s="40" t="n">
        <v>0</v>
      </c>
      <c r="J153" s="157" t="s">
        <v>13</v>
      </c>
      <c r="K153" s="158" t="s">
        <v>170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170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170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170</v>
      </c>
      <c r="C154" s="158"/>
      <c r="D154" s="158"/>
      <c r="E154" s="158"/>
      <c r="F154" s="158"/>
      <c r="G154" s="40" t="n"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170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170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170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170</v>
      </c>
      <c r="C155" s="160"/>
      <c r="D155" s="160"/>
      <c r="E155" s="160"/>
      <c r="F155" s="160"/>
      <c r="G155" s="40" t="n"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170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170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170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171</v>
      </c>
      <c r="B156" s="151"/>
      <c r="C156" s="151"/>
      <c r="D156" s="151"/>
      <c r="E156" s="151"/>
      <c r="F156" s="151"/>
      <c r="G156" s="161" t="n">
        <f aca="false">G150-((G153*1.2)+(G154*1.2)+(G155*1.2)+(G151*1.2))</f>
        <v>26949.996</v>
      </c>
      <c r="H156" s="161" t="n">
        <f aca="false">H150-((H153*1.2)+(H154*1.2)+(H155*1.2)+(H151*1.2))</f>
        <v>29250</v>
      </c>
      <c r="J156" s="162" t="s">
        <v>171</v>
      </c>
      <c r="K156" s="162"/>
      <c r="L156" s="162"/>
      <c r="M156" s="162"/>
      <c r="N156" s="162"/>
      <c r="O156" s="162"/>
      <c r="P156" s="155" t="n">
        <f aca="false">P150-((P153*1.2)+(P154*1.2)+(P155*1.2)+(P151*1.2))</f>
        <v>0</v>
      </c>
      <c r="Q156" s="161" t="e">
        <f aca="false">Q150-((Q153*1.2)+(Q154*1.2)+(Q155*1.2)+(Q151*1.2))</f>
        <v>#VALUE!</v>
      </c>
      <c r="S156" s="151" t="s">
        <v>171</v>
      </c>
      <c r="T156" s="151"/>
      <c r="U156" s="151"/>
      <c r="V156" s="151"/>
      <c r="W156" s="151"/>
      <c r="X156" s="151"/>
      <c r="Y156" s="155" t="n">
        <f aca="false">Y150-((Y153*1.2)+(Y154*1.2)+(Y155*1.2)+(Y151*1.2))</f>
        <v>0</v>
      </c>
      <c r="Z156" s="161" t="e">
        <f aca="false">Z150-((Z153*1.2)+(Z154*1.2)+(Z155*1.2)+(Z151*1.2))</f>
        <v>#VALUE!</v>
      </c>
      <c r="AB156" s="151" t="s">
        <v>171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0</v>
      </c>
      <c r="AI156" s="161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1" t="s">
        <v>172</v>
      </c>
      <c r="B157" s="151"/>
      <c r="C157" s="151"/>
      <c r="D157" s="151"/>
      <c r="E157" s="151"/>
      <c r="F157" s="151"/>
      <c r="G157" s="152"/>
      <c r="H157" s="40" t="n">
        <f aca="false">((H156-G156)-(H146-G146))+((I155-I154)*0.2)</f>
        <v>1916.67</v>
      </c>
      <c r="I157" s="1" t="n">
        <f aca="false">(H157-G90)/1.2</f>
        <v>1597.225</v>
      </c>
      <c r="J157" s="151" t="s">
        <v>172</v>
      </c>
      <c r="K157" s="151"/>
      <c r="L157" s="151"/>
      <c r="M157" s="151"/>
      <c r="N157" s="151"/>
      <c r="O157" s="151"/>
      <c r="P157" s="153"/>
      <c r="Q157" s="40" t="e">
        <f aca="false">Q156-P156</f>
        <v>#VALUE!</v>
      </c>
      <c r="S157" s="151" t="s">
        <v>172</v>
      </c>
      <c r="T157" s="151"/>
      <c r="U157" s="151"/>
      <c r="V157" s="151"/>
      <c r="W157" s="151"/>
      <c r="X157" s="151"/>
      <c r="Y157" s="153"/>
      <c r="Z157" s="40" t="e">
        <f aca="false">Z156-Y156</f>
        <v>#VALUE!</v>
      </c>
      <c r="AB157" s="151" t="s">
        <v>172</v>
      </c>
      <c r="AC157" s="151"/>
      <c r="AD157" s="151"/>
      <c r="AE157" s="151"/>
      <c r="AF157" s="151"/>
      <c r="AG157" s="151"/>
      <c r="AH157" s="153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3" t="n">
        <v>0.0</v>
      </c>
      <c r="F161" s="103"/>
      <c r="G161" s="103" t="n">
        <v>0.0</v>
      </c>
      <c r="H161" s="103"/>
      <c r="J161" s="31" t="s">
        <v>174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174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174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3" t="n">
        <f aca="false">G162</f>
        <v>0</v>
      </c>
      <c r="F162" s="163"/>
      <c r="G162" s="103" t="n">
        <v>0.0</v>
      </c>
      <c r="H162" s="103"/>
      <c r="J162" s="31" t="s">
        <v>175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175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175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176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176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176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177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177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177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178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178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178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179</v>
      </c>
      <c r="B167" s="32"/>
      <c r="C167" s="32"/>
      <c r="D167" s="23"/>
      <c r="E167" s="32"/>
      <c r="F167" s="23"/>
      <c r="G167" s="167" t="n">
        <f aca="false">H156-G163-G166</f>
        <v>29250</v>
      </c>
      <c r="H167" s="167"/>
      <c r="J167" s="166" t="s">
        <v>179</v>
      </c>
      <c r="K167" s="32"/>
      <c r="L167" s="32"/>
      <c r="M167" s="23"/>
      <c r="N167" s="32"/>
      <c r="O167" s="23"/>
      <c r="P167" s="167" t="e">
        <f aca="false">Q156-P163-P166</f>
        <v>#VALUE!</v>
      </c>
      <c r="Q167" s="167"/>
      <c r="S167" s="166" t="s">
        <v>179</v>
      </c>
      <c r="T167" s="32"/>
      <c r="U167" s="32"/>
      <c r="V167" s="23"/>
      <c r="W167" s="32"/>
      <c r="X167" s="23"/>
      <c r="Y167" s="167" t="e">
        <f aca="false">Z156-Y163-Y166</f>
        <v>#VALUE!</v>
      </c>
      <c r="Z167" s="167"/>
      <c r="AB167" s="166" t="s">
        <v>179</v>
      </c>
      <c r="AC167" s="32"/>
      <c r="AD167" s="32"/>
      <c r="AE167" s="23"/>
      <c r="AF167" s="32"/>
      <c r="AG167" s="23"/>
      <c r="AH167" s="167" t="e">
        <f aca="false">AI156-AH163-AH166</f>
        <v>#VALUE!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199.99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181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181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181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182</v>
      </c>
      <c r="B175" s="171" t="s">
        <v>183</v>
      </c>
      <c r="C175" s="171"/>
      <c r="D175" s="171"/>
      <c r="E175" s="171" t="s">
        <v>184</v>
      </c>
      <c r="F175" s="23"/>
      <c r="G175" s="23"/>
      <c r="H175" s="33"/>
      <c r="J175" s="170" t="s">
        <v>182</v>
      </c>
      <c r="K175" s="172" t="s">
        <v>183</v>
      </c>
      <c r="L175" s="172"/>
      <c r="M175" s="172"/>
      <c r="N175" s="172" t="s">
        <v>184</v>
      </c>
      <c r="O175" s="23"/>
      <c r="P175" s="23"/>
      <c r="Q175" s="33"/>
      <c r="S175" s="170" t="s">
        <v>182</v>
      </c>
      <c r="T175" s="172" t="s">
        <v>183</v>
      </c>
      <c r="U175" s="172"/>
      <c r="V175" s="172"/>
      <c r="W175" s="172" t="s">
        <v>184</v>
      </c>
      <c r="X175" s="23"/>
      <c r="Y175" s="23"/>
      <c r="Z175" s="33"/>
      <c r="AB175" s="170" t="s">
        <v>182</v>
      </c>
      <c r="AC175" s="172" t="s">
        <v>183</v>
      </c>
      <c r="AD175" s="172"/>
      <c r="AE175" s="172"/>
      <c r="AF175" s="172" t="s">
        <v>184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1563.12066080648</v>
      </c>
      <c r="B176" s="174" t="n">
        <f aca="false">B103</f>
        <v>70.9090909090909</v>
      </c>
      <c r="C176" s="171"/>
      <c r="D176" s="171"/>
      <c r="E176" s="174" t="n">
        <f aca="false">B105</f>
        <v>1634.02975171557</v>
      </c>
      <c r="F176" s="23"/>
      <c r="G176" s="23"/>
      <c r="H176" s="33"/>
      <c r="J176" s="173" t="e">
        <f aca="false">K104</f>
        <v>#VALUE!</v>
      </c>
      <c r="K176" s="175" t="n">
        <f aca="false">K103</f>
        <v>0</v>
      </c>
      <c r="L176" s="172"/>
      <c r="M176" s="172"/>
      <c r="N176" s="175" t="e">
        <f aca="false">K105</f>
        <v>#VALUE!</v>
      </c>
      <c r="O176" s="23"/>
      <c r="P176" s="23"/>
      <c r="Q176" s="33"/>
      <c r="S176" s="173" t="e">
        <f aca="false">T104</f>
        <v>#VALUE!</v>
      </c>
      <c r="T176" s="175" t="n">
        <f aca="false">T103</f>
        <v>0</v>
      </c>
      <c r="U176" s="172"/>
      <c r="V176" s="172"/>
      <c r="W176" s="175" t="e">
        <f aca="false">T105</f>
        <v>#VALUE!</v>
      </c>
      <c r="X176" s="23"/>
      <c r="Y176" s="23"/>
      <c r="Z176" s="33"/>
      <c r="AB176" s="173" t="e">
        <f aca="false">AC104</f>
        <v>#VALUE!</v>
      </c>
      <c r="AC176" s="175" t="n">
        <f aca="false">AC103</f>
        <v>0</v>
      </c>
      <c r="AD176" s="172"/>
      <c r="AE176" s="172"/>
      <c r="AF176" s="175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130" t="s">
        <v>83</v>
      </c>
      <c r="C178" s="130"/>
      <c r="D178" s="23"/>
      <c r="E178" s="130" t="s">
        <v>185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185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185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185</v>
      </c>
      <c r="AG178" s="23"/>
      <c r="AH178" s="23"/>
      <c r="AI178" s="33"/>
    </row>
    <row r="179" customFormat="false" ht="17.35" hidden="false" customHeight="false" outlineLevel="0" collapsed="false">
      <c r="A179" s="176" t="str">
        <f aca="false">K29</f>
        <v>12</v>
      </c>
      <c r="B179" s="177" t="str">
        <f aca="false">K30</f>
        <v>5000</v>
      </c>
      <c r="C179" s="178"/>
      <c r="D179" s="23"/>
      <c r="E179" s="179" t="n">
        <v>6000</v>
      </c>
      <c r="F179" s="23"/>
      <c r="G179" s="23"/>
      <c r="H179" s="33"/>
      <c r="J179" s="176" t="str">
        <f aca="false">K29</f>
        <v>12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12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12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186</v>
      </c>
      <c r="B181" s="130" t="s">
        <v>187</v>
      </c>
      <c r="C181" s="130"/>
      <c r="D181" s="23"/>
      <c r="E181" s="130" t="s">
        <v>188</v>
      </c>
      <c r="F181" s="23"/>
      <c r="G181" s="23"/>
      <c r="H181" s="33"/>
      <c r="J181" s="31" t="s">
        <v>186</v>
      </c>
      <c r="K181" s="32" t="s">
        <v>187</v>
      </c>
      <c r="L181" s="32"/>
      <c r="M181" s="23"/>
      <c r="N181" s="32" t="s">
        <v>188</v>
      </c>
      <c r="O181" s="23"/>
      <c r="P181" s="23"/>
      <c r="Q181" s="33"/>
      <c r="S181" s="31" t="s">
        <v>186</v>
      </c>
      <c r="T181" s="32" t="s">
        <v>187</v>
      </c>
      <c r="U181" s="32"/>
      <c r="V181" s="23"/>
      <c r="W181" s="32" t="s">
        <v>188</v>
      </c>
      <c r="X181" s="23"/>
      <c r="Y181" s="23"/>
      <c r="Z181" s="33"/>
      <c r="AB181" s="31" t="s">
        <v>186</v>
      </c>
      <c r="AC181" s="32" t="s">
        <v>187</v>
      </c>
      <c r="AD181" s="32"/>
      <c r="AE181" s="23"/>
      <c r="AF181" s="32" t="s">
        <v>188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24375</v>
      </c>
      <c r="B182" s="99" t="n">
        <f aca="false">H146</f>
        <v>4875</v>
      </c>
      <c r="C182" s="183"/>
      <c r="D182" s="23"/>
      <c r="E182" s="179" t="n">
        <f aca="false">H148+H149</f>
        <v>0</v>
      </c>
      <c r="F182" s="23"/>
      <c r="G182" s="23"/>
      <c r="H182" s="33"/>
      <c r="J182" s="182" t="e">
        <f aca="false">Q150-Q146-Q148-Q149</f>
        <v>#VALUE!</v>
      </c>
      <c r="K182" s="38" t="e">
        <f aca="false">Q146</f>
        <v>#VALUE!</v>
      </c>
      <c r="L182" s="43"/>
      <c r="M182" s="23"/>
      <c r="N182" s="181" t="n">
        <f aca="false">Q148+Q149</f>
        <v>55</v>
      </c>
      <c r="O182" s="23"/>
      <c r="P182" s="23"/>
      <c r="Q182" s="33"/>
      <c r="S182" s="182" t="e">
        <f aca="false">Z150-Z146-Z148-Z149</f>
        <v>#VALUE!</v>
      </c>
      <c r="T182" s="38" t="e">
        <f aca="false">Z146</f>
        <v>#VALUE!</v>
      </c>
      <c r="U182" s="43"/>
      <c r="V182" s="23"/>
      <c r="W182" s="181" t="n">
        <f aca="false">Z148+Z149</f>
        <v>55</v>
      </c>
      <c r="X182" s="23"/>
      <c r="Y182" s="23"/>
      <c r="Z182" s="33"/>
      <c r="AB182" s="182" t="e">
        <f aca="false">AI150-AI146-AI148-AI149</f>
        <v>#VALUE!</v>
      </c>
      <c r="AC182" s="38" t="e">
        <f aca="false">AI146</f>
        <v>#VALUE!</v>
      </c>
      <c r="AD182" s="43"/>
      <c r="AE182" s="23"/>
      <c r="AF182" s="181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189</v>
      </c>
      <c r="B184" s="130" t="s">
        <v>136</v>
      </c>
      <c r="C184" s="130"/>
      <c r="D184" s="23"/>
      <c r="E184" s="130" t="s">
        <v>137</v>
      </c>
      <c r="F184" s="23"/>
      <c r="G184" s="23"/>
      <c r="H184" s="33"/>
      <c r="J184" s="31" t="s">
        <v>189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189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189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29250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130" t="s">
        <v>174</v>
      </c>
      <c r="C187" s="130"/>
      <c r="D187" s="23"/>
      <c r="E187" s="130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29250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190</v>
      </c>
      <c r="B190" s="130" t="s">
        <v>53</v>
      </c>
      <c r="C190" s="130"/>
      <c r="D190" s="23"/>
      <c r="E190" s="130" t="s">
        <v>191</v>
      </c>
      <c r="F190" s="23"/>
      <c r="G190" s="23"/>
      <c r="H190" s="33"/>
      <c r="J190" s="31" t="s">
        <v>190</v>
      </c>
      <c r="K190" s="32" t="s">
        <v>53</v>
      </c>
      <c r="L190" s="32"/>
      <c r="M190" s="23"/>
      <c r="N190" s="32" t="s">
        <v>191</v>
      </c>
      <c r="O190" s="23"/>
      <c r="P190" s="23"/>
      <c r="Q190" s="33"/>
      <c r="S190" s="31" t="s">
        <v>190</v>
      </c>
      <c r="T190" s="32" t="s">
        <v>53</v>
      </c>
      <c r="U190" s="32"/>
      <c r="V190" s="23"/>
      <c r="W190" s="32" t="s">
        <v>191</v>
      </c>
      <c r="X190" s="23"/>
      <c r="Y190" s="23"/>
      <c r="Z190" s="33"/>
      <c r="AB190" s="31" t="s">
        <v>190</v>
      </c>
      <c r="AC190" s="32" t="s">
        <v>53</v>
      </c>
      <c r="AD190" s="32"/>
      <c r="AE190" s="23"/>
      <c r="AF190" s="32" t="s">
        <v>191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-6055.67273112877</v>
      </c>
      <c r="B191" s="99" t="str">
        <f aca="false">B123</f>
        <v>199.99</v>
      </c>
      <c r="C191" s="99"/>
      <c r="D191" s="23"/>
      <c r="E191" s="99" t="n">
        <f aca="false">E188+A191+B191+A194</f>
        <v>23404.3172688712</v>
      </c>
      <c r="F191" s="23"/>
      <c r="G191" s="23"/>
      <c r="H191" s="101"/>
      <c r="J191" s="107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1"/>
      <c r="S191" s="107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1"/>
      <c r="AB191" s="107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192</v>
      </c>
      <c r="B193" s="130" t="s">
        <v>193</v>
      </c>
      <c r="C193" s="130"/>
      <c r="D193" s="23"/>
      <c r="E193" s="130" t="s">
        <v>194</v>
      </c>
      <c r="F193" s="23"/>
      <c r="G193" s="23"/>
      <c r="H193" s="33"/>
      <c r="J193" s="31" t="s">
        <v>192</v>
      </c>
      <c r="K193" s="32" t="s">
        <v>193</v>
      </c>
      <c r="L193" s="32"/>
      <c r="M193" s="23"/>
      <c r="N193" s="32" t="s">
        <v>194</v>
      </c>
      <c r="O193" s="23"/>
      <c r="P193" s="23"/>
      <c r="Q193" s="33"/>
      <c r="S193" s="31" t="s">
        <v>192</v>
      </c>
      <c r="T193" s="32" t="s">
        <v>193</v>
      </c>
      <c r="U193" s="32"/>
      <c r="V193" s="23"/>
      <c r="W193" s="32" t="s">
        <v>194</v>
      </c>
      <c r="X193" s="23"/>
      <c r="Y193" s="23"/>
      <c r="Z193" s="33"/>
      <c r="AB193" s="31" t="s">
        <v>192</v>
      </c>
      <c r="AC193" s="32" t="s">
        <v>193</v>
      </c>
      <c r="AD193" s="32"/>
      <c r="AE193" s="23"/>
      <c r="AF193" s="32" t="s">
        <v>194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A188+B191*1.2</f>
        <v>239.988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195</v>
      </c>
      <c r="B196" s="130" t="s">
        <v>196</v>
      </c>
      <c r="C196" s="130"/>
      <c r="D196" s="130"/>
      <c r="E196" s="163" t="s">
        <v>197</v>
      </c>
      <c r="F196" s="23"/>
      <c r="G196" s="23"/>
      <c r="H196" s="33"/>
      <c r="J196" s="31" t="s">
        <v>195</v>
      </c>
      <c r="K196" s="32" t="s">
        <v>196</v>
      </c>
      <c r="L196" s="32"/>
      <c r="M196" s="32"/>
      <c r="N196" s="39" t="s">
        <v>197</v>
      </c>
      <c r="O196" s="23"/>
      <c r="P196" s="23"/>
      <c r="Q196" s="33"/>
      <c r="S196" s="31" t="s">
        <v>195</v>
      </c>
      <c r="T196" s="32" t="s">
        <v>196</v>
      </c>
      <c r="U196" s="32"/>
      <c r="V196" s="32"/>
      <c r="W196" s="39" t="s">
        <v>197</v>
      </c>
      <c r="X196" s="32"/>
      <c r="Y196" s="32"/>
      <c r="Z196" s="33"/>
      <c r="AB196" s="31" t="s">
        <v>195</v>
      </c>
      <c r="AC196" s="32" t="s">
        <v>196</v>
      </c>
      <c r="AD196" s="32"/>
      <c r="AE196" s="32"/>
      <c r="AF196" s="39" t="s">
        <v>197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</f>
        <v>7.4808</v>
      </c>
      <c r="B197" s="99" t="n">
        <f aca="false">(G167*B76)/1.2</f>
        <v>121.875</v>
      </c>
      <c r="C197" s="130"/>
      <c r="D197" s="130"/>
      <c r="E197" s="99" t="n">
        <f aca="false">K55*A117*0.1</f>
        <v>18</v>
      </c>
      <c r="F197" s="23"/>
      <c r="G197" s="23"/>
      <c r="H197" s="33"/>
      <c r="J197" s="107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198</v>
      </c>
      <c r="B199" s="163" t="s">
        <v>199</v>
      </c>
      <c r="C199" s="130"/>
      <c r="D199" s="130"/>
      <c r="E199" s="163" t="s">
        <v>200</v>
      </c>
      <c r="F199" s="23"/>
      <c r="G199" s="23"/>
      <c r="H199" s="33"/>
      <c r="J199" s="60" t="s">
        <v>198</v>
      </c>
      <c r="K199" s="39" t="s">
        <v>199</v>
      </c>
      <c r="L199" s="32"/>
      <c r="M199" s="32"/>
      <c r="N199" s="39" t="s">
        <v>200</v>
      </c>
      <c r="O199" s="23"/>
      <c r="P199" s="23"/>
      <c r="Q199" s="33"/>
      <c r="S199" s="60" t="s">
        <v>198</v>
      </c>
      <c r="T199" s="39" t="s">
        <v>199</v>
      </c>
      <c r="U199" s="32"/>
      <c r="V199" s="32"/>
      <c r="W199" s="39" t="s">
        <v>200</v>
      </c>
      <c r="X199" s="32"/>
      <c r="Y199" s="32"/>
      <c r="Z199" s="33"/>
      <c r="AB199" s="60" t="s">
        <v>198</v>
      </c>
      <c r="AC199" s="39" t="s">
        <v>199</v>
      </c>
      <c r="AD199" s="32"/>
      <c r="AE199" s="32"/>
      <c r="AF199" s="39" t="s">
        <v>200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B191-100</f>
        <v>99.99</v>
      </c>
      <c r="B200" s="99" t="n">
        <f aca="false">B197+E197+A200</f>
        <v>239.865</v>
      </c>
      <c r="C200" s="130"/>
      <c r="D200" s="130"/>
      <c r="E200" s="99" t="n">
        <f aca="false">H157</f>
        <v>1916.67</v>
      </c>
      <c r="F200" s="23"/>
      <c r="G200" s="23"/>
      <c r="H200" s="33"/>
      <c r="J200" s="107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07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07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201</v>
      </c>
      <c r="B202" s="130"/>
      <c r="C202" s="130"/>
      <c r="D202" s="67"/>
      <c r="E202" s="67"/>
      <c r="F202" s="67"/>
      <c r="G202" s="67"/>
      <c r="H202" s="68"/>
      <c r="J202" s="66" t="s">
        <v>201</v>
      </c>
      <c r="K202" s="32"/>
      <c r="L202" s="32"/>
      <c r="M202" s="67"/>
      <c r="N202" s="67"/>
      <c r="O202" s="67"/>
      <c r="P202" s="67"/>
      <c r="Q202" s="68"/>
      <c r="S202" s="66" t="s">
        <v>201</v>
      </c>
      <c r="T202" s="32"/>
      <c r="U202" s="32"/>
      <c r="V202" s="67"/>
      <c r="W202" s="67"/>
      <c r="X202" s="67"/>
      <c r="Y202" s="67"/>
      <c r="Z202" s="68"/>
      <c r="AB202" s="66" t="s">
        <v>201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4" t="s">
        <v>82</v>
      </c>
      <c r="K204" s="185" t="s">
        <v>83</v>
      </c>
      <c r="L204" s="185"/>
      <c r="M204" s="185"/>
      <c r="N204" s="23"/>
      <c r="O204" s="23"/>
      <c r="P204" s="23"/>
      <c r="Q204" s="33"/>
      <c r="S204" s="184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4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1634.02975171557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180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125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202</v>
      </c>
      <c r="B218" s="171" t="str">
        <f aca="false">A206</f>
        <v>12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182</v>
      </c>
      <c r="B220" s="189" t="s">
        <v>183</v>
      </c>
      <c r="C220" s="189"/>
      <c r="D220" s="189"/>
      <c r="E220" s="189" t="s">
        <v>184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1563.12066080648</v>
      </c>
      <c r="B221" s="174" t="n">
        <f aca="false">B176</f>
        <v>70.9090909090909</v>
      </c>
      <c r="C221" s="171"/>
      <c r="D221" s="171"/>
      <c r="E221" s="174" t="n">
        <f aca="false">E176</f>
        <v>1634.02975171557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186</v>
      </c>
      <c r="B223" s="130" t="s">
        <v>187</v>
      </c>
      <c r="C223" s="130"/>
      <c r="D223" s="109"/>
      <c r="E223" s="130" t="s">
        <v>188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24375</v>
      </c>
      <c r="B224" s="99" t="n">
        <f aca="false">B182</f>
        <v>4875</v>
      </c>
      <c r="C224" s="183"/>
      <c r="D224" s="109"/>
      <c r="E224" s="179" t="n">
        <f aca="false">E182</f>
        <v>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189</v>
      </c>
      <c r="B226" s="130" t="s">
        <v>136</v>
      </c>
      <c r="C226" s="130"/>
      <c r="D226" s="109"/>
      <c r="E226" s="130" t="s">
        <v>137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29250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138</v>
      </c>
      <c r="B229" s="130" t="s">
        <v>174</v>
      </c>
      <c r="C229" s="130"/>
      <c r="D229" s="109"/>
      <c r="E229" s="130" t="s">
        <v>179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29250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190</v>
      </c>
      <c r="B232" s="130" t="s">
        <v>53</v>
      </c>
      <c r="C232" s="130"/>
      <c r="D232" s="109"/>
      <c r="E232" s="130" t="s">
        <v>191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-6055.67273112877</v>
      </c>
      <c r="B233" s="99" t="str">
        <f aca="false">B191</f>
        <v>199.99</v>
      </c>
      <c r="C233" s="99"/>
      <c r="D233" s="109"/>
      <c r="E233" s="99" t="n">
        <f aca="false">E191</f>
        <v>23404.3172688712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192</v>
      </c>
      <c r="B235" s="130" t="s">
        <v>193</v>
      </c>
      <c r="C235" s="130"/>
      <c r="D235" s="109"/>
      <c r="E235" s="130" t="s">
        <v>203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239.988</v>
      </c>
      <c r="C236" s="99"/>
      <c r="D236" s="109"/>
      <c r="E236" s="99" t="n">
        <f aca="false">B68</f>
        <v>11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182</v>
      </c>
      <c r="B238" s="130" t="s">
        <v>183</v>
      </c>
      <c r="C238" s="130"/>
      <c r="D238" s="130"/>
      <c r="E238" s="130" t="s">
        <v>184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1563.12066080648</v>
      </c>
      <c r="B239" s="99" t="n">
        <f aca="false">B176</f>
        <v>70.9090909090909</v>
      </c>
      <c r="C239" s="183"/>
      <c r="D239" s="183"/>
      <c r="E239" s="99" t="n">
        <f aca="false">E176</f>
        <v>1634.02975171557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204</v>
      </c>
      <c r="B241" s="130" t="s">
        <v>205</v>
      </c>
      <c r="C241" s="130"/>
      <c r="D241" s="130"/>
      <c r="E241" s="130" t="s">
        <v>67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</f>
        <v>22.4424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206</v>
      </c>
      <c r="B244" s="163" t="s">
        <v>72</v>
      </c>
      <c r="C244" s="130"/>
      <c r="D244" s="130"/>
      <c r="E244" s="163" t="s">
        <v>130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7.4808</v>
      </c>
      <c r="B245" s="99" t="n">
        <f aca="false">E242+A245</f>
        <v>29.9232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207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208</v>
      </c>
      <c r="B248" s="130" t="s">
        <v>196</v>
      </c>
      <c r="C248" s="130"/>
      <c r="D248" s="130"/>
      <c r="E248" s="163" t="s">
        <v>197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1916.67</v>
      </c>
      <c r="B249" s="99" t="n">
        <f aca="false">B197</f>
        <v>121.875</v>
      </c>
      <c r="C249" s="130"/>
      <c r="D249" s="130"/>
      <c r="E249" s="99" t="n">
        <f aca="false">E197</f>
        <v>18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198</v>
      </c>
      <c r="B251" s="163" t="s">
        <v>199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</v>
      </c>
      <c r="B252" s="99" t="n">
        <f aca="false">B249+E249+A252+A249</f>
        <v>2156.535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209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210</v>
      </c>
      <c r="B262" s="193" t="n">
        <f aca="false">B72</f>
        <v>0.065</v>
      </c>
      <c r="C262" s="194"/>
      <c r="D262" s="195" t="s">
        <v>211</v>
      </c>
      <c r="E262" s="195"/>
      <c r="F262" s="193" t="n">
        <f aca="false">B92</f>
        <v>0.1255</v>
      </c>
      <c r="G262" s="23"/>
      <c r="H262" s="33"/>
    </row>
    <row r="263" customFormat="false" ht="17.35" hidden="false" customHeight="false" outlineLevel="0" collapsed="false">
      <c r="A263" s="188" t="s">
        <v>212</v>
      </c>
      <c r="B263" s="196"/>
      <c r="C263" s="194"/>
      <c r="D263" s="195" t="s">
        <v>213</v>
      </c>
      <c r="E263" s="195"/>
      <c r="F263" s="196" t="n">
        <f aca="false">F270+F276+F278+B279+B280</f>
        <v>146.25</v>
      </c>
      <c r="G263" s="23"/>
      <c r="H263" s="33"/>
    </row>
    <row r="264" customFormat="false" ht="17.35" hidden="false" customHeight="false" outlineLevel="0" collapsed="false">
      <c r="A264" s="188" t="s">
        <v>214</v>
      </c>
      <c r="B264" s="196" t="n">
        <f aca="false">F271+B272</f>
        <v>279.99</v>
      </c>
      <c r="C264" s="194"/>
      <c r="D264" s="195" t="s">
        <v>215</v>
      </c>
      <c r="E264" s="195"/>
      <c r="F264" s="196" t="n">
        <f aca="false">(B263-F263)+B264</f>
        <v>133.74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210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216</v>
      </c>
      <c r="B268" s="201" t="n">
        <f aca="false">B73</f>
        <v>0.05</v>
      </c>
      <c r="C268" s="32"/>
      <c r="D268" s="163" t="s">
        <v>217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211</v>
      </c>
      <c r="B269" s="205" t="n">
        <f aca="false">B92</f>
        <v>0.1255</v>
      </c>
      <c r="C269" s="43"/>
      <c r="D269" s="163" t="s">
        <v>212</v>
      </c>
      <c r="E269" s="163"/>
      <c r="F269" s="143" t="n">
        <f aca="false">(B98*B68)-(C98*B68)</f>
        <v>17194.3272688712</v>
      </c>
      <c r="G269" s="23"/>
      <c r="H269" s="33"/>
    </row>
    <row r="270" customFormat="false" ht="17.35" hidden="false" customHeight="false" outlineLevel="0" collapsed="false">
      <c r="A270" s="31" t="s">
        <v>218</v>
      </c>
      <c r="B270" s="205" t="n">
        <f aca="false">B76</f>
        <v>0.005</v>
      </c>
      <c r="C270" s="32"/>
      <c r="D270" s="163" t="s">
        <v>218</v>
      </c>
      <c r="E270" s="163"/>
      <c r="F270" s="148" t="n">
        <f aca="false">B77</f>
        <v>146.25</v>
      </c>
      <c r="G270" s="23"/>
      <c r="H270" s="33"/>
    </row>
    <row r="271" customFormat="false" ht="17.35" hidden="false" customHeight="false" outlineLevel="0" collapsed="false">
      <c r="A271" s="31" t="s">
        <v>219</v>
      </c>
      <c r="B271" s="201" t="n">
        <f aca="false">A117</f>
        <v>0.3</v>
      </c>
      <c r="C271" s="32"/>
      <c r="D271" s="163" t="s">
        <v>219</v>
      </c>
      <c r="E271" s="163"/>
      <c r="F271" s="143" t="n">
        <f aca="false">E249*10</f>
        <v>180</v>
      </c>
      <c r="G271" s="23"/>
      <c r="H271" s="33"/>
    </row>
    <row r="272" customFormat="false" ht="17.35" hidden="false" customHeight="false" outlineLevel="0" collapsed="false">
      <c r="A272" s="31" t="s">
        <v>220</v>
      </c>
      <c r="B272" s="143" t="n">
        <f aca="false">A252</f>
        <v>99.99</v>
      </c>
      <c r="C272" s="32"/>
      <c r="D272" s="39" t="s">
        <v>215</v>
      </c>
      <c r="E272" s="39"/>
      <c r="F272" s="143" t="n">
        <f aca="false">(B263-F263)+B264</f>
        <v>133.74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221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222</v>
      </c>
      <c r="B275" s="148" t="n">
        <v>0</v>
      </c>
      <c r="C275" s="32"/>
      <c r="D275" s="206" t="s">
        <v>223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224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225</v>
      </c>
      <c r="B277" s="207" t="s">
        <v>4</v>
      </c>
      <c r="C277" s="32"/>
      <c r="D277" s="163" t="s">
        <v>226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227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228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229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9" colorId="64" zoomScale="85" zoomScaleNormal="85" zoomScalePageLayoutView="100" workbookViewId="0">
      <selection pane="topLeft" activeCell="J32" activeCellId="0" sqref="J3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45" t="s">
        <v>407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402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408</v>
      </c>
      <c r="C35" s="219"/>
      <c r="D35" s="219" t="s">
        <v>401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21458.33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390</v>
      </c>
      <c r="C38" s="219"/>
      <c r="D38" s="100" t="s">
        <v>393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396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500.363636363636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49" t="s">
        <v>4</v>
      </c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500.363636363636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0.0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19411.5181887308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274.21875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0.0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0.0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21458.33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4379.8532592462</v>
      </c>
      <c r="C86" s="130" t="n">
        <f aca="false">(B82/((1+B84)^(B85+1)))</f>
        <v>4379.8532592462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130" t="n">
        <f aca="false">((1-(1/((1+B84)^B85)))/B84)</f>
        <v>27.4464895133802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17078.4767407538</v>
      </c>
      <c r="C88" s="130" t="n">
        <f aca="false">B81-B86</f>
        <v>17078.4767407538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622.246307034202</v>
      </c>
      <c r="C89" s="130" t="n">
        <f aca="false">(B88/B87)</f>
        <v>622.246307034202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19911.8818250945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19911.8818250945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IF(B38="YES",((H36/B85)*(1+A108)*1.2),"0")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622.246307034202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622.246307034202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390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404</v>
      </c>
      <c r="C108" s="103"/>
      <c r="D108" s="103" t="n">
        <v>0.0</v>
      </c>
      <c r="E108" s="104" t="n">
        <f aca="false">B83</f>
        <v>0.115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386</v>
      </c>
      <c r="B111" s="103" t="n">
        <v>0.0</v>
      </c>
      <c r="C111" s="103"/>
      <c r="D111" s="103"/>
      <c r="E111" s="103" t="n">
        <v>0.0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400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26949.996</v>
      </c>
      <c r="C121" s="117" t="n">
        <v>24375.0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26949.996</v>
      </c>
      <c r="C125" s="129" t="n">
        <f aca="false">C121-C124</f>
        <v>24375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22458.33</v>
      </c>
      <c r="H135" s="150" t="n">
        <f aca="false">C125+E125+G125+H128</f>
        <v>24375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4491.666</v>
      </c>
      <c r="H137" s="33" t="n">
        <f aca="false">(H135+H136)*20%</f>
        <v>4875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26949.996</v>
      </c>
      <c r="H141" s="154" t="n">
        <f aca="false">(H135+H136+H139+H140+H137)-H138</f>
        <v>29250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26949.996</v>
      </c>
      <c r="H147" s="161" t="n">
        <f aca="false">H141-((H144*1.2)+(H145*1.2)+(H146*1.2)+(H142*1.2))</f>
        <v>29250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1916.67</v>
      </c>
      <c r="I148" s="1" t="n">
        <f aca="false">(H148-G81)/1.2</f>
        <v>1597.225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0.0</v>
      </c>
      <c r="F152" s="103"/>
      <c r="G152" s="103" t="n">
        <v>0.0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0.0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29250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622.246307034202</v>
      </c>
      <c r="B167" s="174" t="str">
        <f aca="false">B94</f>
        <v>0</v>
      </c>
      <c r="C167" s="171"/>
      <c r="D167" s="171"/>
      <c r="E167" s="174" t="n">
        <f aca="false">B96</f>
        <v>622.246307034202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n">
        <f aca="false">B29</f>
        <v>12345</v>
      </c>
      <c r="B170" s="177" t="n">
        <f aca="false">B30</f>
        <v>0</v>
      </c>
      <c r="C170" s="178"/>
      <c r="D170" s="23"/>
      <c r="E170" s="179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24375</v>
      </c>
      <c r="B173" s="99" t="n">
        <f aca="false">H137</f>
        <v>4875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29250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29250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-3338.11817490552</v>
      </c>
      <c r="B182" s="99" t="str">
        <f aca="false">B114</f>
        <v>239.99</v>
      </c>
      <c r="C182" s="99"/>
      <c r="D182" s="23"/>
      <c r="E182" s="99" t="n">
        <f aca="false">E179+A182+B182+A185</f>
        <v>26161.8718250945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8.97696</v>
      </c>
      <c r="B188" s="99" t="n">
        <f aca="false">(G158*B67)/1.2</f>
        <v>228.515625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328.507291666667</v>
      </c>
      <c r="C191" s="130"/>
      <c r="D191" s="130"/>
      <c r="E191" s="99" t="n">
        <f aca="false">H148</f>
        <v>1916.67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622.246307034202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622.246307034202</v>
      </c>
      <c r="B212" s="174" t="str">
        <f aca="false">B167</f>
        <v>0</v>
      </c>
      <c r="C212" s="171"/>
      <c r="D212" s="171"/>
      <c r="E212" s="174" t="n">
        <f aca="false">E167</f>
        <v>622.246307034202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24375</v>
      </c>
      <c r="B215" s="99" t="n">
        <f aca="false">B173</f>
        <v>4875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29250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29250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-3338.11817490552</v>
      </c>
      <c r="B224" s="99" t="str">
        <f aca="false">B182</f>
        <v>239.99</v>
      </c>
      <c r="C224" s="99"/>
      <c r="D224" s="109"/>
      <c r="E224" s="99" t="n">
        <f aca="false">E182</f>
        <v>26161.8718250945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622.246307034202</v>
      </c>
      <c r="B230" s="99" t="str">
        <f aca="false">B167</f>
        <v>0</v>
      </c>
      <c r="C230" s="183"/>
      <c r="D230" s="183"/>
      <c r="E230" s="99" t="n">
        <f aca="false">E167</f>
        <v>622.246307034202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J18*0.000006*100*1.2</f>
        <v>26.93088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8.97696</v>
      </c>
      <c r="B236" s="99" t="n">
        <f aca="false">E233+A236</f>
        <v>35.90784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1916.67</v>
      </c>
      <c r="B240" s="99" t="n">
        <f aca="false">B188</f>
        <v>228.515625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2245.17729166666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274.21875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-174.227083333333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0.009375</v>
      </c>
      <c r="C261" s="32"/>
      <c r="D261" s="163" t="s">
        <v>218</v>
      </c>
      <c r="E261" s="163"/>
      <c r="F261" s="148" t="n">
        <f aca="false">B68</f>
        <v>274.21875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-174.227083333333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9" colorId="64" zoomScale="85" zoomScaleNormal="85" zoomScalePageLayoutView="100" workbookViewId="0">
      <selection pane="topLeft" activeCell="A117" activeCellId="0" sqref="A117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45" t="s">
        <v>407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402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396</v>
      </c>
      <c r="C35" s="219"/>
      <c r="D35" s="219" t="s">
        <v>401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s">
        <v>403</v>
      </c>
      <c r="I36" s="0"/>
      <c r="J36" s="44" t="s">
        <v>51</v>
      </c>
      <c r="K36" s="52" t="n">
        <f aca="false">K32-K34</f>
        <v>21458.33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386</v>
      </c>
      <c r="C38" s="219"/>
      <c r="D38" s="100" t="s">
        <v>393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n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396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17000.3240017612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146.25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0.0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0.0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21458.33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0.1475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0.0122916666666667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5181.83177930431</v>
      </c>
      <c r="C86" s="130" t="n">
        <f aca="false">(B82/((1+B84)^(B85+1)))</f>
        <v>5181.83177930431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10.2301677524304</v>
      </c>
      <c r="C87" s="130" t="n">
        <f aca="false">((1-(1/((1+B84)^B85)))/B84)</f>
        <v>10.2301677524304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16276.4982206957</v>
      </c>
      <c r="C88" s="130" t="n">
        <f aca="false">B81-B86</f>
        <v>16276.4982206957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1591.02945470556</v>
      </c>
      <c r="C89" s="130" t="n">
        <f aca="false">(B88/B87)</f>
        <v>1591.02945470556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17501.3240017612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17501.3240017612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n">
        <f aca="false">IF(B38="YES",((H36/B85)*(1+A108)),"0")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1591.02945470556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1591.02945470556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386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404</v>
      </c>
      <c r="C108" s="103"/>
      <c r="D108" s="103" t="n">
        <v>0.0</v>
      </c>
      <c r="E108" s="104" t="n">
        <f aca="false">B83</f>
        <v>0.1475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386</v>
      </c>
      <c r="B111" s="103" t="n">
        <v>0.0</v>
      </c>
      <c r="C111" s="103"/>
      <c r="D111" s="103"/>
      <c r="E111" s="103" t="n">
        <v>0.0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406</v>
      </c>
      <c r="C114" s="103"/>
      <c r="D114" s="103"/>
      <c r="E114" s="103" t="s">
        <v>18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26949.996</v>
      </c>
      <c r="C121" s="117" t="n">
        <v>24375.0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26949.996</v>
      </c>
      <c r="C125" s="129" t="n">
        <f aca="false">C121-C124</f>
        <v>24375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22458.33</v>
      </c>
      <c r="H135" s="150" t="n">
        <f aca="false">C125+E125+G125+H128</f>
        <v>24375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4491.666</v>
      </c>
      <c r="H137" s="33" t="n">
        <f aca="false">(H135+H136)*20%</f>
        <v>4875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26949.996</v>
      </c>
      <c r="H141" s="154" t="n">
        <f aca="false">(H135+H136+H139+H140+H137)-H138</f>
        <v>29250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26949.996</v>
      </c>
      <c r="H147" s="161" t="n">
        <f aca="false">H141-((H144*1.2)+(H145*1.2)+(H146*1.2)+(H142*1.2))</f>
        <v>29250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1916.67</v>
      </c>
      <c r="I148" s="1" t="n">
        <f aca="false">(H148-G81)/1.2</f>
        <v>1597.225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0.0</v>
      </c>
      <c r="F152" s="103"/>
      <c r="G152" s="103" t="n">
        <v>0.0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0.0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29250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1591.02945470556</v>
      </c>
      <c r="B167" s="174" t="n">
        <f aca="false">B94</f>
        <v>0</v>
      </c>
      <c r="C167" s="171"/>
      <c r="D167" s="171"/>
      <c r="E167" s="174" t="n">
        <f aca="false">B96</f>
        <v>1591.02945470556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177" t="str">
        <f aca="false">H30</f>
        <v>5000</v>
      </c>
      <c r="C170" s="178"/>
      <c r="D170" s="23"/>
      <c r="E170" s="179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24375</v>
      </c>
      <c r="B173" s="99" t="n">
        <f aca="false">H137</f>
        <v>4875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29250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29250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-5748.67599823882</v>
      </c>
      <c r="B182" s="99" t="str">
        <f aca="false">B114</f>
        <v>199.99</v>
      </c>
      <c r="C182" s="99"/>
      <c r="D182" s="23"/>
      <c r="E182" s="99" t="n">
        <f aca="false">E179+A182+B182+A185</f>
        <v>23711.3140017612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239.988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7.4808</v>
      </c>
      <c r="B188" s="99" t="n">
        <f aca="false">(G158*B67)/1.2</f>
        <v>121.875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221.865</v>
      </c>
      <c r="C191" s="130"/>
      <c r="D191" s="130"/>
      <c r="E191" s="99" t="n">
        <f aca="false">H148</f>
        <v>1916.67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1591.02945470556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1591.02945470556</v>
      </c>
      <c r="B212" s="174" t="n">
        <f aca="false">B167</f>
        <v>0</v>
      </c>
      <c r="C212" s="171"/>
      <c r="D212" s="171"/>
      <c r="E212" s="174" t="n">
        <f aca="false">E167</f>
        <v>1591.02945470556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24375</v>
      </c>
      <c r="B215" s="99" t="n">
        <f aca="false">B173</f>
        <v>4875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29250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29250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-5748.67599823882</v>
      </c>
      <c r="B224" s="99" t="str">
        <f aca="false">B182</f>
        <v>199.99</v>
      </c>
      <c r="C224" s="99"/>
      <c r="D224" s="109"/>
      <c r="E224" s="99" t="n">
        <f aca="false">E182</f>
        <v>23711.3140017612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1591.02945470556</v>
      </c>
      <c r="B230" s="99" t="n">
        <f aca="false">B167</f>
        <v>0</v>
      </c>
      <c r="C230" s="183"/>
      <c r="D230" s="183"/>
      <c r="E230" s="99" t="n">
        <f aca="false">E167</f>
        <v>1591.02945470556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J18*0.000006*100</f>
        <v>22.4424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7.4808</v>
      </c>
      <c r="B236" s="99" t="n">
        <f aca="false">E233+A236</f>
        <v>29.9232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1916.67</v>
      </c>
      <c r="B240" s="99" t="n">
        <f aca="false">B188</f>
        <v>121.875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2138.535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146.25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-46.26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0.072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0.1475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</f>
        <v>146.25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-46.26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08" colorId="64" zoomScale="85" zoomScaleNormal="85" zoomScalePageLayoutView="100" workbookViewId="0">
      <selection pane="topLeft" activeCell="A117" activeCellId="0" sqref="A117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45" t="s">
        <v>407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402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396</v>
      </c>
      <c r="C35" s="219"/>
      <c r="D35" s="219" t="s">
        <v>401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s">
        <v>403</v>
      </c>
      <c r="I36" s="0"/>
      <c r="J36" s="44" t="s">
        <v>51</v>
      </c>
      <c r="K36" s="52" t="n">
        <f aca="false">K32-K34</f>
        <v>21458.33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386</v>
      </c>
      <c r="C38" s="219"/>
      <c r="D38" s="100" t="s">
        <v>393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396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16693.3272688712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146.25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0.0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0.0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21458.33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0.1255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0.0104583333333333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5295.78483323301</v>
      </c>
      <c r="C86" s="130" t="n">
        <f aca="false">(B82/((1+B84)^(B85+1)))</f>
        <v>5295.78483323301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130" t="n">
        <f aca="false">((1-(1/((1+B84)^B85)))/B84)</f>
        <v>10.3399216528992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16162.545166767</v>
      </c>
      <c r="C88" s="130" t="n">
        <f aca="false">B81-B86</f>
        <v>16162.545166767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1563.12066080648</v>
      </c>
      <c r="C89" s="130" t="n">
        <f aca="false">(B88/B87)</f>
        <v>1563.12066080648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17194.3272688712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17194.3272688712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IF(B38="YES",((H36/B85)*(1+A108)*1.2),"0")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1563.12066080648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1563.12066080648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269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386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409</v>
      </c>
      <c r="C108" s="103"/>
      <c r="D108" s="103" t="n">
        <v>0.0</v>
      </c>
      <c r="E108" s="104" t="n">
        <f aca="false">B83</f>
        <v>0.1255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386</v>
      </c>
      <c r="B111" s="103" t="n">
        <v>0.0</v>
      </c>
      <c r="C111" s="103"/>
      <c r="D111" s="103"/>
      <c r="E111" s="103" t="n">
        <v>0.0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400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26949.996</v>
      </c>
      <c r="C121" s="117" t="n">
        <v>24375.0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26949.996</v>
      </c>
      <c r="C125" s="129" t="n">
        <f aca="false">C121-C124</f>
        <v>24375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22458.33</v>
      </c>
      <c r="H135" s="150" t="n">
        <f aca="false">C125+E125+G125+H128</f>
        <v>24375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4491.666</v>
      </c>
      <c r="H137" s="33" t="n">
        <f aca="false">(H135+H136)*20%</f>
        <v>4875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26949.996</v>
      </c>
      <c r="H141" s="154" t="n">
        <f aca="false">(H135+H136+H139+H140+H137)-H138</f>
        <v>29250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26949.996</v>
      </c>
      <c r="H147" s="161" t="n">
        <f aca="false">H141-((H144*1.2)+(H145*1.2)+(H146*1.2)+(H142*1.2))</f>
        <v>29250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1916.67</v>
      </c>
      <c r="I148" s="1" t="n">
        <f aca="false">(H148-G81)/1.2</f>
        <v>1597.225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0.0</v>
      </c>
      <c r="F152" s="103"/>
      <c r="G152" s="103" t="n">
        <v>0.0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0.0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29250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1563.12066080648</v>
      </c>
      <c r="B167" s="174" t="str">
        <f aca="false">B94</f>
        <v>0</v>
      </c>
      <c r="C167" s="171"/>
      <c r="D167" s="171"/>
      <c r="E167" s="174" t="n">
        <f aca="false">B96</f>
        <v>1563.12066080648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225" t="str">
        <f aca="false">H30</f>
        <v>5000</v>
      </c>
      <c r="C170" s="178"/>
      <c r="D170" s="23"/>
      <c r="E170" s="179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24375</v>
      </c>
      <c r="B173" s="99" t="n">
        <f aca="false">H137</f>
        <v>4875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29250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29250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-6055.67273112877</v>
      </c>
      <c r="B182" s="99" t="str">
        <f aca="false">B114</f>
        <v>239.99</v>
      </c>
      <c r="C182" s="99"/>
      <c r="D182" s="23"/>
      <c r="E182" s="99" t="n">
        <f aca="false">E179+A182+B182+A185</f>
        <v>23444.3172688712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8.97696</v>
      </c>
      <c r="B188" s="99" t="n">
        <f aca="false">(G158*B67)/1.2</f>
        <v>121.875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221.866666666667</v>
      </c>
      <c r="C191" s="130"/>
      <c r="D191" s="130"/>
      <c r="E191" s="99" t="n">
        <f aca="false">H148</f>
        <v>1916.67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1563.12066080648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1563.12066080648</v>
      </c>
      <c r="B212" s="174" t="str">
        <f aca="false">B167</f>
        <v>0</v>
      </c>
      <c r="C212" s="171"/>
      <c r="D212" s="171"/>
      <c r="E212" s="174" t="n">
        <f aca="false">E167</f>
        <v>1563.12066080648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24375</v>
      </c>
      <c r="B215" s="99" t="n">
        <f aca="false">B173</f>
        <v>4875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29250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29250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-6055.67273112877</v>
      </c>
      <c r="B224" s="99" t="str">
        <f aca="false">B182</f>
        <v>239.99</v>
      </c>
      <c r="C224" s="99"/>
      <c r="D224" s="109"/>
      <c r="E224" s="99" t="n">
        <f aca="false">E182</f>
        <v>23444.3172688712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1563.12066080648</v>
      </c>
      <c r="B230" s="99" t="str">
        <f aca="false">B167</f>
        <v>0</v>
      </c>
      <c r="C230" s="183"/>
      <c r="D230" s="183"/>
      <c r="E230" s="99" t="n">
        <f aca="false">E167</f>
        <v>1563.12066080648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A188</f>
        <v>8.97696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1916.67</v>
      </c>
      <c r="B240" s="99" t="n">
        <f aca="false">B188</f>
        <v>121.875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2138.53666666666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146.25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-46.2583333333333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0.1255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</f>
        <v>146.25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-46.2583333333333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06" colorId="64" zoomScale="85" zoomScaleNormal="85" zoomScalePageLayoutView="100" workbookViewId="0">
      <selection pane="topLeft" activeCell="E188" activeCellId="0" sqref="E18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262" t="s">
        <v>407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402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396</v>
      </c>
      <c r="C35" s="219"/>
      <c r="D35" s="219" t="s">
        <v>401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21458.33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390</v>
      </c>
      <c r="C38" s="219"/>
      <c r="D38" s="100" t="s">
        <v>393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396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263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16693.3272688712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146.25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0.0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0.0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21458.33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0.1255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0.0104583333333333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5295.78483323301</v>
      </c>
      <c r="C86" s="130" t="n">
        <f aca="false">(B82/((1+B84)^(B85+1)))</f>
        <v>5295.78483323301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130" t="n">
        <f aca="false">((1-(1/((1+B84)^B85)))/B84)</f>
        <v>10.3399216528992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16162.545166767</v>
      </c>
      <c r="C88" s="130" t="n">
        <f aca="false">B81-B86</f>
        <v>16162.545166767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1563.12066080648</v>
      </c>
      <c r="C89" s="130" t="n">
        <f aca="false">(B88/B87)</f>
        <v>1563.12066080648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17194.3272688712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17194.3272688712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1563.12066080648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1563.12066080648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390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404</v>
      </c>
      <c r="C108" s="103"/>
      <c r="D108" s="103" t="n">
        <v>0.0</v>
      </c>
      <c r="E108" s="104" t="n">
        <f aca="false">B83</f>
        <v>0.1255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386</v>
      </c>
      <c r="B111" s="103" t="n">
        <v>0.0</v>
      </c>
      <c r="C111" s="103"/>
      <c r="D111" s="103"/>
      <c r="E111" s="103" t="n">
        <v>0.0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406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26949.996</v>
      </c>
      <c r="C121" s="117" t="n">
        <v>24375.0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26949.996</v>
      </c>
      <c r="C125" s="129" t="n">
        <f aca="false">C121-C124</f>
        <v>24375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22458.33</v>
      </c>
      <c r="H135" s="150" t="n">
        <f aca="false">C125+E125+G125+H128</f>
        <v>24375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4491.666</v>
      </c>
      <c r="H137" s="33" t="n">
        <f aca="false">(H135+H136)*20%</f>
        <v>4875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26949.996</v>
      </c>
      <c r="H141" s="154" t="n">
        <f aca="false">(H135+H136+H139+H140+H137)-H138</f>
        <v>29250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26949.996</v>
      </c>
      <c r="H147" s="161" t="n">
        <f aca="false">H141-((H144*1.2)+(H145*1.2)+(H146*1.2)+(H142*1.2))</f>
        <v>29250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1916.67</v>
      </c>
      <c r="I148" s="1" t="n">
        <f aca="false">(H148-G81)/1.2</f>
        <v>1597.225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0.0</v>
      </c>
      <c r="F152" s="103"/>
      <c r="G152" s="103" t="n">
        <v>0.0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0.0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29250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1563.12066080648</v>
      </c>
      <c r="B167" s="174" t="str">
        <f aca="false">B94</f>
        <v>0</v>
      </c>
      <c r="C167" s="171"/>
      <c r="D167" s="171"/>
      <c r="E167" s="174" t="n">
        <f aca="false">B96</f>
        <v>1563.12066080648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225" t="str">
        <f aca="false">H30</f>
        <v>5000</v>
      </c>
      <c r="C170" s="178"/>
      <c r="D170" s="23"/>
      <c r="E170" s="179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24375</v>
      </c>
      <c r="B173" s="99" t="n">
        <f aca="false">H137</f>
        <v>4875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29250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29250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-6055.67273112877</v>
      </c>
      <c r="B182" s="99" t="str">
        <f aca="false">B114</f>
        <v>199.99</v>
      </c>
      <c r="C182" s="99"/>
      <c r="D182" s="23"/>
      <c r="E182" s="99" t="n">
        <f aca="false">E179+A182+B182+A185</f>
        <v>23404.3172688712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7.4808</v>
      </c>
      <c r="B188" s="99" t="n">
        <f aca="false">(G158*B67)/1.2</f>
        <v>121.875</v>
      </c>
      <c r="C188" s="130"/>
      <c r="D188" s="130"/>
      <c r="E188" s="99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221.865</v>
      </c>
      <c r="C191" s="130"/>
      <c r="D191" s="130"/>
      <c r="E191" s="99" t="n">
        <f aca="false">H148</f>
        <v>1916.67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1563.12066080648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1563.12066080648</v>
      </c>
      <c r="B212" s="174" t="str">
        <f aca="false">B167</f>
        <v>0</v>
      </c>
      <c r="C212" s="171"/>
      <c r="D212" s="171"/>
      <c r="E212" s="174" t="n">
        <f aca="false">E167</f>
        <v>1563.12066080648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24375</v>
      </c>
      <c r="B215" s="99" t="n">
        <f aca="false">B173</f>
        <v>4875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29250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29250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-6055.67273112877</v>
      </c>
      <c r="B224" s="99" t="str">
        <f aca="false">B182</f>
        <v>199.99</v>
      </c>
      <c r="C224" s="99"/>
      <c r="D224" s="109"/>
      <c r="E224" s="99" t="n">
        <f aca="false">E182</f>
        <v>23404.3172688712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1563.12066080648</v>
      </c>
      <c r="B230" s="99" t="str">
        <f aca="false">B167</f>
        <v>0</v>
      </c>
      <c r="C230" s="183"/>
      <c r="D230" s="183"/>
      <c r="E230" s="99" t="n">
        <f aca="false">E167</f>
        <v>1563.12066080648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A188</f>
        <v>7.4808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1916.67</v>
      </c>
      <c r="B240" s="99" t="n">
        <f aca="false">B188</f>
        <v>121.875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2138.535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146.25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-46.26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0.1255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</f>
        <v>146.25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-46.26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8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63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63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387"/>
      <c r="I8" s="13" t="s">
        <v>3</v>
      </c>
      <c r="J8" s="14" t="n">
        <f aca="false">E13+E14</f>
        <v>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63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387"/>
      <c r="I10" s="16" t="s">
        <v>1</v>
      </c>
      <c r="J10" s="14" t="n">
        <f aca="false">E15-E11-J8</f>
        <v>0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63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63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273" t="n">
        <f aca="false">E15</f>
        <v>0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63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63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234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236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237</v>
      </c>
      <c r="B29" s="219" t="n">
        <v>12345</v>
      </c>
      <c r="C29" s="219"/>
      <c r="D29" s="389" t="n">
        <f aca="true">TODAY()+1</f>
        <v>45128</v>
      </c>
      <c r="E29" s="389"/>
      <c r="F29" s="387"/>
      <c r="G29" s="29" t="s">
        <v>28</v>
      </c>
      <c r="H29" s="37" t="n">
        <f aca="false">A32</f>
        <v>12</v>
      </c>
      <c r="I29" s="387"/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12.0</v>
      </c>
      <c r="B32" s="219" t="n">
        <v>5000.0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42</v>
      </c>
      <c r="B34" s="227" t="s">
        <v>48</v>
      </c>
      <c r="C34" s="226" t="s">
        <v>43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0</v>
      </c>
      <c r="B35" s="219" t="s">
        <v>402</v>
      </c>
      <c r="C35" s="219"/>
      <c r="D35" s="278" t="n">
        <f aca="false">A35-B35</f>
        <v>-1000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45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396</v>
      </c>
      <c r="B38" s="237" t="n">
        <f aca="false">A32-1</f>
        <v>11</v>
      </c>
      <c r="C38" s="237"/>
      <c r="D38" s="100" t="s">
        <v>393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57</v>
      </c>
      <c r="G40" s="2" t="s">
        <v>58</v>
      </c>
      <c r="H40" s="2" t="n">
        <f aca="false">C15</f>
        <v>4491.666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395</v>
      </c>
      <c r="B41" s="100" t="s">
        <v>405</v>
      </c>
      <c r="C41" s="100"/>
      <c r="D41" s="219" t="s">
        <v>18</v>
      </c>
      <c r="E41" s="219"/>
      <c r="F41" s="387"/>
      <c r="G41" s="2" t="s">
        <v>59</v>
      </c>
      <c r="H41" s="2" t="n">
        <f aca="false">IF(D41="Yes",A44, 0)</f>
        <v>0</v>
      </c>
      <c r="I41" s="2"/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117</v>
      </c>
      <c r="B43" s="236" t="s">
        <v>67</v>
      </c>
      <c r="C43" s="226" t="s">
        <v>334</v>
      </c>
      <c r="D43" s="236" t="s">
        <v>206</v>
      </c>
      <c r="E43" s="239"/>
      <c r="F43" s="387"/>
      <c r="G43" s="2" t="s">
        <v>64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s">
        <v>389</v>
      </c>
      <c r="B44" s="100" t="s">
        <v>397</v>
      </c>
      <c r="C44" s="100"/>
      <c r="D44" s="100" t="s">
        <v>397</v>
      </c>
      <c r="E44" s="100"/>
      <c r="F44" s="387"/>
      <c r="G44" s="2" t="s">
        <v>65</v>
      </c>
      <c r="H44" s="2" t="n">
        <f aca="false">((H40-(((H42/(1.2))*0.2)))/(H43))</f>
        <v>290.972166666667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69</v>
      </c>
      <c r="H45" s="2" t="n">
        <f aca="false">(H39-H44)+H41</f>
        <v>209.027833333333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70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71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73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74</v>
      </c>
      <c r="H49" s="2" t="n">
        <f aca="false">H45+H48+H47</f>
        <v>211.6945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26"/>
      <c r="E50" s="239"/>
      <c r="F50" s="387"/>
      <c r="G50" s="2" t="s">
        <v>338</v>
      </c>
      <c r="H50" s="2" t="n">
        <f aca="false">H49-H41</f>
        <v>211.6945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H49</f>
        <v>211.6945</v>
      </c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211.6945</v>
      </c>
      <c r="C58" s="74"/>
      <c r="D58" s="352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84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7"/>
      <c r="G63" s="315" t="s">
        <v>84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84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85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/>
      <c r="D64" s="316"/>
      <c r="E64" s="317"/>
      <c r="F64" s="387"/>
      <c r="G64" s="315" t="s">
        <v>85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85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210" t="s">
        <v>274</v>
      </c>
      <c r="B66" s="211" t="n">
        <f aca="false">E19</f>
        <v>26949.996</v>
      </c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210" t="s">
        <v>14</v>
      </c>
      <c r="B67" s="290" t="n">
        <v>37404</v>
      </c>
      <c r="C67" s="316"/>
      <c r="D67" s="316"/>
      <c r="E67" s="317"/>
      <c r="F67" s="387"/>
      <c r="G67" s="315" t="s">
        <v>14</v>
      </c>
      <c r="H67" s="32" t="n">
        <f aca="false">G18</f>
        <v>37404</v>
      </c>
      <c r="I67" s="316"/>
      <c r="J67" s="316"/>
      <c r="K67" s="317"/>
      <c r="L67" s="387"/>
      <c r="M67" s="315" t="s">
        <v>14</v>
      </c>
      <c r="N67" s="32" t="n">
        <f aca="false">G18</f>
        <v>37404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291" t="s">
        <v>275</v>
      </c>
      <c r="B68" s="292" t="n">
        <v>0.07</v>
      </c>
      <c r="C68" s="316"/>
      <c r="D68" s="316"/>
      <c r="E68" s="317"/>
      <c r="F68" s="387"/>
      <c r="G68" s="398" t="s">
        <v>275</v>
      </c>
      <c r="H68" s="399" t="n">
        <v>0.07</v>
      </c>
      <c r="I68" s="316"/>
      <c r="J68" s="316"/>
      <c r="K68" s="317"/>
      <c r="L68" s="387"/>
      <c r="M68" s="398" t="s">
        <v>275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316"/>
      <c r="D69" s="316"/>
      <c r="E69" s="317"/>
      <c r="F69" s="387"/>
      <c r="G69" s="315" t="s">
        <v>276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276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284" t="s">
        <v>90</v>
      </c>
      <c r="B70" s="129" t="n">
        <f aca="false">B66*B69</f>
        <v>2618.28</v>
      </c>
      <c r="C70" s="316" t="n">
        <v>10000</v>
      </c>
      <c r="D70" s="32" t="n">
        <f aca="false">B70-A149</f>
        <v>2618.28</v>
      </c>
      <c r="E70" s="317" t="n">
        <f aca="false">D70/12</f>
        <v>218.19</v>
      </c>
      <c r="F70" s="387"/>
      <c r="G70" s="365" t="s">
        <v>90</v>
      </c>
      <c r="H70" s="65" t="n">
        <f aca="false">H67*H69</f>
        <v>2618.28</v>
      </c>
      <c r="I70" s="316"/>
      <c r="J70" s="32" t="n">
        <f aca="false">H70-G151</f>
        <v>2618.28</v>
      </c>
      <c r="K70" s="317"/>
      <c r="L70" s="387"/>
      <c r="M70" s="365" t="s">
        <v>90</v>
      </c>
      <c r="N70" s="65" t="n">
        <f aca="false">N67*N69</f>
        <v>2618.28</v>
      </c>
      <c r="O70" s="316"/>
      <c r="P70" s="32" t="n">
        <f aca="false">N70-M151</f>
        <v>2618.28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291" t="s">
        <v>91</v>
      </c>
      <c r="B71" s="292" t="n">
        <v>0.01</v>
      </c>
      <c r="C71" s="316"/>
      <c r="D71" s="316"/>
      <c r="E71" s="317"/>
      <c r="F71" s="387"/>
      <c r="G71" s="398" t="s">
        <v>91</v>
      </c>
      <c r="H71" s="399" t="n">
        <v>0.005</v>
      </c>
      <c r="I71" s="316"/>
      <c r="J71" s="316"/>
      <c r="K71" s="317"/>
      <c r="L71" s="387"/>
      <c r="M71" s="398" t="s">
        <v>91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316"/>
      <c r="D72" s="316"/>
      <c r="E72" s="317"/>
      <c r="F72" s="387"/>
      <c r="G72" s="315" t="s">
        <v>92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92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316"/>
      <c r="D73" s="32"/>
      <c r="E73" s="317"/>
      <c r="F73" s="387"/>
      <c r="G73" s="365" t="s">
        <v>93</v>
      </c>
      <c r="H73" s="65" t="n">
        <f aca="false">H67*H72</f>
        <v>187.02</v>
      </c>
      <c r="I73" s="316"/>
      <c r="J73" s="32"/>
      <c r="K73" s="317"/>
      <c r="L73" s="387"/>
      <c r="M73" s="365" t="s">
        <v>93</v>
      </c>
      <c r="N73" s="65" t="n">
        <f aca="false">N67*N72</f>
        <v>187.02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94</v>
      </c>
      <c r="B74" s="399" t="n">
        <v>0.0075</v>
      </c>
      <c r="C74" s="316"/>
      <c r="D74" s="316"/>
      <c r="E74" s="317"/>
      <c r="F74" s="387"/>
      <c r="G74" s="398" t="s">
        <v>94</v>
      </c>
      <c r="H74" s="399" t="n">
        <v>0.0075</v>
      </c>
      <c r="I74" s="316"/>
      <c r="J74" s="316"/>
      <c r="K74" s="317"/>
      <c r="L74" s="387"/>
      <c r="M74" s="398" t="s">
        <v>94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95</v>
      </c>
      <c r="B75" s="401" t="n">
        <v>0.12</v>
      </c>
      <c r="C75" s="316"/>
      <c r="D75" s="316"/>
      <c r="E75" s="317"/>
      <c r="F75" s="387"/>
      <c r="G75" s="400" t="s">
        <v>95</v>
      </c>
      <c r="H75" s="401" t="n">
        <v>0.12</v>
      </c>
      <c r="I75" s="316"/>
      <c r="J75" s="316"/>
      <c r="K75" s="317"/>
      <c r="L75" s="387"/>
      <c r="M75" s="400" t="s">
        <v>95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96</v>
      </c>
      <c r="B76" s="402" t="n">
        <f aca="false">B74*(1+B75)</f>
        <v>0.0084</v>
      </c>
      <c r="C76" s="316"/>
      <c r="D76" s="316"/>
      <c r="E76" s="317"/>
      <c r="F76" s="387"/>
      <c r="G76" s="365" t="s">
        <v>96</v>
      </c>
      <c r="H76" s="402" t="n">
        <f aca="false">H74*(1+H75)</f>
        <v>0.0084</v>
      </c>
      <c r="I76" s="316"/>
      <c r="J76" s="316"/>
      <c r="K76" s="317"/>
      <c r="L76" s="387"/>
      <c r="M76" s="365" t="s">
        <v>96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97</v>
      </c>
      <c r="B77" s="86" t="n">
        <v>200.0</v>
      </c>
      <c r="C77" s="316"/>
      <c r="D77" s="316"/>
      <c r="E77" s="317"/>
      <c r="F77" s="387"/>
      <c r="G77" s="398" t="s">
        <v>97</v>
      </c>
      <c r="H77" s="86" t="n">
        <v>160</v>
      </c>
      <c r="I77" s="316"/>
      <c r="J77" s="316"/>
      <c r="K77" s="317"/>
      <c r="L77" s="387"/>
      <c r="M77" s="398" t="s">
        <v>97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98</v>
      </c>
      <c r="B78" s="77" t="n">
        <v>5.0</v>
      </c>
      <c r="C78" s="316"/>
      <c r="D78" s="316"/>
      <c r="E78" s="317"/>
      <c r="F78" s="387"/>
      <c r="G78" s="400" t="s">
        <v>98</v>
      </c>
      <c r="H78" s="77" t="n">
        <v>4.5</v>
      </c>
      <c r="I78" s="316"/>
      <c r="J78" s="316"/>
      <c r="K78" s="317"/>
      <c r="L78" s="387"/>
      <c r="M78" s="400" t="s">
        <v>98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99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99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99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277</v>
      </c>
      <c r="B80" s="86" t="n">
        <v>165.0</v>
      </c>
      <c r="C80" s="316"/>
      <c r="D80" s="316"/>
      <c r="E80" s="403" t="n">
        <f aca="false">E79+D82</f>
        <v>838.75</v>
      </c>
      <c r="F80" s="387"/>
      <c r="G80" s="398" t="s">
        <v>277</v>
      </c>
      <c r="H80" s="86" t="n">
        <v>150</v>
      </c>
      <c r="I80" s="316"/>
      <c r="J80" s="316"/>
      <c r="K80" s="317"/>
      <c r="L80" s="387"/>
      <c r="M80" s="404" t="s">
        <v>277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278</v>
      </c>
      <c r="B81" s="77" t="n">
        <v>0.0</v>
      </c>
      <c r="C81" s="316"/>
      <c r="D81" s="316"/>
      <c r="E81" s="317" t="n">
        <f aca="false">E80/12</f>
        <v>69.8958333333333</v>
      </c>
      <c r="F81" s="387"/>
      <c r="G81" s="400" t="s">
        <v>278</v>
      </c>
      <c r="H81" s="77" t="n">
        <f aca="false">IF(G18&gt;40000, 325, 0)</f>
        <v>0</v>
      </c>
      <c r="I81" s="316"/>
      <c r="J81" s="316"/>
      <c r="K81" s="317"/>
      <c r="L81" s="387"/>
      <c r="M81" s="406" t="s">
        <v>278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279</v>
      </c>
      <c r="B82" s="65" t="n">
        <f aca="false">((B80+B81)/12)*(H29+1)</f>
        <v>178.75</v>
      </c>
      <c r="C82" s="316"/>
      <c r="D82" s="32" t="n">
        <f aca="false">IF(A50="YES", 0, B82)</f>
        <v>178.75</v>
      </c>
      <c r="E82" s="317"/>
      <c r="F82" s="387"/>
      <c r="G82" s="365" t="s">
        <v>279</v>
      </c>
      <c r="H82" s="65" t="n">
        <f aca="false">((H80+H81)/12)*(H29-11)</f>
        <v>12.5</v>
      </c>
      <c r="I82" s="316"/>
      <c r="J82" s="32" t="n">
        <f aca="false">IF(A50="YES", 0, H82)</f>
        <v>12.5</v>
      </c>
      <c r="K82" s="317"/>
      <c r="L82" s="387"/>
      <c r="M82" s="408" t="s">
        <v>279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280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280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280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281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281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100</v>
      </c>
      <c r="B85" s="77" t="n">
        <v>200.0</v>
      </c>
      <c r="C85" s="316"/>
      <c r="D85" s="32" t="n">
        <f aca="false">B85</f>
        <v>200</v>
      </c>
      <c r="E85" s="317"/>
      <c r="F85" s="387"/>
      <c r="G85" s="400" t="s">
        <v>100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100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101</v>
      </c>
      <c r="B86" s="87" t="n">
        <v>200.0</v>
      </c>
      <c r="C86" s="316"/>
      <c r="D86" s="32" t="n">
        <f aca="false">B86</f>
        <v>200</v>
      </c>
      <c r="E86" s="317"/>
      <c r="F86" s="387"/>
      <c r="G86" s="410" t="s">
        <v>101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101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102</v>
      </c>
      <c r="B87" s="412" t="n">
        <f aca="false">SUM(D70:D86)</f>
        <v>4123.69666666667</v>
      </c>
      <c r="C87" s="316"/>
      <c r="D87" s="316"/>
      <c r="E87" s="317"/>
      <c r="F87" s="387"/>
      <c r="G87" s="411" t="s">
        <v>102</v>
      </c>
      <c r="H87" s="412" t="n">
        <f aca="false">SUM(J70:J86)</f>
        <v>5744.78</v>
      </c>
      <c r="I87" s="316"/>
      <c r="J87" s="316"/>
      <c r="K87" s="317"/>
      <c r="L87" s="387"/>
      <c r="M87" s="411" t="s">
        <v>102</v>
      </c>
      <c r="N87" s="412" t="n">
        <f aca="false">SUM(P70:P86)</f>
        <v>5732.28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103</v>
      </c>
      <c r="B88" s="33" t="n">
        <f aca="false">B87/H29</f>
        <v>343.641388888889</v>
      </c>
      <c r="C88" s="316"/>
      <c r="D88" s="316"/>
      <c r="E88" s="317"/>
      <c r="F88" s="387"/>
      <c r="G88" s="315" t="s">
        <v>103</v>
      </c>
      <c r="H88" s="33" t="n">
        <f aca="false">H87/H29</f>
        <v>478.731666666667</v>
      </c>
      <c r="I88" s="316"/>
      <c r="J88" s="316"/>
      <c r="K88" s="317"/>
      <c r="L88" s="387"/>
      <c r="M88" s="315" t="s">
        <v>103</v>
      </c>
      <c r="N88" s="33" t="n">
        <f aca="false">N87/H29</f>
        <v>477.69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104</v>
      </c>
      <c r="B89" s="59" t="n">
        <f aca="false">H50</f>
        <v>211.6945</v>
      </c>
      <c r="C89" s="316"/>
      <c r="D89" s="316"/>
      <c r="E89" s="317"/>
      <c r="F89" s="387"/>
      <c r="G89" s="413" t="s">
        <v>104</v>
      </c>
      <c r="H89" s="59" t="n">
        <f aca="false">H46</f>
        <v>0</v>
      </c>
      <c r="I89" s="316"/>
      <c r="J89" s="316"/>
      <c r="K89" s="317"/>
      <c r="L89" s="387"/>
      <c r="M89" s="413" t="s">
        <v>104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114</v>
      </c>
      <c r="B91" s="27" t="n">
        <f aca="false">((B89*H29)+B87)*1.2</f>
        <v>7996.8368</v>
      </c>
      <c r="C91" s="316"/>
      <c r="D91" s="316"/>
      <c r="E91" s="317"/>
      <c r="F91" s="387"/>
      <c r="G91" s="395" t="s">
        <v>114</v>
      </c>
      <c r="H91" s="27" t="n">
        <f aca="false">((H89*H29)+H87)*1.2</f>
        <v>6893.736</v>
      </c>
      <c r="I91" s="316"/>
      <c r="J91" s="316"/>
      <c r="K91" s="317"/>
      <c r="L91" s="387"/>
      <c r="M91" s="395" t="s">
        <v>114</v>
      </c>
      <c r="N91" s="27" t="n">
        <f aca="false">((N89*H29)+N87)</f>
        <v>5732.28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115</v>
      </c>
      <c r="B92" s="33" t="n">
        <f aca="false">(((B89*H29)+B87)/(1-B76))*B76</f>
        <v>56.452054860831</v>
      </c>
      <c r="C92" s="316"/>
      <c r="D92" s="316"/>
      <c r="E92" s="414"/>
      <c r="F92" s="387"/>
      <c r="G92" s="315" t="s">
        <v>115</v>
      </c>
      <c r="H92" s="33" t="n">
        <f aca="false">(((H89*H29)+H87)/(1-H76))*H76</f>
        <v>48.6649374747882</v>
      </c>
      <c r="I92" s="316"/>
      <c r="J92" s="316"/>
      <c r="K92" s="317"/>
      <c r="L92" s="387"/>
      <c r="M92" s="315" t="s">
        <v>115</v>
      </c>
      <c r="N92" s="33" t="n">
        <f aca="false">(N91/(1-N76))*N76</f>
        <v>48.5590480032271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116</v>
      </c>
      <c r="B93" s="65" t="n">
        <f aca="false">IF(B116="YES",((B91+B92)-E120),(B91+B92))</f>
        <v>8053.28885486083</v>
      </c>
      <c r="C93" s="316"/>
      <c r="D93" s="316"/>
      <c r="E93" s="317"/>
      <c r="F93" s="387"/>
      <c r="G93" s="365" t="s">
        <v>116</v>
      </c>
      <c r="H93" s="65" t="n">
        <f aca="false">IF(H116="YES",((H91+H92)-K120),(H91+H92))</f>
        <v>8942.40093747479</v>
      </c>
      <c r="I93" s="316"/>
      <c r="J93" s="316"/>
      <c r="K93" s="317"/>
      <c r="L93" s="387"/>
      <c r="M93" s="365" t="s">
        <v>116</v>
      </c>
      <c r="N93" s="65" t="n">
        <f aca="false">IF(N116="YES",((N91+N92)-K120),(N91+N92))</f>
        <v>7780.83904800323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117</v>
      </c>
      <c r="B95" s="412" t="n">
        <f aca="false">IF(B105=Z104,(((H41*A32)+(H41*A32)*(B111/100))/(B64)),(((H41*A32)+(H41*A32)*(B111/100))/(B63+B64)))*1.2</f>
        <v>0</v>
      </c>
      <c r="C95" s="316"/>
      <c r="D95" s="316"/>
      <c r="E95" s="317"/>
      <c r="F95" s="387"/>
      <c r="G95" s="411" t="s">
        <v>117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117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118</v>
      </c>
      <c r="B96" s="416" t="n">
        <f aca="false">IF(B105=Z104, (B93-D111)/(B64), B93/(B63+B64))</f>
        <v>671.107404571736</v>
      </c>
      <c r="C96" s="316"/>
      <c r="D96" s="316"/>
      <c r="E96" s="317"/>
      <c r="F96" s="387"/>
      <c r="G96" s="415" t="s">
        <v>118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118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119</v>
      </c>
      <c r="B97" s="418" t="n">
        <f aca="false">IF(A111="YES", B96+B95, B96)</f>
        <v>671.107404571736</v>
      </c>
      <c r="C97" s="316"/>
      <c r="D97" s="419"/>
      <c r="E97" s="317"/>
      <c r="F97" s="387"/>
      <c r="G97" s="417" t="s">
        <v>119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119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387"/>
      <c r="G100" s="209" t="s">
        <v>282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387"/>
      <c r="G102" s="213" t="s">
        <v>124</v>
      </c>
      <c r="H102" s="213"/>
      <c r="I102" s="213"/>
      <c r="J102" s="213"/>
      <c r="K102" s="213"/>
      <c r="L102" s="387"/>
      <c r="M102" s="213" t="s">
        <v>124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128</v>
      </c>
    </row>
    <row r="104" customFormat="false" ht="18.75" hidden="false" customHeight="true" outlineLevel="0" collapsed="false">
      <c r="A104" s="315" t="s">
        <v>125</v>
      </c>
      <c r="B104" s="316" t="s">
        <v>23</v>
      </c>
      <c r="C104" s="316"/>
      <c r="D104" s="316" t="s">
        <v>283</v>
      </c>
      <c r="E104" s="317"/>
      <c r="F104" s="387"/>
      <c r="G104" s="315" t="s">
        <v>125</v>
      </c>
      <c r="H104" s="316" t="s">
        <v>23</v>
      </c>
      <c r="I104" s="316"/>
      <c r="J104" s="316" t="s">
        <v>283</v>
      </c>
      <c r="K104" s="317"/>
      <c r="L104" s="387"/>
      <c r="M104" s="315" t="s">
        <v>125</v>
      </c>
      <c r="N104" s="316" t="s">
        <v>23</v>
      </c>
      <c r="O104" s="316"/>
      <c r="P104" s="316" t="s">
        <v>283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261</v>
      </c>
    </row>
    <row r="105" customFormat="false" ht="18.75" hidden="false" customHeight="true" outlineLevel="0" collapsed="false">
      <c r="A105" s="373"/>
      <c r="B105" s="311" t="s">
        <v>128</v>
      </c>
      <c r="C105" s="311"/>
      <c r="D105" s="420" t="n">
        <v>1000.0</v>
      </c>
      <c r="E105" s="420"/>
      <c r="F105" s="387"/>
      <c r="G105" s="373" t="s">
        <v>284</v>
      </c>
      <c r="H105" s="311" t="s">
        <v>266</v>
      </c>
      <c r="I105" s="311"/>
      <c r="J105" s="420" t="n">
        <v>5000</v>
      </c>
      <c r="K105" s="420"/>
      <c r="L105" s="387"/>
      <c r="M105" s="373" t="s">
        <v>284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262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263</v>
      </c>
    </row>
    <row r="107" customFormat="false" ht="18.75" hidden="false" customHeight="true" outlineLevel="0" collapsed="false">
      <c r="A107" s="315" t="s">
        <v>286</v>
      </c>
      <c r="B107" s="316" t="s">
        <v>287</v>
      </c>
      <c r="C107" s="316"/>
      <c r="D107" s="316" t="s">
        <v>288</v>
      </c>
      <c r="E107" s="317"/>
      <c r="F107" s="387"/>
      <c r="G107" s="315" t="s">
        <v>286</v>
      </c>
      <c r="H107" s="316" t="s">
        <v>287</v>
      </c>
      <c r="I107" s="316"/>
      <c r="J107" s="316" t="s">
        <v>288</v>
      </c>
      <c r="K107" s="317"/>
      <c r="L107" s="387"/>
      <c r="M107" s="315" t="s">
        <v>286</v>
      </c>
      <c r="N107" s="316" t="s">
        <v>287</v>
      </c>
      <c r="O107" s="316"/>
      <c r="P107" s="316" t="s">
        <v>288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264</v>
      </c>
    </row>
    <row r="108" customFormat="false" ht="18.75" hidden="false" customHeight="true" outlineLevel="0" collapsed="false">
      <c r="A108" s="312" t="n">
        <v>239.99</v>
      </c>
      <c r="B108" s="103" t="n">
        <v>200.0</v>
      </c>
      <c r="C108" s="103"/>
      <c r="D108" s="103" t="n">
        <v>200.0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126</v>
      </c>
      <c r="B110" s="387" t="s">
        <v>129</v>
      </c>
      <c r="C110" s="316"/>
      <c r="D110" s="316" t="s">
        <v>140</v>
      </c>
      <c r="E110" s="317"/>
      <c r="F110" s="387"/>
      <c r="G110" s="373" t="s">
        <v>126</v>
      </c>
      <c r="H110" s="387" t="s">
        <v>129</v>
      </c>
      <c r="I110" s="316"/>
      <c r="J110" s="316" t="s">
        <v>140</v>
      </c>
      <c r="K110" s="317"/>
      <c r="L110" s="387"/>
      <c r="M110" s="373" t="s">
        <v>126</v>
      </c>
      <c r="N110" s="387" t="s">
        <v>129</v>
      </c>
      <c r="O110" s="316"/>
      <c r="P110" s="316" t="s">
        <v>140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386</v>
      </c>
      <c r="B111" s="311" t="n">
        <v>20.0</v>
      </c>
      <c r="C111" s="311"/>
      <c r="D111" s="103" t="n">
        <v>200.0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387"/>
      <c r="G114" s="213" t="s">
        <v>290</v>
      </c>
      <c r="H114" s="213"/>
      <c r="I114" s="213"/>
      <c r="J114" s="213"/>
      <c r="K114" s="213"/>
      <c r="L114" s="387"/>
      <c r="M114" s="213" t="s">
        <v>290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291</v>
      </c>
      <c r="B116" s="388" t="s">
        <v>390</v>
      </c>
      <c r="C116" s="316"/>
      <c r="D116" s="316"/>
      <c r="E116" s="317"/>
      <c r="F116" s="387"/>
      <c r="G116" s="315" t="s">
        <v>291</v>
      </c>
      <c r="H116" s="388" t="s">
        <v>18</v>
      </c>
      <c r="I116" s="316"/>
      <c r="J116" s="316"/>
      <c r="K116" s="317"/>
      <c r="L116" s="387"/>
      <c r="M116" s="315" t="s">
        <v>291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174</v>
      </c>
      <c r="B118" s="316"/>
      <c r="C118" s="316"/>
      <c r="D118" s="312" t="n">
        <v>0</v>
      </c>
      <c r="E118" s="103" t="n">
        <v>6000</v>
      </c>
      <c r="F118" s="387"/>
      <c r="G118" s="315" t="s">
        <v>174</v>
      </c>
      <c r="H118" s="316"/>
      <c r="I118" s="316"/>
      <c r="J118" s="312" t="n">
        <v>10000</v>
      </c>
      <c r="K118" s="103" t="n">
        <v>5000</v>
      </c>
      <c r="L118" s="387"/>
      <c r="M118" s="315" t="s">
        <v>174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175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175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175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176</v>
      </c>
      <c r="B120" s="316"/>
      <c r="C120" s="316"/>
      <c r="D120" s="39" t="n">
        <f aca="false">D118-D119</f>
        <v>-2000</v>
      </c>
      <c r="E120" s="164" t="n">
        <f aca="false">E118-E119</f>
        <v>4000</v>
      </c>
      <c r="F120" s="387"/>
      <c r="G120" s="315" t="s">
        <v>176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176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177</v>
      </c>
      <c r="B121" s="316"/>
      <c r="C121" s="316"/>
      <c r="D121" s="39" t="n">
        <f aca="false">D120-E120</f>
        <v>-6000</v>
      </c>
      <c r="E121" s="317"/>
      <c r="F121" s="387"/>
      <c r="G121" s="315" t="s">
        <v>177</v>
      </c>
      <c r="H121" s="316"/>
      <c r="I121" s="316"/>
      <c r="J121" s="39" t="n">
        <f aca="false">J120-K120</f>
        <v>5000</v>
      </c>
      <c r="K121" s="317"/>
      <c r="L121" s="387"/>
      <c r="M121" s="315" t="s">
        <v>177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136</v>
      </c>
      <c r="B123" s="396"/>
      <c r="C123" s="396"/>
      <c r="D123" s="396"/>
      <c r="E123" s="27" t="n">
        <f aca="false">D105</f>
        <v>1000</v>
      </c>
      <c r="F123" s="387"/>
      <c r="G123" s="395" t="s">
        <v>136</v>
      </c>
      <c r="H123" s="396"/>
      <c r="I123" s="396"/>
      <c r="J123" s="396"/>
      <c r="K123" s="27" t="n">
        <f aca="false">J105</f>
        <v>5000</v>
      </c>
      <c r="L123" s="387"/>
      <c r="M123" s="395" t="s">
        <v>136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239.99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292</v>
      </c>
      <c r="B125" s="366"/>
      <c r="C125" s="366"/>
      <c r="D125" s="366"/>
      <c r="E125" s="65" t="n">
        <f aca="false">(E124+E123)-E120</f>
        <v>-2760.01</v>
      </c>
      <c r="F125" s="387"/>
      <c r="G125" s="421" t="s">
        <v>292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292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387"/>
      <c r="G128" s="213" t="s">
        <v>293</v>
      </c>
      <c r="H128" s="213"/>
      <c r="I128" s="213"/>
      <c r="J128" s="213"/>
      <c r="K128" s="213"/>
      <c r="L128" s="387"/>
      <c r="M128" s="213" t="s">
        <v>293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125</v>
      </c>
      <c r="B130" s="319" t="n">
        <v>0.0</v>
      </c>
      <c r="C130" s="320"/>
      <c r="D130" s="319" t="s">
        <v>83</v>
      </c>
      <c r="E130" s="321"/>
      <c r="F130" s="387"/>
      <c r="G130" s="315" t="s">
        <v>181</v>
      </c>
      <c r="H130" s="169" t="n">
        <v>0</v>
      </c>
      <c r="I130" s="169"/>
      <c r="J130" s="316"/>
      <c r="K130" s="317"/>
      <c r="L130" s="387"/>
      <c r="M130" s="315" t="s">
        <v>181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82</v>
      </c>
      <c r="H132" s="316" t="s">
        <v>83</v>
      </c>
      <c r="I132" s="316"/>
      <c r="J132" s="316" t="s">
        <v>85</v>
      </c>
      <c r="K132" s="317"/>
      <c r="L132" s="387"/>
      <c r="M132" s="315" t="s">
        <v>82</v>
      </c>
      <c r="N132" s="316" t="s">
        <v>83</v>
      </c>
      <c r="O132" s="316"/>
      <c r="P132" s="316" t="s">
        <v>85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11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11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671.107404571736</v>
      </c>
      <c r="B134" s="320" t="n">
        <f aca="false">IF(A111="YES", B95, 0)</f>
        <v>0</v>
      </c>
      <c r="C134" s="324"/>
      <c r="D134" s="320" t="n">
        <f aca="false">B97</f>
        <v>671.107404571736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296</v>
      </c>
      <c r="H135" s="423" t="s">
        <v>297</v>
      </c>
      <c r="I135" s="423"/>
      <c r="J135" s="423" t="s">
        <v>298</v>
      </c>
      <c r="K135" s="317"/>
      <c r="L135" s="387"/>
      <c r="M135" s="422" t="s">
        <v>342</v>
      </c>
      <c r="N135" s="423" t="s">
        <v>250</v>
      </c>
      <c r="O135" s="423"/>
      <c r="P135" s="423" t="s">
        <v>119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671.107404571736</v>
      </c>
      <c r="C137" s="316"/>
      <c r="D137" s="38" t="n">
        <f aca="false">IF(A111="YES", B95*B63, 0)</f>
        <v>0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301</v>
      </c>
      <c r="H138" s="316" t="s">
        <v>302</v>
      </c>
      <c r="I138" s="316"/>
      <c r="J138" s="316" t="s">
        <v>303</v>
      </c>
      <c r="K138" s="317"/>
      <c r="L138" s="387"/>
      <c r="M138" s="315" t="s">
        <v>343</v>
      </c>
      <c r="N138" s="316" t="s">
        <v>239</v>
      </c>
      <c r="O138" s="316"/>
      <c r="P138" s="316" t="s">
        <v>243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671.107404571736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306</v>
      </c>
      <c r="H141" s="316" t="s">
        <v>307</v>
      </c>
      <c r="I141" s="316"/>
      <c r="J141" s="316" t="s">
        <v>308</v>
      </c>
      <c r="K141" s="317"/>
      <c r="L141" s="387"/>
      <c r="M141" s="315" t="s">
        <v>252</v>
      </c>
      <c r="N141" s="316" t="s">
        <v>253</v>
      </c>
      <c r="O141" s="316"/>
      <c r="P141" s="316" t="s">
        <v>257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387"/>
      <c r="G142" s="107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1"/>
      <c r="L142" s="387"/>
      <c r="M142" s="107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671.107404571736</v>
      </c>
      <c r="B143" s="38" t="n">
        <f aca="false">IF(A111="YES", B95, 0)</f>
        <v>0</v>
      </c>
      <c r="C143" s="316"/>
      <c r="D143" s="38" t="n">
        <f aca="false">B97</f>
        <v>671.107404571736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309</v>
      </c>
      <c r="H144" s="316" t="s">
        <v>310</v>
      </c>
      <c r="I144" s="316"/>
      <c r="J144" s="316" t="s">
        <v>311</v>
      </c>
      <c r="K144" s="317"/>
      <c r="L144" s="387"/>
      <c r="M144" s="315" t="s">
        <v>139</v>
      </c>
      <c r="N144" s="316" t="s">
        <v>310</v>
      </c>
      <c r="O144" s="316"/>
      <c r="P144" s="316" t="s">
        <v>311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387"/>
      <c r="G145" s="107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313</v>
      </c>
      <c r="H147" s="316" t="s">
        <v>314</v>
      </c>
      <c r="I147" s="316"/>
      <c r="J147" s="316" t="s">
        <v>315</v>
      </c>
      <c r="K147" s="317"/>
      <c r="L147" s="387"/>
      <c r="M147" s="315" t="s">
        <v>313</v>
      </c>
      <c r="N147" s="316" t="s">
        <v>314</v>
      </c>
      <c r="O147" s="316"/>
      <c r="P147" s="316" t="s">
        <v>315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317</v>
      </c>
      <c r="H150" s="316" t="s">
        <v>318</v>
      </c>
      <c r="I150" s="316"/>
      <c r="J150" s="316"/>
      <c r="K150" s="317"/>
      <c r="L150" s="387"/>
      <c r="M150" s="315" t="s">
        <v>317</v>
      </c>
      <c r="N150" s="316" t="s">
        <v>318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400</v>
      </c>
      <c r="C154" s="38"/>
      <c r="D154" s="38" t="n">
        <f aca="false">IF(A111="YES", (A44/100*B111)*B131, 0)*0.1</f>
        <v>0</v>
      </c>
      <c r="E154" s="101"/>
      <c r="F154" s="387"/>
      <c r="G154" s="347" t="s">
        <v>323</v>
      </c>
      <c r="H154" s="316"/>
      <c r="I154" s="316"/>
      <c r="J154" s="348"/>
      <c r="K154" s="349"/>
      <c r="L154" s="387"/>
      <c r="M154" s="424" t="n">
        <f aca="false">H40</f>
        <v>4491.666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7"/>
      <c r="G156" s="246" t="s">
        <v>82</v>
      </c>
      <c r="H156" s="247" t="s">
        <v>83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874.031666666667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323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82</v>
      </c>
      <c r="N159" s="247" t="s">
        <v>83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671.107404571736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387"/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671.107404571736</v>
      </c>
      <c r="B177" s="354" t="n">
        <f aca="false">IF(A111="YES", B95, 0)</f>
        <v>0</v>
      </c>
      <c r="C177" s="356"/>
      <c r="D177" s="354" t="n">
        <f aca="false">A177+B177</f>
        <v>671.107404571736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671.107404571736</v>
      </c>
      <c r="C180" s="352"/>
      <c r="D180" s="99" t="n">
        <f aca="false">IF(A111="YES", B95*B63, 0)</f>
        <v>0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671.107404571736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671.107404571736</v>
      </c>
      <c r="B186" s="99" t="n">
        <f aca="false">IF(A111="YES", B95, 0)</f>
        <v>0</v>
      </c>
      <c r="C186" s="352"/>
      <c r="D186" s="99" t="n">
        <f aca="false">B97</f>
        <v>671.107404571736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(A44/100*B111)*B131, 0)*0.1</f>
        <v>0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874.031666666667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G201" s="387"/>
      <c r="H201" s="387"/>
      <c r="I201" s="387"/>
      <c r="J201" s="387"/>
      <c r="K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7"/>
      <c r="G202" s="387"/>
      <c r="H202" s="387"/>
      <c r="I202" s="387"/>
      <c r="J202" s="387"/>
      <c r="K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G203" s="387"/>
      <c r="H203" s="387"/>
      <c r="I203" s="387"/>
      <c r="J203" s="387"/>
      <c r="K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G204" s="387"/>
      <c r="H204" s="387"/>
      <c r="I204" s="387"/>
      <c r="J204" s="387"/>
      <c r="K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G205" s="387"/>
      <c r="H205" s="387"/>
      <c r="I205" s="387"/>
      <c r="J205" s="387"/>
      <c r="K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G206" s="387"/>
      <c r="H206" s="387"/>
      <c r="I206" s="387"/>
      <c r="J206" s="387"/>
      <c r="K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387"/>
      <c r="G207" s="387"/>
      <c r="H207" s="387"/>
      <c r="I207" s="387"/>
      <c r="J207" s="387"/>
      <c r="K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G208" s="387"/>
      <c r="H208" s="387"/>
      <c r="I208" s="387"/>
      <c r="J208" s="387"/>
      <c r="K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D70</f>
        <v>2618.28</v>
      </c>
      <c r="E209" s="321"/>
      <c r="F209" s="387"/>
      <c r="G209" s="387"/>
      <c r="H209" s="387"/>
      <c r="I209" s="387"/>
      <c r="J209" s="387"/>
      <c r="K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G210" s="387"/>
      <c r="H210" s="387"/>
      <c r="I210" s="387"/>
      <c r="J210" s="387"/>
      <c r="K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339.991666666667</v>
      </c>
      <c r="E211" s="321"/>
      <c r="F211" s="387"/>
      <c r="G211" s="387"/>
      <c r="H211" s="387"/>
      <c r="I211" s="387"/>
      <c r="J211" s="387"/>
      <c r="K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G212" s="387"/>
      <c r="H212" s="387"/>
      <c r="I212" s="387"/>
      <c r="J212" s="387"/>
      <c r="K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215</v>
      </c>
      <c r="B213" s="320" t="n">
        <f aca="false">E223</f>
        <v>2584.23166666667</v>
      </c>
      <c r="C213" s="324"/>
      <c r="D213" s="320"/>
      <c r="E213" s="321"/>
      <c r="F213" s="387"/>
      <c r="G213" s="387"/>
      <c r="H213" s="387"/>
      <c r="I213" s="387"/>
      <c r="J213" s="387"/>
      <c r="K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G214" s="387"/>
      <c r="H214" s="387"/>
      <c r="I214" s="387"/>
      <c r="J214" s="387"/>
      <c r="K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387"/>
      <c r="G215" s="387"/>
      <c r="H215" s="387"/>
      <c r="I215" s="387"/>
      <c r="J215" s="387"/>
      <c r="K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G216" s="387"/>
      <c r="H216" s="387"/>
      <c r="I216" s="387"/>
      <c r="J216" s="387"/>
      <c r="K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212</v>
      </c>
      <c r="B217" s="100" t="n">
        <f aca="false">D70</f>
        <v>2618.28</v>
      </c>
      <c r="C217" s="374" t="s">
        <v>218</v>
      </c>
      <c r="D217" s="316"/>
      <c r="E217" s="375" t="n">
        <f aca="false">B72</f>
        <v>0.01</v>
      </c>
      <c r="F217" s="387"/>
      <c r="G217" s="387"/>
      <c r="H217" s="387"/>
      <c r="I217" s="387"/>
      <c r="J217" s="387"/>
      <c r="K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G218" s="387"/>
      <c r="H218" s="387"/>
      <c r="I218" s="387"/>
      <c r="J218" s="387"/>
      <c r="K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387"/>
      <c r="G219" s="387"/>
      <c r="H219" s="387"/>
      <c r="I219" s="387"/>
      <c r="J219" s="387"/>
      <c r="K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G220" s="387"/>
      <c r="H220" s="387"/>
      <c r="I220" s="387"/>
      <c r="J220" s="387"/>
      <c r="K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387"/>
      <c r="G221" s="387"/>
      <c r="H221" s="387"/>
      <c r="I221" s="387"/>
      <c r="J221" s="387"/>
      <c r="K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G222" s="387"/>
      <c r="H222" s="387"/>
      <c r="I222" s="387"/>
      <c r="J222" s="387"/>
      <c r="K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2584.23166666667</v>
      </c>
      <c r="F223" s="387"/>
      <c r="G223" s="387"/>
      <c r="H223" s="387"/>
      <c r="I223" s="387"/>
      <c r="J223" s="387"/>
      <c r="K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G224" s="387"/>
      <c r="H224" s="387"/>
      <c r="I224" s="387"/>
      <c r="J224" s="387"/>
      <c r="K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387"/>
      <c r="G225" s="387"/>
      <c r="H225" s="387"/>
      <c r="I225" s="387"/>
      <c r="J225" s="387"/>
      <c r="K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G226" s="387"/>
      <c r="H226" s="387"/>
      <c r="I226" s="387"/>
      <c r="J226" s="387"/>
      <c r="K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387"/>
      <c r="G227" s="387"/>
      <c r="H227" s="387"/>
      <c r="I227" s="387"/>
      <c r="J227" s="387"/>
      <c r="K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G228" s="387"/>
      <c r="H228" s="387"/>
      <c r="I228" s="387"/>
      <c r="J228" s="387"/>
      <c r="K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387"/>
      <c r="G229" s="387"/>
      <c r="H229" s="387"/>
      <c r="I229" s="387"/>
      <c r="J229" s="387"/>
      <c r="K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387"/>
      <c r="G230" s="387"/>
      <c r="H230" s="387"/>
      <c r="I230" s="387"/>
      <c r="J230" s="387"/>
      <c r="K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387"/>
      <c r="G231" s="387"/>
      <c r="H231" s="387"/>
      <c r="I231" s="387"/>
      <c r="J231" s="387"/>
      <c r="K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56.452054860831</v>
      </c>
      <c r="F232" s="387"/>
      <c r="G232" s="387"/>
      <c r="H232" s="387"/>
      <c r="I232" s="387"/>
      <c r="J232" s="387"/>
      <c r="K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387"/>
      <c r="G233" s="387"/>
      <c r="H233" s="387"/>
      <c r="I233" s="387"/>
      <c r="J233" s="387"/>
      <c r="K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G234" s="387"/>
      <c r="H234" s="387"/>
      <c r="I234" s="387"/>
      <c r="J234" s="387"/>
      <c r="K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387"/>
      <c r="G235" s="387"/>
      <c r="H235" s="387"/>
      <c r="I235" s="387"/>
      <c r="J235" s="387"/>
      <c r="K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G236" s="387"/>
      <c r="H236" s="387"/>
      <c r="I236" s="387"/>
      <c r="J236" s="387"/>
      <c r="K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G237" s="387"/>
      <c r="H237" s="387"/>
      <c r="I237" s="387"/>
      <c r="J237" s="387"/>
      <c r="K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G238" s="387"/>
      <c r="H238" s="387"/>
      <c r="I238" s="387"/>
      <c r="J238" s="387"/>
      <c r="K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G239" s="387"/>
      <c r="H239" s="387"/>
      <c r="I239" s="387"/>
      <c r="J239" s="387"/>
      <c r="K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G240" s="387"/>
      <c r="H240" s="387"/>
      <c r="I240" s="387"/>
      <c r="J240" s="387"/>
      <c r="K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G241" s="387"/>
      <c r="H241" s="387"/>
      <c r="I241" s="387"/>
      <c r="J241" s="387"/>
      <c r="K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G242" s="387"/>
      <c r="H242" s="387"/>
      <c r="I242" s="387"/>
      <c r="J242" s="387"/>
      <c r="K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87"/>
      <c r="B243" s="387"/>
      <c r="C243" s="387"/>
      <c r="D243" s="387"/>
      <c r="E243" s="387"/>
      <c r="F243" s="387"/>
      <c r="G243" s="387"/>
      <c r="H243" s="387"/>
      <c r="I243" s="387"/>
      <c r="J243" s="387"/>
      <c r="K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387"/>
      <c r="B244" s="387"/>
      <c r="C244" s="387"/>
      <c r="D244" s="387"/>
      <c r="E244" s="387"/>
      <c r="F244" s="387"/>
      <c r="G244" s="387"/>
      <c r="H244" s="387"/>
      <c r="I244" s="387"/>
      <c r="J244" s="387"/>
      <c r="K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87"/>
      <c r="B245" s="387"/>
      <c r="C245" s="387"/>
      <c r="D245" s="387"/>
      <c r="E245" s="387"/>
      <c r="F245" s="387"/>
      <c r="G245" s="387"/>
      <c r="H245" s="387"/>
      <c r="I245" s="387"/>
      <c r="J245" s="387"/>
      <c r="K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87"/>
      <c r="B246" s="387"/>
      <c r="C246" s="387"/>
      <c r="D246" s="387"/>
      <c r="E246" s="387"/>
      <c r="F246" s="387"/>
      <c r="G246" s="387"/>
      <c r="H246" s="387"/>
      <c r="I246" s="387"/>
      <c r="J246" s="387"/>
      <c r="K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387"/>
      <c r="B247" s="387"/>
      <c r="C247" s="387"/>
      <c r="D247" s="387"/>
      <c r="E247" s="387"/>
      <c r="F247" s="387"/>
      <c r="G247" s="387"/>
      <c r="H247" s="387"/>
      <c r="I247" s="387"/>
      <c r="J247" s="387"/>
      <c r="K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87"/>
      <c r="B248" s="387"/>
      <c r="C248" s="387"/>
      <c r="D248" s="387"/>
      <c r="E248" s="387"/>
      <c r="F248" s="387"/>
      <c r="G248" s="387"/>
      <c r="H248" s="387"/>
      <c r="I248" s="387"/>
      <c r="J248" s="387"/>
      <c r="K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63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63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387"/>
      <c r="I8" s="13" t="s">
        <v>3</v>
      </c>
      <c r="J8" s="14" t="n">
        <f aca="false">E13+E14</f>
        <v>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63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387"/>
      <c r="I10" s="16" t="s">
        <v>1</v>
      </c>
      <c r="J10" s="14" t="n">
        <f aca="false">E15-E11-J8</f>
        <v>0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63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63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273" t="n">
        <f aca="false">E15</f>
        <v>0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63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63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234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236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237</v>
      </c>
      <c r="B29" s="219" t="n">
        <v>12345</v>
      </c>
      <c r="C29" s="219"/>
      <c r="D29" s="389" t="n">
        <f aca="true">TODAY()+1</f>
        <v>45128</v>
      </c>
      <c r="E29" s="389"/>
      <c r="F29" s="387"/>
      <c r="G29" s="29" t="s">
        <v>28</v>
      </c>
      <c r="H29" s="37" t="n">
        <f aca="false">A32</f>
        <v>12</v>
      </c>
      <c r="I29" s="426" t="n">
        <f aca="false">ISNUMBER(I31)</f>
        <v>0</v>
      </c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12.0</v>
      </c>
      <c r="B32" s="219" t="n">
        <v>5000.0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600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336</v>
      </c>
      <c r="B34" s="227" t="s">
        <v>48</v>
      </c>
      <c r="C34" s="226" t="s">
        <v>4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0</v>
      </c>
      <c r="B35" s="219" t="s">
        <v>402</v>
      </c>
      <c r="C35" s="219"/>
      <c r="D35" s="278" t="n">
        <f aca="false">A35-B35</f>
        <v>-1000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396</v>
      </c>
      <c r="B38" s="237" t="n">
        <f aca="false">A32-1</f>
        <v>11</v>
      </c>
      <c r="C38" s="237"/>
      <c r="D38" s="100" t="s">
        <v>393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4</v>
      </c>
      <c r="G40" s="2" t="s">
        <v>58</v>
      </c>
      <c r="H40" s="2" t="n">
        <f aca="false">C15</f>
        <v>4491.666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395</v>
      </c>
      <c r="B41" s="100" t="s">
        <v>405</v>
      </c>
      <c r="C41" s="100"/>
      <c r="D41" s="219" t="s">
        <v>18</v>
      </c>
      <c r="E41" s="219"/>
      <c r="F41" s="387"/>
      <c r="G41" s="2" t="s">
        <v>59</v>
      </c>
      <c r="H41" s="2" t="str">
        <f aca="false">IF(D41="Yes",A44, 0)</f>
        <v>50</v>
      </c>
      <c r="I41" s="2" t="s">
        <v>4</v>
      </c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117</v>
      </c>
      <c r="B43" s="236" t="s">
        <v>67</v>
      </c>
      <c r="C43" s="226" t="s">
        <v>4</v>
      </c>
      <c r="D43" s="236" t="s">
        <v>206</v>
      </c>
      <c r="E43" s="239"/>
      <c r="F43" s="387"/>
      <c r="G43" s="2" t="s">
        <v>64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s">
        <v>389</v>
      </c>
      <c r="B44" s="100" t="s">
        <v>397</v>
      </c>
      <c r="C44" s="100"/>
      <c r="D44" s="100" t="s">
        <v>397</v>
      </c>
      <c r="E44" s="100"/>
      <c r="F44" s="387"/>
      <c r="G44" s="2" t="s">
        <v>65</v>
      </c>
      <c r="H44" s="2" t="n">
        <f aca="false">((H40-(((H42/(1.2))*0.2)))/(H43))</f>
        <v>290.972166666667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69</v>
      </c>
      <c r="H45" s="2" t="n">
        <f aca="false">(H39-H44)+H41</f>
        <v>259.027833333333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70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71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73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74</v>
      </c>
      <c r="H49" s="2" t="n">
        <f aca="false">H45+H48+H47</f>
        <v>261.6945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106"/>
      <c r="B50" s="226"/>
      <c r="C50" s="226"/>
      <c r="D50" s="226"/>
      <c r="E50" s="239"/>
      <c r="F50" s="387"/>
      <c r="G50" s="2" t="s">
        <v>338</v>
      </c>
      <c r="H50" s="2" t="n">
        <f aca="false">H49-H41</f>
        <v>211.6945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/>
      <c r="B52" s="74"/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261.6945</v>
      </c>
      <c r="C58" s="74"/>
      <c r="D58" s="427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84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7"/>
      <c r="G63" s="315" t="s">
        <v>84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84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85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 t="s">
        <v>4</v>
      </c>
      <c r="D64" s="316"/>
      <c r="E64" s="317"/>
      <c r="F64" s="387"/>
      <c r="G64" s="315" t="s">
        <v>85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85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210" t="s">
        <v>274</v>
      </c>
      <c r="B66" s="211" t="n">
        <f aca="false">E19</f>
        <v>26949.996</v>
      </c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210" t="s">
        <v>14</v>
      </c>
      <c r="B67" s="290" t="n">
        <v>37404</v>
      </c>
      <c r="C67" s="316"/>
      <c r="D67" s="316"/>
      <c r="E67" s="317"/>
      <c r="F67" s="387"/>
      <c r="G67" s="315" t="s">
        <v>14</v>
      </c>
      <c r="H67" s="32" t="n">
        <f aca="false">G18</f>
        <v>37404</v>
      </c>
      <c r="I67" s="316"/>
      <c r="J67" s="316"/>
      <c r="K67" s="317"/>
      <c r="L67" s="387"/>
      <c r="M67" s="315" t="s">
        <v>14</v>
      </c>
      <c r="N67" s="32" t="n">
        <f aca="false">G18</f>
        <v>37404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291" t="s">
        <v>275</v>
      </c>
      <c r="B68" s="292" t="n">
        <v>0.07</v>
      </c>
      <c r="C68" s="316"/>
      <c r="D68" s="316"/>
      <c r="E68" s="317"/>
      <c r="F68" s="387"/>
      <c r="G68" s="398" t="s">
        <v>275</v>
      </c>
      <c r="H68" s="399" t="n">
        <v>0.07</v>
      </c>
      <c r="I68" s="316"/>
      <c r="J68" s="316"/>
      <c r="K68" s="317"/>
      <c r="L68" s="387"/>
      <c r="M68" s="398" t="s">
        <v>275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316"/>
      <c r="D69" s="316"/>
      <c r="E69" s="317"/>
      <c r="F69" s="387"/>
      <c r="G69" s="315" t="s">
        <v>276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276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284" t="s">
        <v>90</v>
      </c>
      <c r="B70" s="129" t="n">
        <f aca="false">B66*B69</f>
        <v>2618.28</v>
      </c>
      <c r="C70" s="316" t="n">
        <v>10000</v>
      </c>
      <c r="D70" s="32" t="n">
        <f aca="false">B70-A149</f>
        <v>2618.28</v>
      </c>
      <c r="E70" s="317" t="n">
        <f aca="false">D70/12</f>
        <v>218.19</v>
      </c>
      <c r="F70" s="387"/>
      <c r="G70" s="365" t="s">
        <v>90</v>
      </c>
      <c r="H70" s="65" t="n">
        <f aca="false">H67*H69</f>
        <v>2618.28</v>
      </c>
      <c r="I70" s="316"/>
      <c r="J70" s="32" t="n">
        <f aca="false">H70-G151</f>
        <v>2618.28</v>
      </c>
      <c r="K70" s="317"/>
      <c r="L70" s="387"/>
      <c r="M70" s="365" t="s">
        <v>90</v>
      </c>
      <c r="N70" s="65" t="n">
        <f aca="false">N67*N69</f>
        <v>2618.28</v>
      </c>
      <c r="O70" s="316"/>
      <c r="P70" s="32" t="n">
        <f aca="false">N70-M151</f>
        <v>2618.28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291" t="s">
        <v>91</v>
      </c>
      <c r="B71" s="292" t="n">
        <v>0.01</v>
      </c>
      <c r="C71" s="316"/>
      <c r="D71" s="316"/>
      <c r="E71" s="317"/>
      <c r="F71" s="387"/>
      <c r="G71" s="398" t="s">
        <v>91</v>
      </c>
      <c r="H71" s="399" t="n">
        <v>0.005</v>
      </c>
      <c r="I71" s="316"/>
      <c r="J71" s="316"/>
      <c r="K71" s="317"/>
      <c r="L71" s="387"/>
      <c r="M71" s="398" t="s">
        <v>91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316"/>
      <c r="D72" s="316"/>
      <c r="E72" s="317"/>
      <c r="F72" s="387"/>
      <c r="G72" s="315" t="s">
        <v>92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92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316"/>
      <c r="D73" s="32"/>
      <c r="E73" s="317"/>
      <c r="F73" s="387"/>
      <c r="G73" s="365" t="s">
        <v>93</v>
      </c>
      <c r="H73" s="65" t="n">
        <f aca="false">H67*H72</f>
        <v>187.02</v>
      </c>
      <c r="I73" s="316"/>
      <c r="J73" s="32"/>
      <c r="K73" s="317"/>
      <c r="L73" s="387"/>
      <c r="M73" s="365" t="s">
        <v>93</v>
      </c>
      <c r="N73" s="65" t="n">
        <f aca="false">N67*N72</f>
        <v>187.02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94</v>
      </c>
      <c r="B74" s="399" t="n">
        <v>0.0075</v>
      </c>
      <c r="C74" s="316"/>
      <c r="D74" s="316"/>
      <c r="E74" s="317"/>
      <c r="F74" s="387"/>
      <c r="G74" s="398" t="s">
        <v>94</v>
      </c>
      <c r="H74" s="399" t="n">
        <v>0.0075</v>
      </c>
      <c r="I74" s="316"/>
      <c r="J74" s="316"/>
      <c r="K74" s="317"/>
      <c r="L74" s="387"/>
      <c r="M74" s="398" t="s">
        <v>94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95</v>
      </c>
      <c r="B75" s="401" t="n">
        <v>0.12</v>
      </c>
      <c r="C75" s="316"/>
      <c r="D75" s="316"/>
      <c r="E75" s="317"/>
      <c r="F75" s="387"/>
      <c r="G75" s="400" t="s">
        <v>95</v>
      </c>
      <c r="H75" s="401" t="n">
        <v>0.12</v>
      </c>
      <c r="I75" s="316"/>
      <c r="J75" s="316"/>
      <c r="K75" s="317"/>
      <c r="L75" s="387"/>
      <c r="M75" s="400" t="s">
        <v>95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96</v>
      </c>
      <c r="B76" s="402" t="n">
        <f aca="false">B74*(1+B75)</f>
        <v>0.0084</v>
      </c>
      <c r="C76" s="316"/>
      <c r="D76" s="316"/>
      <c r="E76" s="317"/>
      <c r="F76" s="387"/>
      <c r="G76" s="365" t="s">
        <v>96</v>
      </c>
      <c r="H76" s="402" t="n">
        <f aca="false">H74*(1+H75)</f>
        <v>0.0084</v>
      </c>
      <c r="I76" s="316"/>
      <c r="J76" s="316"/>
      <c r="K76" s="317"/>
      <c r="L76" s="387"/>
      <c r="M76" s="365" t="s">
        <v>96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97</v>
      </c>
      <c r="B77" s="86" t="n">
        <v>200.0</v>
      </c>
      <c r="C77" s="316"/>
      <c r="D77" s="316"/>
      <c r="E77" s="317"/>
      <c r="F77" s="387"/>
      <c r="G77" s="398" t="s">
        <v>97</v>
      </c>
      <c r="H77" s="86" t="n">
        <v>160</v>
      </c>
      <c r="I77" s="316"/>
      <c r="J77" s="316"/>
      <c r="K77" s="317"/>
      <c r="L77" s="387"/>
      <c r="M77" s="398" t="s">
        <v>97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98</v>
      </c>
      <c r="B78" s="77" t="n">
        <v>5.0</v>
      </c>
      <c r="C78" s="316"/>
      <c r="D78" s="316"/>
      <c r="E78" s="317"/>
      <c r="F78" s="387"/>
      <c r="G78" s="400" t="s">
        <v>98</v>
      </c>
      <c r="H78" s="77" t="n">
        <v>4.5</v>
      </c>
      <c r="I78" s="316"/>
      <c r="J78" s="316"/>
      <c r="K78" s="317"/>
      <c r="L78" s="387"/>
      <c r="M78" s="400" t="s">
        <v>98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99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99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99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277</v>
      </c>
      <c r="B80" s="86" t="n">
        <v>165.0</v>
      </c>
      <c r="C80" s="316"/>
      <c r="D80" s="316"/>
      <c r="E80" s="403" t="n">
        <f aca="false">E79+D82</f>
        <v>838.75</v>
      </c>
      <c r="F80" s="387"/>
      <c r="G80" s="398" t="s">
        <v>277</v>
      </c>
      <c r="H80" s="86" t="n">
        <v>150</v>
      </c>
      <c r="I80" s="316"/>
      <c r="J80" s="316"/>
      <c r="K80" s="317"/>
      <c r="L80" s="387"/>
      <c r="M80" s="404" t="s">
        <v>277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278</v>
      </c>
      <c r="B81" s="77" t="n">
        <v>0.0</v>
      </c>
      <c r="C81" s="316"/>
      <c r="D81" s="316"/>
      <c r="E81" s="317" t="n">
        <f aca="false">E80/12</f>
        <v>69.8958333333333</v>
      </c>
      <c r="F81" s="387"/>
      <c r="G81" s="400" t="s">
        <v>278</v>
      </c>
      <c r="H81" s="77" t="n">
        <f aca="false">IF(G18&gt;40000, 325, 0)</f>
        <v>0</v>
      </c>
      <c r="I81" s="316"/>
      <c r="J81" s="316"/>
      <c r="K81" s="317"/>
      <c r="L81" s="387"/>
      <c r="M81" s="406" t="s">
        <v>278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279</v>
      </c>
      <c r="B82" s="65" t="n">
        <f aca="false">((B80+B81)/12)*(H29+1)</f>
        <v>178.75</v>
      </c>
      <c r="C82" s="316"/>
      <c r="D82" s="32" t="n">
        <f aca="false">IF(A50="YES", 0, B82)</f>
        <v>178.75</v>
      </c>
      <c r="E82" s="317"/>
      <c r="F82" s="387"/>
      <c r="G82" s="365" t="s">
        <v>279</v>
      </c>
      <c r="H82" s="65" t="n">
        <f aca="false">((H80+H81)/12)*(H29-11)</f>
        <v>12.5</v>
      </c>
      <c r="I82" s="316"/>
      <c r="J82" s="32" t="n">
        <f aca="false">IF(A50="YES", 0, H82)</f>
        <v>12.5</v>
      </c>
      <c r="K82" s="317"/>
      <c r="L82" s="387"/>
      <c r="M82" s="408" t="s">
        <v>279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280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280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280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281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281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100</v>
      </c>
      <c r="B85" s="77" t="n">
        <v>200.0</v>
      </c>
      <c r="C85" s="316"/>
      <c r="D85" s="32" t="n">
        <f aca="false">B85</f>
        <v>200</v>
      </c>
      <c r="E85" s="317"/>
      <c r="F85" s="387"/>
      <c r="G85" s="400" t="s">
        <v>100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100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101</v>
      </c>
      <c r="B86" s="87" t="n">
        <v>200.0</v>
      </c>
      <c r="C86" s="316"/>
      <c r="D86" s="32" t="n">
        <f aca="false">B86</f>
        <v>200</v>
      </c>
      <c r="E86" s="317"/>
      <c r="F86" s="387"/>
      <c r="G86" s="410" t="s">
        <v>101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101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102</v>
      </c>
      <c r="B87" s="412" t="n">
        <f aca="false">SUM(D70:D86)</f>
        <v>4123.69666666667</v>
      </c>
      <c r="C87" s="316"/>
      <c r="D87" s="316"/>
      <c r="E87" s="317"/>
      <c r="F87" s="387"/>
      <c r="G87" s="411" t="s">
        <v>102</v>
      </c>
      <c r="H87" s="412" t="n">
        <f aca="false">SUM(J70:J86)</f>
        <v>5744.78</v>
      </c>
      <c r="I87" s="316"/>
      <c r="J87" s="316"/>
      <c r="K87" s="317"/>
      <c r="L87" s="387"/>
      <c r="M87" s="411" t="s">
        <v>102</v>
      </c>
      <c r="N87" s="412" t="n">
        <f aca="false">SUM(P70:P86)</f>
        <v>5732.28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103</v>
      </c>
      <c r="B88" s="33" t="n">
        <f aca="false">B87/H29</f>
        <v>343.641388888889</v>
      </c>
      <c r="C88" s="316"/>
      <c r="D88" s="316"/>
      <c r="E88" s="317"/>
      <c r="F88" s="387"/>
      <c r="G88" s="315" t="s">
        <v>103</v>
      </c>
      <c r="H88" s="33" t="n">
        <f aca="false">H87/H29</f>
        <v>478.731666666667</v>
      </c>
      <c r="I88" s="316"/>
      <c r="J88" s="316"/>
      <c r="K88" s="317"/>
      <c r="L88" s="387"/>
      <c r="M88" s="315" t="s">
        <v>103</v>
      </c>
      <c r="N88" s="33" t="n">
        <f aca="false">N87/H29</f>
        <v>477.69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104</v>
      </c>
      <c r="B89" s="59" t="n">
        <f aca="false">H50</f>
        <v>211.6945</v>
      </c>
      <c r="C89" s="316"/>
      <c r="D89" s="316"/>
      <c r="E89" s="317"/>
      <c r="F89" s="387"/>
      <c r="G89" s="413" t="s">
        <v>104</v>
      </c>
      <c r="H89" s="59" t="n">
        <f aca="false">H46</f>
        <v>0</v>
      </c>
      <c r="I89" s="316"/>
      <c r="J89" s="316"/>
      <c r="K89" s="317"/>
      <c r="L89" s="387"/>
      <c r="M89" s="413" t="s">
        <v>104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114</v>
      </c>
      <c r="B91" s="27" t="n">
        <f aca="false">((B89*H29)+B87)</f>
        <v>6664.03066666667</v>
      </c>
      <c r="C91" s="316"/>
      <c r="D91" s="316"/>
      <c r="E91" s="317"/>
      <c r="F91" s="387"/>
      <c r="G91" s="395" t="s">
        <v>114</v>
      </c>
      <c r="H91" s="27" t="n">
        <f aca="false">((H89*H29)+H87)*1.2</f>
        <v>6893.736</v>
      </c>
      <c r="I91" s="316"/>
      <c r="J91" s="316"/>
      <c r="K91" s="317"/>
      <c r="L91" s="387"/>
      <c r="M91" s="395" t="s">
        <v>114</v>
      </c>
      <c r="N91" s="27" t="n">
        <f aca="false">((N89*H29)+N87)</f>
        <v>5732.28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115</v>
      </c>
      <c r="B92" s="33" t="n">
        <f aca="false">(((B89*H29)+B87)/(1-B76))*B76</f>
        <v>56.452054860831</v>
      </c>
      <c r="C92" s="316"/>
      <c r="D92" s="316"/>
      <c r="E92" s="414"/>
      <c r="F92" s="387"/>
      <c r="G92" s="315" t="s">
        <v>115</v>
      </c>
      <c r="H92" s="33" t="n">
        <f aca="false">(((H89*H29)+H87)/(1-H76))*H76</f>
        <v>48.6649374747882</v>
      </c>
      <c r="I92" s="316"/>
      <c r="J92" s="316"/>
      <c r="K92" s="317"/>
      <c r="L92" s="387"/>
      <c r="M92" s="315" t="s">
        <v>115</v>
      </c>
      <c r="N92" s="33" t="n">
        <f aca="false">(N91/(1-N76))*N76</f>
        <v>48.5590480032271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116</v>
      </c>
      <c r="B93" s="65" t="n">
        <f aca="false">IF(B116="YES",((B91+B92)-E120),(B91+B92))</f>
        <v>6720.4827215275</v>
      </c>
      <c r="C93" s="316"/>
      <c r="D93" s="316"/>
      <c r="E93" s="317"/>
      <c r="F93" s="387"/>
      <c r="G93" s="365" t="s">
        <v>116</v>
      </c>
      <c r="H93" s="65" t="n">
        <f aca="false">IF(H116="YES",((H91+H92)-K120),(H91+H92))</f>
        <v>8942.40093747479</v>
      </c>
      <c r="I93" s="316"/>
      <c r="J93" s="316"/>
      <c r="K93" s="317"/>
      <c r="L93" s="387"/>
      <c r="M93" s="365" t="s">
        <v>116</v>
      </c>
      <c r="N93" s="65" t="n">
        <f aca="false">IF(N116="YES",((N91+N92)-K120),(N91+N92))</f>
        <v>7780.83904800323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117</v>
      </c>
      <c r="B95" s="412" t="n">
        <f aca="false">IF(B105=Z104,(((H41*A32)+(H41*A32)*(B111/100))/(B64)),(((H41*A32)+(H41*A32)*(B111/100))/(B63+B64)))</f>
        <v>60</v>
      </c>
      <c r="C95" s="316"/>
      <c r="D95" s="316"/>
      <c r="E95" s="317"/>
      <c r="F95" s="387"/>
      <c r="G95" s="411" t="s">
        <v>117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117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118</v>
      </c>
      <c r="B96" s="416" t="n">
        <f aca="false">IF(B105=Z104, (B93-D111)/(B64), B93/(B63+B64))</f>
        <v>560.040226793958</v>
      </c>
      <c r="C96" s="316" t="s">
        <v>4</v>
      </c>
      <c r="D96" s="316"/>
      <c r="E96" s="317"/>
      <c r="F96" s="387"/>
      <c r="G96" s="415" t="s">
        <v>118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118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119</v>
      </c>
      <c r="B97" s="418" t="n">
        <f aca="false">IF(A111="YES", B96+B95, B96)</f>
        <v>560.040226793958</v>
      </c>
      <c r="C97" s="316"/>
      <c r="D97" s="419"/>
      <c r="E97" s="317"/>
      <c r="F97" s="387"/>
      <c r="G97" s="417" t="s">
        <v>119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119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387"/>
      <c r="G100" s="209" t="s">
        <v>282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387"/>
      <c r="G102" s="213" t="s">
        <v>124</v>
      </c>
      <c r="H102" s="213"/>
      <c r="I102" s="213"/>
      <c r="J102" s="213"/>
      <c r="K102" s="213"/>
      <c r="L102" s="387"/>
      <c r="M102" s="213" t="s">
        <v>124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128</v>
      </c>
    </row>
    <row r="104" customFormat="false" ht="18.75" hidden="false" customHeight="true" outlineLevel="0" collapsed="false">
      <c r="A104" s="315" t="s">
        <v>125</v>
      </c>
      <c r="B104" s="316" t="s">
        <v>23</v>
      </c>
      <c r="C104" s="316"/>
      <c r="D104" s="316" t="s">
        <v>283</v>
      </c>
      <c r="E104" s="317"/>
      <c r="F104" s="387"/>
      <c r="G104" s="315" t="s">
        <v>125</v>
      </c>
      <c r="H104" s="316" t="s">
        <v>23</v>
      </c>
      <c r="I104" s="316"/>
      <c r="J104" s="316" t="s">
        <v>283</v>
      </c>
      <c r="K104" s="317"/>
      <c r="L104" s="387"/>
      <c r="M104" s="315" t="s">
        <v>125</v>
      </c>
      <c r="N104" s="316" t="s">
        <v>23</v>
      </c>
      <c r="O104" s="316"/>
      <c r="P104" s="316" t="s">
        <v>283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261</v>
      </c>
    </row>
    <row r="105" customFormat="false" ht="18.75" hidden="false" customHeight="true" outlineLevel="0" collapsed="false">
      <c r="A105" s="373"/>
      <c r="B105" s="311" t="s">
        <v>128</v>
      </c>
      <c r="C105" s="311"/>
      <c r="D105" s="420" t="n">
        <v>1000.0</v>
      </c>
      <c r="E105" s="420"/>
      <c r="F105" s="387"/>
      <c r="G105" s="373" t="s">
        <v>284</v>
      </c>
      <c r="H105" s="311" t="s">
        <v>266</v>
      </c>
      <c r="I105" s="311"/>
      <c r="J105" s="420" t="n">
        <v>5000</v>
      </c>
      <c r="K105" s="420"/>
      <c r="L105" s="387"/>
      <c r="M105" s="373" t="s">
        <v>284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262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263</v>
      </c>
    </row>
    <row r="107" customFormat="false" ht="18.75" hidden="false" customHeight="true" outlineLevel="0" collapsed="false">
      <c r="A107" s="315" t="s">
        <v>286</v>
      </c>
      <c r="B107" s="316" t="s">
        <v>287</v>
      </c>
      <c r="C107" s="316"/>
      <c r="D107" s="316" t="s">
        <v>288</v>
      </c>
      <c r="E107" s="317"/>
      <c r="F107" s="387"/>
      <c r="G107" s="315" t="s">
        <v>286</v>
      </c>
      <c r="H107" s="316" t="s">
        <v>287</v>
      </c>
      <c r="I107" s="316"/>
      <c r="J107" s="316" t="s">
        <v>288</v>
      </c>
      <c r="K107" s="317"/>
      <c r="L107" s="387"/>
      <c r="M107" s="315" t="s">
        <v>286</v>
      </c>
      <c r="N107" s="316" t="s">
        <v>287</v>
      </c>
      <c r="O107" s="316"/>
      <c r="P107" s="316" t="s">
        <v>288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400.0</v>
      </c>
      <c r="C108" s="103"/>
      <c r="D108" s="103" t="n">
        <v>200.0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126</v>
      </c>
      <c r="B110" s="387" t="s">
        <v>129</v>
      </c>
      <c r="C110" s="316"/>
      <c r="D110" s="316" t="s">
        <v>140</v>
      </c>
      <c r="E110" s="317"/>
      <c r="F110" s="387"/>
      <c r="G110" s="373" t="s">
        <v>126</v>
      </c>
      <c r="H110" s="387" t="s">
        <v>129</v>
      </c>
      <c r="I110" s="316"/>
      <c r="J110" s="316" t="s">
        <v>140</v>
      </c>
      <c r="K110" s="317"/>
      <c r="L110" s="387"/>
      <c r="M110" s="373" t="s">
        <v>126</v>
      </c>
      <c r="N110" s="387" t="s">
        <v>129</v>
      </c>
      <c r="O110" s="316"/>
      <c r="P110" s="316" t="s">
        <v>140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390</v>
      </c>
      <c r="B111" s="311" t="n">
        <v>20.0</v>
      </c>
      <c r="C111" s="311"/>
      <c r="D111" s="103" t="n">
        <v>200.0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387"/>
      <c r="G114" s="213" t="s">
        <v>290</v>
      </c>
      <c r="H114" s="213"/>
      <c r="I114" s="213"/>
      <c r="J114" s="213"/>
      <c r="K114" s="213"/>
      <c r="L114" s="387"/>
      <c r="M114" s="213" t="s">
        <v>290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291</v>
      </c>
      <c r="B116" s="388" t="s">
        <v>390</v>
      </c>
      <c r="C116" s="316"/>
      <c r="D116" s="316"/>
      <c r="E116" s="317"/>
      <c r="F116" s="387"/>
      <c r="G116" s="315" t="s">
        <v>291</v>
      </c>
      <c r="H116" s="388" t="s">
        <v>18</v>
      </c>
      <c r="I116" s="316"/>
      <c r="J116" s="316"/>
      <c r="K116" s="317"/>
      <c r="L116" s="387"/>
      <c r="M116" s="315" t="s">
        <v>291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174</v>
      </c>
      <c r="B118" s="316"/>
      <c r="C118" s="316"/>
      <c r="D118" s="312" t="n">
        <v>0.0</v>
      </c>
      <c r="E118" s="103" t="n">
        <v>6000.0</v>
      </c>
      <c r="F118" s="387"/>
      <c r="G118" s="315" t="s">
        <v>174</v>
      </c>
      <c r="H118" s="316"/>
      <c r="I118" s="316"/>
      <c r="J118" s="312" t="n">
        <v>10000</v>
      </c>
      <c r="K118" s="103" t="n">
        <v>5000</v>
      </c>
      <c r="L118" s="387"/>
      <c r="M118" s="315" t="s">
        <v>174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175</v>
      </c>
      <c r="B119" s="316"/>
      <c r="C119" s="316"/>
      <c r="D119" s="39" t="n">
        <f aca="false">E119</f>
        <v>2000</v>
      </c>
      <c r="E119" s="103" t="n">
        <v>2000.0</v>
      </c>
      <c r="F119" s="387"/>
      <c r="G119" s="315" t="s">
        <v>175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175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176</v>
      </c>
      <c r="B120" s="316"/>
      <c r="C120" s="316"/>
      <c r="D120" s="39" t="n">
        <f aca="false">D118-D119</f>
        <v>-2000</v>
      </c>
      <c r="E120" s="164" t="n">
        <f aca="false">E118-E119</f>
        <v>4000</v>
      </c>
      <c r="F120" s="387"/>
      <c r="G120" s="315" t="s">
        <v>176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176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177</v>
      </c>
      <c r="B121" s="316"/>
      <c r="C121" s="316"/>
      <c r="D121" s="39" t="n">
        <f aca="false">D120-E120</f>
        <v>-6000</v>
      </c>
      <c r="E121" s="317"/>
      <c r="F121" s="387"/>
      <c r="G121" s="315" t="s">
        <v>177</v>
      </c>
      <c r="H121" s="316"/>
      <c r="I121" s="316"/>
      <c r="J121" s="39" t="n">
        <f aca="false">J120-K120</f>
        <v>5000</v>
      </c>
      <c r="K121" s="317"/>
      <c r="L121" s="387"/>
      <c r="M121" s="315" t="s">
        <v>177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136</v>
      </c>
      <c r="B123" s="396"/>
      <c r="C123" s="396"/>
      <c r="D123" s="396"/>
      <c r="E123" s="27" t="n">
        <f aca="false">D105</f>
        <v>1000</v>
      </c>
      <c r="F123" s="387"/>
      <c r="G123" s="395" t="s">
        <v>136</v>
      </c>
      <c r="H123" s="396"/>
      <c r="I123" s="396"/>
      <c r="J123" s="396"/>
      <c r="K123" s="27" t="n">
        <f aca="false">J105</f>
        <v>5000</v>
      </c>
      <c r="L123" s="387"/>
      <c r="M123" s="395" t="s">
        <v>136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199.99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292</v>
      </c>
      <c r="B125" s="366"/>
      <c r="C125" s="366"/>
      <c r="D125" s="366"/>
      <c r="E125" s="65" t="n">
        <f aca="false">((E124*1.2)+E123)-E120</f>
        <v>-2760.012</v>
      </c>
      <c r="F125" s="387"/>
      <c r="G125" s="421" t="s">
        <v>292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292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387"/>
      <c r="G128" s="213" t="s">
        <v>293</v>
      </c>
      <c r="H128" s="213"/>
      <c r="I128" s="213"/>
      <c r="J128" s="213"/>
      <c r="K128" s="213"/>
      <c r="L128" s="387"/>
      <c r="M128" s="213" t="s">
        <v>293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125</v>
      </c>
      <c r="B130" s="319" t="n">
        <v>0.0</v>
      </c>
      <c r="C130" s="320"/>
      <c r="D130" s="319" t="s">
        <v>83</v>
      </c>
      <c r="E130" s="321"/>
      <c r="F130" s="387"/>
      <c r="G130" s="315" t="s">
        <v>181</v>
      </c>
      <c r="H130" s="169" t="n">
        <v>0</v>
      </c>
      <c r="I130" s="169"/>
      <c r="J130" s="316"/>
      <c r="K130" s="317"/>
      <c r="L130" s="387"/>
      <c r="M130" s="315" t="s">
        <v>181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82</v>
      </c>
      <c r="H132" s="316" t="s">
        <v>83</v>
      </c>
      <c r="I132" s="316"/>
      <c r="J132" s="316" t="s">
        <v>85</v>
      </c>
      <c r="K132" s="317"/>
      <c r="L132" s="387"/>
      <c r="M132" s="315" t="s">
        <v>82</v>
      </c>
      <c r="N132" s="316" t="s">
        <v>83</v>
      </c>
      <c r="O132" s="316"/>
      <c r="P132" s="316" t="s">
        <v>85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11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11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560.040226793958</v>
      </c>
      <c r="B134" s="320" t="n">
        <f aca="false">IF(A111="YES", B95, 0)</f>
        <v>0</v>
      </c>
      <c r="C134" s="325"/>
      <c r="D134" s="320" t="n">
        <f aca="false">B97</f>
        <v>560.040226793958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296</v>
      </c>
      <c r="H135" s="423" t="s">
        <v>297</v>
      </c>
      <c r="I135" s="423"/>
      <c r="J135" s="423" t="s">
        <v>298</v>
      </c>
      <c r="K135" s="317"/>
      <c r="L135" s="387"/>
      <c r="M135" s="422" t="s">
        <v>342</v>
      </c>
      <c r="N135" s="423" t="s">
        <v>250</v>
      </c>
      <c r="O135" s="423"/>
      <c r="P135" s="423" t="s">
        <v>119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560.040226793958</v>
      </c>
      <c r="C137" s="316"/>
      <c r="D137" s="38" t="n">
        <f aca="false">IF(A111="YES", B95*B63, 0)</f>
        <v>0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301</v>
      </c>
      <c r="H138" s="316" t="s">
        <v>302</v>
      </c>
      <c r="I138" s="316"/>
      <c r="J138" s="316" t="s">
        <v>303</v>
      </c>
      <c r="K138" s="317"/>
      <c r="L138" s="387"/>
      <c r="M138" s="315" t="s">
        <v>343</v>
      </c>
      <c r="N138" s="316" t="s">
        <v>239</v>
      </c>
      <c r="O138" s="316"/>
      <c r="P138" s="316" t="s">
        <v>243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560.040226793958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306</v>
      </c>
      <c r="H141" s="316" t="s">
        <v>307</v>
      </c>
      <c r="I141" s="316"/>
      <c r="J141" s="316" t="s">
        <v>308</v>
      </c>
      <c r="K141" s="317"/>
      <c r="L141" s="387"/>
      <c r="M141" s="315" t="s">
        <v>252</v>
      </c>
      <c r="N141" s="316" t="s">
        <v>253</v>
      </c>
      <c r="O141" s="316"/>
      <c r="P141" s="316" t="s">
        <v>257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387"/>
      <c r="G142" s="107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1"/>
      <c r="L142" s="387"/>
      <c r="M142" s="107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560.040226793958</v>
      </c>
      <c r="B143" s="38" t="n">
        <f aca="false">IF(A111="YES", B95, 0)</f>
        <v>0</v>
      </c>
      <c r="C143" s="316"/>
      <c r="D143" s="38" t="n">
        <f aca="false">B97</f>
        <v>560.040226793958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309</v>
      </c>
      <c r="H144" s="316" t="s">
        <v>310</v>
      </c>
      <c r="I144" s="316"/>
      <c r="J144" s="316" t="s">
        <v>311</v>
      </c>
      <c r="K144" s="317"/>
      <c r="L144" s="387"/>
      <c r="M144" s="315" t="s">
        <v>139</v>
      </c>
      <c r="N144" s="316" t="s">
        <v>310</v>
      </c>
      <c r="O144" s="316"/>
      <c r="P144" s="316" t="s">
        <v>311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387"/>
      <c r="G145" s="107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313</v>
      </c>
      <c r="H147" s="316" t="s">
        <v>314</v>
      </c>
      <c r="I147" s="316"/>
      <c r="J147" s="316" t="s">
        <v>315</v>
      </c>
      <c r="K147" s="317"/>
      <c r="L147" s="387"/>
      <c r="M147" s="315" t="s">
        <v>313</v>
      </c>
      <c r="N147" s="316" t="s">
        <v>314</v>
      </c>
      <c r="O147" s="316"/>
      <c r="P147" s="316" t="s">
        <v>315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317</v>
      </c>
      <c r="H150" s="316" t="s">
        <v>318</v>
      </c>
      <c r="I150" s="316"/>
      <c r="J150" s="316"/>
      <c r="K150" s="317"/>
      <c r="L150" s="387"/>
      <c r="M150" s="315" t="s">
        <v>317</v>
      </c>
      <c r="N150" s="316" t="s">
        <v>318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374.04</v>
      </c>
      <c r="B154" s="99" t="n">
        <f aca="false">B108</f>
        <v>400</v>
      </c>
      <c r="C154" s="38"/>
      <c r="D154" s="38" t="n">
        <f aca="false">IF(A111="YES", (A44/100*B111)*B131, 0)*0.1</f>
        <v>0</v>
      </c>
      <c r="E154" s="101"/>
      <c r="F154" s="387"/>
      <c r="G154" s="347" t="s">
        <v>323</v>
      </c>
      <c r="H154" s="316"/>
      <c r="I154" s="316"/>
      <c r="J154" s="348"/>
      <c r="K154" s="349"/>
      <c r="L154" s="387"/>
      <c r="M154" s="424" t="n">
        <f aca="false">H40</f>
        <v>4491.666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7"/>
      <c r="G156" s="246" t="s">
        <v>82</v>
      </c>
      <c r="H156" s="247" t="s">
        <v>83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874.03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323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82</v>
      </c>
      <c r="N159" s="247" t="s">
        <v>83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560.040226793958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426" t="n">
        <f aca="false">ISNUMBER(B183)</f>
        <v>1</v>
      </c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560.040226793958</v>
      </c>
      <c r="B177" s="354" t="n">
        <f aca="false">IF(A111="YES", B95, 0)</f>
        <v>0</v>
      </c>
      <c r="C177" s="357"/>
      <c r="D177" s="354" t="n">
        <f aca="false">B91</f>
        <v>6664.03066666667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560.040226793958</v>
      </c>
      <c r="C180" s="352"/>
      <c r="D180" s="99" t="n">
        <f aca="false">IF(A111="YES", B95*B63, 0)</f>
        <v>0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560.040226793958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560.040226793958</v>
      </c>
      <c r="B186" s="99" t="n">
        <f aca="false">IF(A111="YES", B95, 0)</f>
        <v>0</v>
      </c>
      <c r="C186" s="352"/>
      <c r="D186" s="99" t="n">
        <f aca="false">B97</f>
        <v>560.040226793958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(A44/100*B111)*B131, 0)*0.1</f>
        <v>0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874.03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D70</f>
        <v>2618.28</v>
      </c>
      <c r="E209" s="321"/>
      <c r="F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339.99</v>
      </c>
      <c r="E211" s="321"/>
      <c r="F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215</v>
      </c>
      <c r="B213" s="320" t="n">
        <f aca="false">E223</f>
        <v>2584.23</v>
      </c>
      <c r="C213" s="324"/>
      <c r="D213" s="320"/>
      <c r="E213" s="321"/>
      <c r="F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212</v>
      </c>
      <c r="B217" s="100" t="n">
        <f aca="false">D70</f>
        <v>2618.28</v>
      </c>
      <c r="C217" s="374" t="s">
        <v>218</v>
      </c>
      <c r="D217" s="316"/>
      <c r="E217" s="375" t="n">
        <f aca="false">B72</f>
        <v>0.01</v>
      </c>
      <c r="F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2584.23</v>
      </c>
      <c r="F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56.452054860831</v>
      </c>
      <c r="F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107"/>
      <c r="B244" s="38"/>
      <c r="C244" s="38"/>
      <c r="D244" s="38"/>
      <c r="E244" s="101"/>
      <c r="F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107"/>
      <c r="B247" s="38"/>
      <c r="C247" s="316"/>
      <c r="D247" s="316"/>
      <c r="E247" s="317"/>
      <c r="F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3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390</v>
      </c>
      <c r="C38" s="219"/>
      <c r="D38" s="100" t="s">
        <v>393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387</v>
      </c>
      <c r="B41" s="237" t="str">
        <f aca="false">IF(B38="YES", D38+A41, D38)</f>
        <v>500</v>
      </c>
      <c r="C41" s="237"/>
      <c r="D41" s="100" t="s">
        <v>395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396</v>
      </c>
      <c r="B44" s="100" t="s">
        <v>397</v>
      </c>
      <c r="C44" s="100"/>
      <c r="D44" s="100" t="s">
        <v>387</v>
      </c>
      <c r="E44" s="100"/>
      <c r="F44" s="63"/>
      <c r="G44" s="63" t="s">
        <v>255</v>
      </c>
      <c r="H44" s="234" t="str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399</v>
      </c>
      <c r="C47" s="428"/>
      <c r="D47" s="100" t="s">
        <v>399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337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26949.996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1886.49972</v>
      </c>
      <c r="C70" s="211" t="n">
        <v>10000</v>
      </c>
      <c r="D70" s="290" t="n">
        <f aca="false">B70-A149</f>
        <v>1886.49972</v>
      </c>
      <c r="E70" s="212" t="n">
        <f aca="false">D70/12</f>
        <v>157.20831</v>
      </c>
      <c r="F70" s="63"/>
      <c r="G70" s="284" t="s">
        <v>90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90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211"/>
      <c r="D73" s="290"/>
      <c r="E73" s="212"/>
      <c r="F73" s="63"/>
      <c r="G73" s="284" t="s">
        <v>93</v>
      </c>
      <c r="H73" s="129" t="n">
        <f aca="false">H67*H72</f>
        <v>187.02</v>
      </c>
      <c r="I73" s="211"/>
      <c r="J73" s="290"/>
      <c r="K73" s="212"/>
      <c r="L73" s="63"/>
      <c r="M73" s="284" t="s">
        <v>93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200.0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5.0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277</v>
      </c>
      <c r="B80" s="431" t="n">
        <v>0.0</v>
      </c>
      <c r="C80" s="211"/>
      <c r="D80" s="211"/>
      <c r="E80" s="429" t="n">
        <f aca="false">E79+D82</f>
        <v>660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278</v>
      </c>
      <c r="B81" s="433" t="n">
        <v>0.0</v>
      </c>
      <c r="C81" s="211"/>
      <c r="D81" s="211"/>
      <c r="E81" s="212" t="n">
        <f aca="false">E80/12</f>
        <v>55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200.0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200.0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3213.16638666667</v>
      </c>
      <c r="C87" s="211"/>
      <c r="D87" s="211"/>
      <c r="E87" s="212"/>
      <c r="F87" s="63"/>
      <c r="G87" s="302" t="s">
        <v>102</v>
      </c>
      <c r="H87" s="303" t="n">
        <f aca="false">SUM(J70:J86)</f>
        <v>5744.78</v>
      </c>
      <c r="I87" s="211"/>
      <c r="J87" s="211"/>
      <c r="K87" s="212"/>
      <c r="L87" s="63"/>
      <c r="M87" s="302" t="s">
        <v>102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267.763865555556</v>
      </c>
      <c r="C88" s="211"/>
      <c r="D88" s="211"/>
      <c r="E88" s="212"/>
      <c r="F88" s="63"/>
      <c r="G88" s="210" t="s">
        <v>103</v>
      </c>
      <c r="H88" s="299" t="n">
        <f aca="false">H87/H29</f>
        <v>478.731666666667</v>
      </c>
      <c r="I88" s="211"/>
      <c r="J88" s="211"/>
      <c r="K88" s="212"/>
      <c r="L88" s="63"/>
      <c r="M88" s="210" t="s">
        <v>103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9225.16638666667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114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78.1478394997983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115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9303.31422616647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775.276185513872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775.276185513872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348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1000.0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200.0</v>
      </c>
      <c r="C108" s="103"/>
      <c r="D108" s="103" t="n">
        <v>200.0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390</v>
      </c>
      <c r="B111" s="313" t="n">
        <v>0.0</v>
      </c>
      <c r="C111" s="313"/>
      <c r="D111" s="103" t="n">
        <v>200.0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390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0.0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775.276185513872</v>
      </c>
      <c r="B134" s="320" t="n">
        <f aca="false">IF(A111="YES", B95, 0)</f>
        <v>0</v>
      </c>
      <c r="C134" s="325"/>
      <c r="D134" s="320" t="n">
        <f aca="false">B97</f>
        <v>775.276185513872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6977.48566962485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6977.48566962485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775.276185513872</v>
      </c>
      <c r="B143" s="38" t="n">
        <f aca="false">IF(A111="YES", B95, 0)</f>
        <v>0</v>
      </c>
      <c r="C143" s="316"/>
      <c r="D143" s="38" t="n">
        <f aca="false">B97</f>
        <v>775.276185513872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1375.838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1335.84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99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874.03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775.276185513872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775.276185513872</v>
      </c>
      <c r="B177" s="354" t="n">
        <f aca="false">IF(A111="YES", B95, 0)</f>
        <v>0</v>
      </c>
      <c r="C177" s="357"/>
      <c r="D177" s="354" t="n">
        <f aca="false">B91</f>
        <v>9225.16638666667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6977.48566962485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6977.48566962485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775.276185513872</v>
      </c>
      <c r="B186" s="99" t="n">
        <f aca="false">IF(A111="YES", B95, 0)</f>
        <v>0</v>
      </c>
      <c r="C186" s="352"/>
      <c r="D186" s="99" t="n">
        <f aca="false">B97</f>
        <v>775.276185513872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874.03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1886.49972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1852.44972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1886.49972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1852.44972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78.1478394997983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241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386</v>
      </c>
      <c r="C38" s="219"/>
      <c r="D38" s="100" t="s">
        <v>393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389</v>
      </c>
      <c r="B41" s="237" t="n">
        <f aca="false">IF(B38="YES", D38+A41, D38)</f>
        <v>550</v>
      </c>
      <c r="C41" s="237"/>
      <c r="D41" s="100" t="s">
        <v>395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396</v>
      </c>
      <c r="B44" s="100" t="s">
        <v>397</v>
      </c>
      <c r="C44" s="100"/>
      <c r="D44" s="100" t="s">
        <v>399</v>
      </c>
      <c r="E44" s="100"/>
      <c r="F44" s="63"/>
      <c r="G44" s="63" t="s">
        <v>255</v>
      </c>
      <c r="H44" s="234" t="str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399</v>
      </c>
      <c r="C47" s="428"/>
      <c r="D47" s="100" t="s">
        <v>399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26949.996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1886.49972</v>
      </c>
      <c r="C70" s="211" t="n">
        <v>10000.0</v>
      </c>
      <c r="D70" s="290" t="n">
        <f aca="false">B70-A149</f>
        <v>1886.49972</v>
      </c>
      <c r="E70" s="212" t="n">
        <f aca="false">D70/12</f>
        <v>157.20831</v>
      </c>
      <c r="F70" s="63"/>
      <c r="G70" s="284" t="s">
        <v>90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90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211"/>
      <c r="D73" s="290"/>
      <c r="E73" s="212"/>
      <c r="F73" s="63"/>
      <c r="G73" s="284" t="s">
        <v>93</v>
      </c>
      <c r="H73" s="129" t="n">
        <f aca="false">H67*H72</f>
        <v>187.02</v>
      </c>
      <c r="I73" s="211"/>
      <c r="J73" s="290"/>
      <c r="K73" s="212"/>
      <c r="L73" s="63"/>
      <c r="M73" s="284" t="s">
        <v>93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200.0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5.0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165.0</v>
      </c>
      <c r="C80" s="211"/>
      <c r="D80" s="211"/>
      <c r="E80" s="429" t="n">
        <f aca="false">E79+D82</f>
        <v>838.75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0.0</v>
      </c>
      <c r="C81" s="211"/>
      <c r="D81" s="211"/>
      <c r="E81" s="212" t="n">
        <f aca="false">E80/12</f>
        <v>69.8958333333333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178.75</v>
      </c>
      <c r="C82" s="211"/>
      <c r="D82" s="290" t="n">
        <f aca="false">IF(A50="YES", 0, B82)</f>
        <v>178.75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200.0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200.0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3391.91638666667</v>
      </c>
      <c r="C87" s="211"/>
      <c r="D87" s="211"/>
      <c r="E87" s="212"/>
      <c r="F87" s="63"/>
      <c r="G87" s="302" t="s">
        <v>102</v>
      </c>
      <c r="H87" s="303" t="n">
        <f aca="false">SUM(J70:J86)</f>
        <v>5744.78</v>
      </c>
      <c r="I87" s="211"/>
      <c r="J87" s="211"/>
      <c r="K87" s="212"/>
      <c r="L87" s="63"/>
      <c r="M87" s="302" t="s">
        <v>102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282.659698888889</v>
      </c>
      <c r="C88" s="211"/>
      <c r="D88" s="211"/>
      <c r="E88" s="212"/>
      <c r="F88" s="63"/>
      <c r="G88" s="210" t="s">
        <v>103</v>
      </c>
      <c r="H88" s="299" t="n">
        <f aca="false">H87/H29</f>
        <v>478.731666666667</v>
      </c>
      <c r="I88" s="211"/>
      <c r="J88" s="211"/>
      <c r="K88" s="212"/>
      <c r="L88" s="63"/>
      <c r="M88" s="210" t="s">
        <v>103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((B89*H29)+B87)*1.2</f>
        <v>11284.699664</v>
      </c>
      <c r="C91" s="211"/>
      <c r="D91" s="211"/>
      <c r="E91" s="212"/>
      <c r="F91" s="63"/>
      <c r="G91" s="287" t="s">
        <v>114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114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79.6620589431223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115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11364.3617229431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IF(B105=Z104,(((H44*B35)+(H44*B35)*(B111/100))/(B64)),(((H44*B35)+(H44*B35)*(B111/100))/(B63+B64)))*1.2</f>
        <v>78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947.030143578594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1025.03014357859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1000.0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239.99</v>
      </c>
      <c r="B108" s="103" t="n">
        <v>400.0</v>
      </c>
      <c r="C108" s="103"/>
      <c r="D108" s="103" t="n">
        <v>200.0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386</v>
      </c>
      <c r="B111" s="311" t="n">
        <v>30.0</v>
      </c>
      <c r="C111" s="311"/>
      <c r="D111" s="103" t="n">
        <v>200.0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390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0.0</v>
      </c>
      <c r="E118" s="103" t="n">
        <v>6000.0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2000.0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0.0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947.030143578594</v>
      </c>
      <c r="B134" s="320" t="n">
        <f aca="false">IF(A111="YES", B95, 0)</f>
        <v>78</v>
      </c>
      <c r="C134" s="325"/>
      <c r="D134" s="320" t="n">
        <f aca="false">B97</f>
        <v>1025.03014357859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947.030143578594</v>
      </c>
      <c r="C137" s="316"/>
      <c r="D137" s="38" t="n">
        <f aca="false">IF(A111="YES", B95*B63, 0)</f>
        <v>78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1025.03014357859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947.030143578594</v>
      </c>
      <c r="B143" s="38" t="n">
        <f aca="false">IF(A111="YES", B95, 0)</f>
        <v>78</v>
      </c>
      <c r="C143" s="316"/>
      <c r="D143" s="38" t="n">
        <f aca="false">B97</f>
        <v>1025.03014357859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1387.838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1347.84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892.031666666667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1025.03014357859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947.030143578594</v>
      </c>
      <c r="B177" s="354" t="n">
        <f aca="false">IF(A111="YES", B95, 0)</f>
        <v>78</v>
      </c>
      <c r="C177" s="357"/>
      <c r="D177" s="354" t="n">
        <f aca="false">B97</f>
        <v>1025.03014357859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947.030143578594</v>
      </c>
      <c r="C180" s="352"/>
      <c r="D180" s="99" t="n">
        <f aca="false">IF(A111="YES", B95*B63, 0)</f>
        <v>78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1025.03014357859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947.030143578594</v>
      </c>
      <c r="B186" s="99" t="n">
        <f aca="false">IF(A111="YES", B95, 0)</f>
        <v>78</v>
      </c>
      <c r="C186" s="352"/>
      <c r="D186" s="99" t="n">
        <f aca="false">B97</f>
        <v>1025.03014357859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(A41/100*B111)*B131, 0)*0.1</f>
        <v>18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892.031666666667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1886.49972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519.991666666667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2032.45138666667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1886.49972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2032.45138666667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180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79.6620589431223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5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241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386</v>
      </c>
      <c r="C38" s="219"/>
      <c r="D38" s="100" t="s">
        <v>393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389</v>
      </c>
      <c r="B41" s="237" t="n">
        <f aca="false">IF(B38="YES", D38+A41, D38)</f>
        <v>550</v>
      </c>
      <c r="C41" s="237"/>
      <c r="D41" s="100" t="s">
        <v>395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396</v>
      </c>
      <c r="B44" s="100" t="s">
        <v>397</v>
      </c>
      <c r="C44" s="100"/>
      <c r="D44" s="100" t="s">
        <v>399</v>
      </c>
      <c r="E44" s="100"/>
      <c r="F44" s="63"/>
      <c r="G44" s="63" t="s">
        <v>255</v>
      </c>
      <c r="H44" s="234" t="str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399</v>
      </c>
      <c r="C47" s="428"/>
      <c r="D47" s="100" t="s">
        <v>399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26949.996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1886.49972</v>
      </c>
      <c r="C70" s="211" t="n">
        <v>10000.0</v>
      </c>
      <c r="D70" s="290" t="n">
        <f aca="false">B70-A149</f>
        <v>1886.49972</v>
      </c>
      <c r="E70" s="212" t="n">
        <f aca="false">D70/12</f>
        <v>157.20831</v>
      </c>
      <c r="F70" s="63"/>
      <c r="G70" s="284" t="s">
        <v>90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90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211"/>
      <c r="D73" s="290"/>
      <c r="E73" s="212"/>
      <c r="F73" s="63"/>
      <c r="G73" s="284" t="s">
        <v>93</v>
      </c>
      <c r="H73" s="129" t="n">
        <f aca="false">H67*H72</f>
        <v>187.02</v>
      </c>
      <c r="I73" s="211"/>
      <c r="J73" s="290"/>
      <c r="K73" s="212"/>
      <c r="L73" s="63"/>
      <c r="M73" s="284" t="s">
        <v>93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200.0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5.0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165.0</v>
      </c>
      <c r="C80" s="211"/>
      <c r="D80" s="211"/>
      <c r="E80" s="429" t="n">
        <f aca="false">E79+D82</f>
        <v>838.75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0.0</v>
      </c>
      <c r="C81" s="211"/>
      <c r="D81" s="211"/>
      <c r="E81" s="212" t="n">
        <f aca="false">E80/12</f>
        <v>69.8958333333333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178.75</v>
      </c>
      <c r="C82" s="211"/>
      <c r="D82" s="290" t="n">
        <f aca="false">IF(A50="YES", 0, B82)</f>
        <v>178.75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200.0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200.0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3391.91638666667</v>
      </c>
      <c r="C87" s="211"/>
      <c r="D87" s="211"/>
      <c r="E87" s="212"/>
      <c r="F87" s="63"/>
      <c r="G87" s="302" t="s">
        <v>102</v>
      </c>
      <c r="H87" s="303" t="n">
        <f aca="false">SUM(J70:J86)</f>
        <v>5744.78</v>
      </c>
      <c r="I87" s="211"/>
      <c r="J87" s="211"/>
      <c r="K87" s="212"/>
      <c r="L87" s="63"/>
      <c r="M87" s="302" t="s">
        <v>102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282.659698888889</v>
      </c>
      <c r="C88" s="211"/>
      <c r="D88" s="211"/>
      <c r="E88" s="212"/>
      <c r="F88" s="63"/>
      <c r="G88" s="210" t="s">
        <v>103</v>
      </c>
      <c r="H88" s="299" t="n">
        <f aca="false">H87/H29</f>
        <v>478.731666666667</v>
      </c>
      <c r="I88" s="211"/>
      <c r="J88" s="211"/>
      <c r="K88" s="212"/>
      <c r="L88" s="63"/>
      <c r="M88" s="210" t="s">
        <v>103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9403.91638666667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114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79.6620589431223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115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9483.57844560979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60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790.298203800816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790.298203800816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1000.0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400.0</v>
      </c>
      <c r="C108" s="103"/>
      <c r="D108" s="103" t="n">
        <v>200.0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390</v>
      </c>
      <c r="B111" s="311" t="n">
        <v>20.0</v>
      </c>
      <c r="C111" s="311"/>
      <c r="D111" s="103" t="n">
        <v>200.0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390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0.0</v>
      </c>
      <c r="E118" s="103" t="n">
        <v>6000.0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2000.0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0.0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790.298203800816</v>
      </c>
      <c r="B134" s="320" t="n">
        <f aca="false">IF(A111="YES", B95, 0)</f>
        <v>0</v>
      </c>
      <c r="C134" s="325"/>
      <c r="D134" s="320" t="n">
        <f aca="false">B97</f>
        <v>790.298203800816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790.298203800816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790.298203800816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790.298203800816</v>
      </c>
      <c r="B143" s="38" t="n">
        <f aca="false">IF(A111="YES", B95, 0)</f>
        <v>0</v>
      </c>
      <c r="C143" s="316"/>
      <c r="D143" s="38" t="n">
        <f aca="false">B97</f>
        <v>790.298203800816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1387.838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1347.84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874.03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790.298203800816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790.298203800816</v>
      </c>
      <c r="B177" s="354" t="n">
        <f aca="false">IF(A111="YES", B95, 0)</f>
        <v>0</v>
      </c>
      <c r="C177" s="357"/>
      <c r="D177" s="354" t="n">
        <f aca="false">B91</f>
        <v>9403.91638666667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790.298203800816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790.298203800816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790.298203800816</v>
      </c>
      <c r="B186" s="99" t="n">
        <f aca="false">IF(A111="YES", B95, 0)</f>
        <v>0</v>
      </c>
      <c r="C186" s="352"/>
      <c r="D186" s="99" t="n">
        <f aca="false">B97</f>
        <v>790.298203800816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B154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874.03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1886.49972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1852.44972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1886.49972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1852.44972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79.6620589431223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0.00</v>
      </c>
      <c r="E32" s="222"/>
      <c r="F32" s="63"/>
      <c r="G32" s="223" t="s">
        <v>241</v>
      </c>
      <c r="H32" s="221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386</v>
      </c>
      <c r="C38" s="219"/>
      <c r="D38" s="100" t="s">
        <v>393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403</v>
      </c>
      <c r="B41" s="237" t="n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396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str">
        <f aca="false">H32</f>
        <v>0.00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26949.996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1886.49972</v>
      </c>
      <c r="C70" s="211" t="n">
        <v>10000</v>
      </c>
      <c r="D70" s="290" t="n">
        <f aca="false">B70-A149</f>
        <v>1886.49972</v>
      </c>
      <c r="E70" s="212" t="n">
        <f aca="false">D70/12</f>
        <v>157.20831</v>
      </c>
      <c r="F70" s="63"/>
      <c r="G70" s="284" t="s">
        <v>90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90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211"/>
      <c r="D73" s="290"/>
      <c r="E73" s="212"/>
      <c r="F73" s="63"/>
      <c r="G73" s="284" t="s">
        <v>93</v>
      </c>
      <c r="H73" s="129" t="n">
        <f aca="false">H67*H72</f>
        <v>187.02</v>
      </c>
      <c r="I73" s="211"/>
      <c r="J73" s="290"/>
      <c r="K73" s="212"/>
      <c r="L73" s="63"/>
      <c r="M73" s="284" t="s">
        <v>93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200.0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5.0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277</v>
      </c>
      <c r="B80" s="431" t="n">
        <v>0.0</v>
      </c>
      <c r="C80" s="211"/>
      <c r="D80" s="211"/>
      <c r="E80" s="429" t="n">
        <f aca="false">E79+D82</f>
        <v>660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278</v>
      </c>
      <c r="B81" s="433" t="n">
        <v>0.0</v>
      </c>
      <c r="C81" s="211"/>
      <c r="D81" s="211"/>
      <c r="E81" s="212" t="n">
        <f aca="false">E80/12</f>
        <v>55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0</v>
      </c>
      <c r="C83" s="211"/>
      <c r="D83" s="290" t="n">
        <f aca="false">B83</f>
        <v>0</v>
      </c>
      <c r="E83" s="212" t="n">
        <f aca="false">D83/12</f>
        <v>0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0</v>
      </c>
      <c r="C84" s="211"/>
      <c r="D84" s="290" t="n">
        <f aca="false">B84</f>
        <v>0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200.0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200.0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2546.49972</v>
      </c>
      <c r="C87" s="211"/>
      <c r="D87" s="211"/>
      <c r="E87" s="212"/>
      <c r="F87" s="63"/>
      <c r="G87" s="302" t="s">
        <v>102</v>
      </c>
      <c r="H87" s="303" t="n">
        <f aca="false">SUM(J70:J86)</f>
        <v>5744.78</v>
      </c>
      <c r="I87" s="211"/>
      <c r="J87" s="211"/>
      <c r="K87" s="212"/>
      <c r="L87" s="63"/>
      <c r="M87" s="302" t="s">
        <v>102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212.20831</v>
      </c>
      <c r="C88" s="211"/>
      <c r="D88" s="211"/>
      <c r="E88" s="212"/>
      <c r="F88" s="63"/>
      <c r="G88" s="210" t="s">
        <v>103</v>
      </c>
      <c r="H88" s="299" t="n">
        <f aca="false">H87/H29</f>
        <v>478.731666666667</v>
      </c>
      <c r="I88" s="211"/>
      <c r="J88" s="211"/>
      <c r="K88" s="212"/>
      <c r="L88" s="63"/>
      <c r="M88" s="210" t="s">
        <v>103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8558.49972</v>
      </c>
      <c r="C91" s="211"/>
      <c r="D91" s="211"/>
      <c r="E91" s="212"/>
      <c r="F91" s="63"/>
      <c r="G91" s="287" t="s">
        <v>114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114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72.5004010165389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115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8631.00012101654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719.250010084712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719.250010084712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340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1000.0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200.0</v>
      </c>
      <c r="C108" s="103"/>
      <c r="D108" s="103" t="n">
        <v>200.0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390</v>
      </c>
      <c r="B111" s="311" t="n">
        <v>20.0</v>
      </c>
      <c r="C111" s="311"/>
      <c r="D111" s="103" t="n">
        <v>200.0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390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0.0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719.250010084712</v>
      </c>
      <c r="B134" s="320" t="n">
        <f aca="false">IF(A111="YES", B95, 0)</f>
        <v>0</v>
      </c>
      <c r="C134" s="325"/>
      <c r="D134" s="320" t="n">
        <f aca="false">B97</f>
        <v>719.250010084712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719.250010084712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719.250010084712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719.250010084712</v>
      </c>
      <c r="B143" s="38" t="n">
        <f aca="false">IF(A111="YES", B95, 0)</f>
        <v>0</v>
      </c>
      <c r="C143" s="316"/>
      <c r="D143" s="38" t="n">
        <f aca="false">B97</f>
        <v>719.250010084712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1375.838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1335.84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474.03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719.250010084712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719.250010084712</v>
      </c>
      <c r="B177" s="354" t="n">
        <f aca="false">IF(A111="YES", B95, 0)</f>
        <v>0</v>
      </c>
      <c r="C177" s="357"/>
      <c r="D177" s="354" t="n">
        <f aca="false">B91</f>
        <v>8558.49972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719.250010084712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719.250010084712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719.250010084712</v>
      </c>
      <c r="B186" s="99" t="n">
        <f aca="false">IF(A111="YES", B95, 0)</f>
        <v>0</v>
      </c>
      <c r="C186" s="352"/>
      <c r="D186" s="99" t="n">
        <f aca="false">B97</f>
        <v>719.250010084712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474.03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1886.49972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99.99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1612.44972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1886.49972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0</v>
      </c>
      <c r="C223" s="335" t="s">
        <v>215</v>
      </c>
      <c r="D223" s="316"/>
      <c r="E223" s="33" t="n">
        <f aca="false">(B217-B211+D211)</f>
        <v>1612.44972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72.5004010165389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0.00</v>
      </c>
      <c r="E32" s="222"/>
      <c r="F32" s="63"/>
      <c r="G32" s="223" t="s">
        <v>241</v>
      </c>
      <c r="H32" s="221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390</v>
      </c>
      <c r="C38" s="219"/>
      <c r="D38" s="100" t="s">
        <v>393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0.0</v>
      </c>
      <c r="B41" s="237" t="n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396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str">
        <f aca="false">H32</f>
        <v>0.00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26949.996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1886.49972</v>
      </c>
      <c r="C70" s="211" t="n">
        <v>10000.0</v>
      </c>
      <c r="D70" s="290" t="n">
        <f aca="false">B70-A149</f>
        <v>1886.49972</v>
      </c>
      <c r="E70" s="212" t="n">
        <f aca="false">D70/12</f>
        <v>157.20831</v>
      </c>
      <c r="F70" s="63"/>
      <c r="G70" s="284" t="s">
        <v>90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90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211"/>
      <c r="D73" s="290"/>
      <c r="E73" s="212"/>
      <c r="F73" s="63"/>
      <c r="G73" s="284" t="s">
        <v>93</v>
      </c>
      <c r="H73" s="129" t="n">
        <f aca="false">H67*H72</f>
        <v>187.02</v>
      </c>
      <c r="I73" s="211"/>
      <c r="J73" s="290"/>
      <c r="K73" s="212"/>
      <c r="L73" s="63"/>
      <c r="M73" s="284" t="s">
        <v>93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200.0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5.0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165.0</v>
      </c>
      <c r="C80" s="211"/>
      <c r="D80" s="211"/>
      <c r="E80" s="429" t="n">
        <f aca="false">E79+D82</f>
        <v>838.75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0.0</v>
      </c>
      <c r="C81" s="211"/>
      <c r="D81" s="211"/>
      <c r="E81" s="212" t="n">
        <f aca="false">E80/12</f>
        <v>69.8958333333333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178.75</v>
      </c>
      <c r="C82" s="211"/>
      <c r="D82" s="290" t="n">
        <f aca="false">IF(A50="YES", 0, B82)</f>
        <v>178.75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200.0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200.0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3391.91638666667</v>
      </c>
      <c r="C87" s="211"/>
      <c r="D87" s="211"/>
      <c r="E87" s="212"/>
      <c r="F87" s="63"/>
      <c r="G87" s="302" t="s">
        <v>102</v>
      </c>
      <c r="H87" s="303" t="n">
        <f aca="false">SUM(J70:J86)</f>
        <v>5744.78</v>
      </c>
      <c r="I87" s="211"/>
      <c r="J87" s="211"/>
      <c r="K87" s="212"/>
      <c r="L87" s="63"/>
      <c r="M87" s="302" t="s">
        <v>102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282.659698888889</v>
      </c>
      <c r="C88" s="211"/>
      <c r="D88" s="211"/>
      <c r="E88" s="212"/>
      <c r="F88" s="63"/>
      <c r="G88" s="210" t="s">
        <v>103</v>
      </c>
      <c r="H88" s="299" t="n">
        <f aca="false">H87/H29</f>
        <v>478.731666666667</v>
      </c>
      <c r="I88" s="211"/>
      <c r="J88" s="211"/>
      <c r="K88" s="212"/>
      <c r="L88" s="63"/>
      <c r="M88" s="210" t="s">
        <v>103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((B89*H29)+B87)*1.2</f>
        <v>11284.699664</v>
      </c>
      <c r="C91" s="211"/>
      <c r="D91" s="211"/>
      <c r="E91" s="212"/>
      <c r="F91" s="63"/>
      <c r="G91" s="287" t="s">
        <v>114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114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79.6620589431223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115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11364.3617229431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IF(B105=Z104,(((H44*B35)+(H44*B35)*(B111/100))/(B64)),(((H44*B35)+(H44*B35)*(B111/100))/(B63+B64)))*1.2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947.030143578594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947.030143578594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1000.0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239.99</v>
      </c>
      <c r="B108" s="103" t="n">
        <v>0.0</v>
      </c>
      <c r="C108" s="103"/>
      <c r="D108" s="103" t="n">
        <v>0.0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390</v>
      </c>
      <c r="B111" s="311" t="n">
        <v>0.0</v>
      </c>
      <c r="C111" s="311"/>
      <c r="D111" s="103" t="n">
        <v>200.0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390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0.0</v>
      </c>
      <c r="E118" s="103" t="n">
        <v>6000.0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2000.0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0.0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947.030143578594</v>
      </c>
      <c r="B134" s="320" t="n">
        <f aca="false">IF(A111="YES", B95, 0)</f>
        <v>0</v>
      </c>
      <c r="C134" s="325"/>
      <c r="D134" s="320" t="n">
        <f aca="false">B97</f>
        <v>947.030143578594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947.030143578594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947.030143578594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947.030143578594</v>
      </c>
      <c r="B143" s="38" t="n">
        <f aca="false">IF(A111="YES", B95, 0)</f>
        <v>0</v>
      </c>
      <c r="C143" s="316"/>
      <c r="D143" s="38" t="n">
        <f aca="false">B97</f>
        <v>947.030143578594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1375.838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1335.84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874.031666666667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947.030143578594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947.030143578594</v>
      </c>
      <c r="B177" s="354" t="n">
        <f aca="false">IF(A111="YES", B95, 0)</f>
        <v>0</v>
      </c>
      <c r="C177" s="357"/>
      <c r="D177" s="354" t="n">
        <f aca="false">B91</f>
        <v>11284.699664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947.030143578594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947.030143578594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947.030143578594</v>
      </c>
      <c r="B186" s="99" t="n">
        <f aca="false">IF(A111="YES", B95, 0)</f>
        <v>0</v>
      </c>
      <c r="C186" s="352"/>
      <c r="D186" s="99" t="n">
        <f aca="false">B97</f>
        <v>947.030143578594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874.031666666667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1886.49972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339.991666666667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1852.45138666667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1886.49972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1852.45138666667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79.6620589431223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73" activeCellId="0" sqref="B7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60000</v>
      </c>
      <c r="C2" s="4" t="s">
        <v>2</v>
      </c>
      <c r="D2" s="5" t="n">
        <f aca="false">C9</f>
        <v>12000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72000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60000.0</v>
      </c>
      <c r="C9" s="14" t="n">
        <f aca="false">B9*0.2</f>
        <v>12000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60000</v>
      </c>
      <c r="C15" s="14" t="n">
        <f aca="false">SUM(C9:C13)</f>
        <v>12000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72000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60000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0.00</v>
      </c>
      <c r="E32" s="222"/>
      <c r="F32" s="63"/>
      <c r="G32" s="223" t="s">
        <v>241</v>
      </c>
      <c r="H32" s="221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386</v>
      </c>
      <c r="C38" s="219"/>
      <c r="D38" s="100" t="s">
        <v>393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403</v>
      </c>
      <c r="B41" s="237" t="n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396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str">
        <f aca="false">H32</f>
        <v>0.00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72000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5040</v>
      </c>
      <c r="C70" s="211" t="n">
        <v>10000.0</v>
      </c>
      <c r="D70" s="290" t="n">
        <f aca="false">B70-A149</f>
        <v>5040</v>
      </c>
      <c r="E70" s="212" t="n">
        <f aca="false">D70/12</f>
        <v>420</v>
      </c>
      <c r="F70" s="63"/>
      <c r="G70" s="284" t="s">
        <v>90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90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211"/>
      <c r="D73" s="290"/>
      <c r="E73" s="212"/>
      <c r="F73" s="63"/>
      <c r="G73" s="284" t="s">
        <v>93</v>
      </c>
      <c r="H73" s="129" t="n">
        <f aca="false">H67*H72</f>
        <v>187.02</v>
      </c>
      <c r="I73" s="211"/>
      <c r="J73" s="290"/>
      <c r="K73" s="212"/>
      <c r="L73" s="63"/>
      <c r="M73" s="284" t="s">
        <v>93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200.0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5.0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165.0</v>
      </c>
      <c r="C80" s="211"/>
      <c r="D80" s="211"/>
      <c r="E80" s="429" t="n">
        <f aca="false">E79+D82</f>
        <v>838.75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0.0</v>
      </c>
      <c r="C81" s="211"/>
      <c r="D81" s="211"/>
      <c r="E81" s="212" t="n">
        <f aca="false">E80/12</f>
        <v>69.8958333333333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178.75</v>
      </c>
      <c r="C82" s="211"/>
      <c r="D82" s="290" t="n">
        <f aca="false">IF(A50="YES", 0, B82)</f>
        <v>178.75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200.0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200.0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6545.41666666667</v>
      </c>
      <c r="C87" s="211"/>
      <c r="D87" s="211"/>
      <c r="E87" s="212"/>
      <c r="F87" s="63"/>
      <c r="G87" s="302" t="s">
        <v>102</v>
      </c>
      <c r="H87" s="303" t="n">
        <f aca="false">SUM(J70:J86)</f>
        <v>5744.78</v>
      </c>
      <c r="I87" s="211"/>
      <c r="J87" s="211"/>
      <c r="K87" s="212"/>
      <c r="L87" s="63"/>
      <c r="M87" s="302" t="s">
        <v>102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545.451388888889</v>
      </c>
      <c r="C88" s="211"/>
      <c r="D88" s="211"/>
      <c r="E88" s="212"/>
      <c r="F88" s="63"/>
      <c r="G88" s="210" t="s">
        <v>103</v>
      </c>
      <c r="H88" s="299" t="n">
        <f aca="false">H87/H29</f>
        <v>478.731666666667</v>
      </c>
      <c r="I88" s="211"/>
      <c r="J88" s="211"/>
      <c r="K88" s="212"/>
      <c r="L88" s="63"/>
      <c r="M88" s="210" t="s">
        <v>103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12557.4166666667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114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106.375857200484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115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12663.7925238672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1055.3160436556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1055.3160436556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1000.0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400.0</v>
      </c>
      <c r="C108" s="103"/>
      <c r="D108" s="103" t="n">
        <v>200.0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390</v>
      </c>
      <c r="B111" s="311" t="n">
        <v>20.0</v>
      </c>
      <c r="C111" s="311"/>
      <c r="D111" s="103" t="n">
        <v>200.0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390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0.0</v>
      </c>
      <c r="E118" s="103" t="n">
        <v>6000.0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2000.0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0.0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1055.3160436556</v>
      </c>
      <c r="B134" s="320" t="n">
        <f aca="false">IF(A111="YES", B95, 0)</f>
        <v>0</v>
      </c>
      <c r="C134" s="325"/>
      <c r="D134" s="320" t="n">
        <f aca="false">B97</f>
        <v>1055.3160436556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1055.3160436556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1055.3160436556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1055.3160436556</v>
      </c>
      <c r="B143" s="38" t="n">
        <f aca="false">IF(A111="YES", B95, 0)</f>
        <v>0</v>
      </c>
      <c r="C143" s="316"/>
      <c r="D143" s="38" t="n">
        <f aca="false">B97</f>
        <v>1055.3160436556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1375.838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1335.84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874.03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1055.3160436556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1055.3160436556</v>
      </c>
      <c r="B177" s="354" t="n">
        <f aca="false">IF(A111="YES", B95, 0)</f>
        <v>0</v>
      </c>
      <c r="C177" s="357"/>
      <c r="D177" s="354" t="n">
        <f aca="false">B91</f>
        <v>12557.4166666667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1055.3160436556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1055.3160436556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1055.3160436556</v>
      </c>
      <c r="B186" s="99" t="n">
        <f aca="false">IF(A111="YES", B95, 0)</f>
        <v>0</v>
      </c>
      <c r="C186" s="352"/>
      <c r="D186" s="99" t="n">
        <f aca="false">B97</f>
        <v>1055.3160436556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874.03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5040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5005.95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5040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5005.95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106.375857200484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80" colorId="64" zoomScale="85" zoomScaleNormal="85" zoomScalePageLayoutView="100" workbookViewId="0">
      <selection pane="topLeft" activeCell="B254" activeCellId="0" sqref="B25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349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390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36.0</v>
      </c>
      <c r="P29" s="208"/>
    </row>
    <row r="30" customFormat="false" ht="17.9" hidden="false" customHeight="false" outlineLevel="0" collapsed="false">
      <c r="A30" s="31" t="s">
        <v>181</v>
      </c>
      <c r="B30" s="100" t="s">
        <v>387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10000.0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17950.0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350</v>
      </c>
      <c r="F32" s="130"/>
      <c r="G32" s="130"/>
      <c r="H32" s="33"/>
      <c r="I32" s="2"/>
      <c r="J32" s="29" t="s">
        <v>36</v>
      </c>
      <c r="K32" s="448" t="n">
        <v>0.0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312.925143136561</v>
      </c>
      <c r="F33" s="228"/>
      <c r="G33" s="228"/>
      <c r="H33" s="47"/>
      <c r="I33" s="2"/>
      <c r="J33" s="34" t="s">
        <v>351</v>
      </c>
      <c r="K33" s="48" t="n">
        <f aca="false">E21</f>
        <v>22458.33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352</v>
      </c>
      <c r="B35" s="130" t="s">
        <v>353</v>
      </c>
      <c r="C35" s="130"/>
      <c r="D35" s="208"/>
      <c r="E35" s="130" t="s">
        <v>354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312.925143136561</v>
      </c>
      <c r="B36" s="228" t="n">
        <f aca="false">IF(B26="YES", K42, "0.00")</f>
        <v>0</v>
      </c>
      <c r="C36" s="228"/>
      <c r="D36" s="228"/>
      <c r="E36" s="228" t="n">
        <f aca="false">K31</f>
        <v>17950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355</v>
      </c>
      <c r="B39" s="130" t="s">
        <v>356</v>
      </c>
      <c r="C39" s="130"/>
      <c r="D39" s="208"/>
      <c r="E39" s="130" t="s">
        <v>357</v>
      </c>
      <c r="F39" s="183"/>
      <c r="G39" s="183"/>
      <c r="H39" s="47"/>
      <c r="J39" s="2" t="s">
        <v>84</v>
      </c>
      <c r="K39" s="2" t="n">
        <f aca="false">K33</f>
        <v>22458.33</v>
      </c>
      <c r="L39" s="2" t="n">
        <f aca="false">(L47*K46)+K44</f>
        <v>38350.3594675147</v>
      </c>
      <c r="N39" s="1" t="n">
        <f aca="false">K39-L39</f>
        <v>-15892.0294675147</v>
      </c>
      <c r="P39" s="208"/>
    </row>
    <row r="40" customFormat="false" ht="17.35" hidden="false" customHeight="false" outlineLevel="0" collapsed="false">
      <c r="A40" s="103" t="n">
        <f aca="false">E36*A45/100</f>
        <v>17950</v>
      </c>
      <c r="B40" s="103" t="n">
        <f aca="false">IF(B26="YES", K42, "0.00")</f>
        <v>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106</v>
      </c>
      <c r="K40" s="2" t="n">
        <f aca="false">(A40)/1.2</f>
        <v>14958.3333333333</v>
      </c>
      <c r="L40" s="2" t="n">
        <f aca="false">K39-L39</f>
        <v>-15892.0294675147</v>
      </c>
      <c r="N40" s="1" t="n">
        <f aca="false">N38-N39</f>
        <v>18803.7094675147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358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359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360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361</v>
      </c>
      <c r="K44" s="2" t="n">
        <f aca="false">(K40/(1+K41)^(K36+1))</f>
        <v>12248.3683775163</v>
      </c>
      <c r="L44" s="2"/>
      <c r="P44" s="208"/>
    </row>
    <row r="45" customFormat="false" ht="17.35" hidden="false" customHeight="false" outlineLevel="0" collapsed="false">
      <c r="A45" s="449" t="n">
        <v>100.0</v>
      </c>
      <c r="B45" s="130"/>
      <c r="C45" s="62" t="n">
        <v>100.0</v>
      </c>
      <c r="D45" s="62"/>
      <c r="E45" s="62"/>
      <c r="F45" s="130"/>
      <c r="G45" s="130"/>
      <c r="H45" s="33"/>
      <c r="J45" s="2" t="s">
        <v>362</v>
      </c>
      <c r="K45" s="2" t="n">
        <f aca="false">(K39-K44)</f>
        <v>10209.9616224837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363</v>
      </c>
      <c r="K46" s="2" t="n">
        <f aca="false">((1-(1/((1+K41)^K36)))/K41)</f>
        <v>32.627488862498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364</v>
      </c>
      <c r="K47" s="2" t="n">
        <f aca="false">K45/K46</f>
        <v>312.925143136561</v>
      </c>
      <c r="L47" s="2" t="n">
        <f aca="false">L49-K42</f>
        <v>800</v>
      </c>
      <c r="M47" s="1" t="n">
        <f aca="false">K47-L47</f>
        <v>-487.074856863439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365</v>
      </c>
      <c r="K48" s="2" t="n">
        <f aca="false">IF(B26="YES", K47+K42, K47)</f>
        <v>312.925143136561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366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312.925143136561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0.0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0.024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7190.41907907213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236.25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2805.375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374.05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312.925143136561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312.925143136561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312.925143136561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312.925143136561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28350</v>
      </c>
      <c r="C81" s="130"/>
      <c r="D81" s="130"/>
      <c r="E81" s="109"/>
      <c r="F81" s="25" t="s">
        <v>105</v>
      </c>
      <c r="G81" s="27" t="n">
        <f aca="false">G158</f>
        <v>28350</v>
      </c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17950</v>
      </c>
      <c r="C82" s="130"/>
      <c r="D82" s="130"/>
      <c r="E82" s="109"/>
      <c r="F82" s="31" t="s">
        <v>106</v>
      </c>
      <c r="G82" s="33" t="n">
        <f aca="false">IF(A111 = "Yes", A40, 0)</f>
        <v>17950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17950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17950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130"/>
      <c r="D85" s="130"/>
      <c r="E85" s="109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12733.4546404595</v>
      </c>
      <c r="C86" s="130"/>
      <c r="D86" s="130"/>
      <c r="E86" s="109"/>
      <c r="F86" s="31" t="s">
        <v>110</v>
      </c>
      <c r="G86" s="33" t="n">
        <f aca="false">(G82/((1+G84)^(G85+1)))</f>
        <v>14777.6564474734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12142.5978649176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12142.5978649176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29.6156943349079</v>
      </c>
      <c r="C87" s="130"/>
      <c r="D87" s="130"/>
      <c r="E87" s="109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15616.5453595405</v>
      </c>
      <c r="C88" s="130"/>
      <c r="D88" s="130"/>
      <c r="E88" s="109"/>
      <c r="F88" s="31" t="s">
        <v>112</v>
      </c>
      <c r="G88" s="33" t="n">
        <f aca="false">G81-G86</f>
        <v>13572.3435525266</v>
      </c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527.306406628238</v>
      </c>
      <c r="C89" s="130"/>
      <c r="D89" s="130"/>
      <c r="E89" s="109"/>
      <c r="F89" s="31" t="s">
        <v>113</v>
      </c>
      <c r="G89" s="33" t="n">
        <f aca="false">(G88/G87)</f>
        <v>426.746610535822</v>
      </c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18455.7242319883</v>
      </c>
      <c r="C90" s="130"/>
      <c r="D90" s="130"/>
      <c r="E90" s="109"/>
      <c r="F90" s="31" t="s">
        <v>114</v>
      </c>
      <c r="G90" s="33" t="n">
        <f aca="false">((G89*(G85))+G77)</f>
        <v>14936.1313687538</v>
      </c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18455.7242319883</v>
      </c>
      <c r="C92" s="130"/>
      <c r="D92" s="130"/>
      <c r="E92" s="109"/>
      <c r="F92" s="56" t="s">
        <v>116</v>
      </c>
      <c r="G92" s="65" t="n">
        <f aca="false">(G90+G91)</f>
        <v>14936.1313687538</v>
      </c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n">
        <f aca="false">IF(B26="YES",((E40/B85)*(1+A108)*1.2*(C45/100)),"0")</f>
        <v>0</v>
      </c>
      <c r="C94" s="130"/>
      <c r="D94" s="130"/>
      <c r="E94" s="109"/>
      <c r="F94" s="88" t="s">
        <v>117</v>
      </c>
      <c r="G94" s="259" t="n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(B92/B85)</f>
        <v>527.306406628238</v>
      </c>
      <c r="C95" s="130"/>
      <c r="D95" s="130"/>
      <c r="E95" s="109"/>
      <c r="F95" s="91" t="s">
        <v>118</v>
      </c>
      <c r="G95" s="92" t="n">
        <f aca="false">G92/(G85)</f>
        <v>426.746610535822</v>
      </c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527.306406628238</v>
      </c>
      <c r="C96" s="130"/>
      <c r="D96" s="130"/>
      <c r="E96" s="109"/>
      <c r="F96" s="93" t="s">
        <v>119</v>
      </c>
      <c r="G96" s="94" t="n">
        <f aca="false">G94+G95</f>
        <v>426.746610535822</v>
      </c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390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0.0</v>
      </c>
      <c r="C108" s="103"/>
      <c r="D108" s="103" t="n">
        <v>0.0</v>
      </c>
      <c r="E108" s="104" t="n">
        <f aca="false">B83</f>
        <v>0.115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200.0</v>
      </c>
      <c r="C111" s="103"/>
      <c r="D111" s="103"/>
      <c r="E111" s="103" t="n">
        <v>200.0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400</v>
      </c>
      <c r="B114" s="103" t="s">
        <v>400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22458.33</v>
      </c>
      <c r="C121" s="117" t="n">
        <v>24375.0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26949.996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26949.996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26949.996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22458.33</v>
      </c>
      <c r="C125" s="129" t="n">
        <f aca="false">C121-C124</f>
        <v>24375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22458.33</v>
      </c>
      <c r="H135" s="150" t="n">
        <f aca="false">C125+E125+G125+H128</f>
        <v>24375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4491.666</v>
      </c>
      <c r="H137" s="33" t="n">
        <f aca="false">(H135+H136)*20%</f>
        <v>4875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26949.996</v>
      </c>
      <c r="H141" s="154" t="n">
        <f aca="false">(H135+H136+H139+H140+H137)-H138</f>
        <v>29250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26949.996</v>
      </c>
      <c r="H147" s="161" t="n">
        <f aca="false">H141-((H144*1.2)+(H145*1.2)+(H146*1.2)+(H142*1.2))</f>
        <v>29250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1916.67</v>
      </c>
      <c r="I148" s="1" t="n">
        <f aca="false">(H148-G81)/1.2</f>
        <v>-22027.775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0.0</v>
      </c>
      <c r="F152" s="103"/>
      <c r="G152" s="103" t="n">
        <v>1000.0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500.0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400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28350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367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527.306406628238</v>
      </c>
      <c r="B167" s="174" t="n">
        <f aca="false">B94</f>
        <v>0</v>
      </c>
      <c r="C167" s="171"/>
      <c r="D167" s="171"/>
      <c r="E167" s="174" t="n">
        <f aca="false">B96</f>
        <v>527.306406628238</v>
      </c>
      <c r="F167" s="23"/>
      <c r="G167" s="23" t="n">
        <f aca="false">ROUND(G95, 2)</f>
        <v>426.75</v>
      </c>
      <c r="H167" s="33"/>
      <c r="J167" s="173" t="e">
        <f aca="false">K95</f>
        <v>#VALUE!</v>
      </c>
      <c r="K167" s="174" t="n">
        <f aca="false">K94</f>
        <v>0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0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225" t="n">
        <f aca="false">K30</f>
        <v>10000</v>
      </c>
      <c r="C170" s="178"/>
      <c r="D170" s="23"/>
      <c r="E170" s="179" t="n">
        <f aca="false">IF(A111="YES", A40, 0)</f>
        <v>17950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17950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17950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17950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24375</v>
      </c>
      <c r="B173" s="99" t="n">
        <f aca="false">H137</f>
        <v>4875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29250</v>
      </c>
      <c r="B176" s="99" t="n">
        <f aca="false">B111</f>
        <v>200</v>
      </c>
      <c r="C176" s="99"/>
      <c r="D176" s="23"/>
      <c r="E176" s="99" t="n">
        <f aca="false">E111</f>
        <v>200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400</v>
      </c>
      <c r="B179" s="99" t="n">
        <f aca="false">G154</f>
        <v>500</v>
      </c>
      <c r="C179" s="99"/>
      <c r="D179" s="23"/>
      <c r="E179" s="99" t="n">
        <f aca="false">A176-A179-B179</f>
        <v>28350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8055.72423198832</v>
      </c>
      <c r="B182" s="99" t="str">
        <f aca="false">B114</f>
        <v>239.99</v>
      </c>
      <c r="C182" s="99"/>
      <c r="D182" s="23"/>
      <c r="E182" s="99" t="n">
        <f aca="false">E179+A182+B182+A185</f>
        <v>36655.7142319883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639.99</v>
      </c>
      <c r="C185" s="99"/>
      <c r="D185" s="23"/>
      <c r="E185" s="99" t="n">
        <f aca="false">IF(A40=0,(E167),(E170+A185))</f>
        <v>17960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17970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17960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17960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7.481</v>
      </c>
      <c r="B188" s="99" t="n">
        <f aca="false">(G158*B67)/1.2</f>
        <v>236.25</v>
      </c>
      <c r="C188" s="130"/>
      <c r="D188" s="130"/>
      <c r="E188" s="99" t="n">
        <f aca="false">(E40*A108)*0.1*(C45/100)</f>
        <v>0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336.241666666667</v>
      </c>
      <c r="C191" s="130"/>
      <c r="D191" s="130"/>
      <c r="E191" s="99" t="n">
        <f aca="false">H148</f>
        <v>1916.67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527.306406628238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368</v>
      </c>
      <c r="B200" s="130" t="s">
        <v>369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4536.25</v>
      </c>
      <c r="B201" s="183" t="n">
        <f aca="false">E179+A201+B182+A185</f>
        <v>33136.24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527.306406628238</v>
      </c>
      <c r="B212" s="174" t="n">
        <f aca="false">B167</f>
        <v>0</v>
      </c>
      <c r="C212" s="171"/>
      <c r="D212" s="171"/>
      <c r="E212" s="174" t="n">
        <f aca="false">E167</f>
        <v>527.306406628238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24375</v>
      </c>
      <c r="B215" s="99" t="n">
        <f aca="false">B173</f>
        <v>4875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29250</v>
      </c>
      <c r="B218" s="99" t="n">
        <f aca="false">B176</f>
        <v>200</v>
      </c>
      <c r="C218" s="99"/>
      <c r="D218" s="109"/>
      <c r="E218" s="99" t="n">
        <f aca="false">E176</f>
        <v>200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400</v>
      </c>
      <c r="B221" s="99" t="n">
        <f aca="false">B179</f>
        <v>500</v>
      </c>
      <c r="C221" s="99"/>
      <c r="D221" s="109"/>
      <c r="E221" s="99" t="n">
        <f aca="false">E179</f>
        <v>28350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8055.72423198832</v>
      </c>
      <c r="B224" s="99" t="str">
        <f aca="false">B182</f>
        <v>239.99</v>
      </c>
      <c r="C224" s="99"/>
      <c r="D224" s="109"/>
      <c r="E224" s="99" t="n">
        <f aca="false">E182</f>
        <v>36655.7142319883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639.99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527.306406628238</v>
      </c>
      <c r="B230" s="99" t="n">
        <f aca="false">B167</f>
        <v>0</v>
      </c>
      <c r="C230" s="183"/>
      <c r="D230" s="183"/>
      <c r="E230" s="99" t="n">
        <f aca="false">E167</f>
        <v>527.306406628238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17950</v>
      </c>
      <c r="B233" s="99" t="n">
        <f aca="false">E185</f>
        <v>17960</v>
      </c>
      <c r="C233" s="130"/>
      <c r="D233" s="130"/>
      <c r="E233" s="99" t="n">
        <f aca="false">J18*0.000006*100*1.2</f>
        <v>26.9316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0)*100*1.2</f>
        <v>8.9772</v>
      </c>
      <c r="B236" s="99" t="n">
        <f aca="false">E233+A236</f>
        <v>35.9088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1916.67</v>
      </c>
      <c r="B240" s="99" t="n">
        <f aca="false">B68</f>
        <v>236.25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2252.91166666666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453" t="n">
        <f aca="false">(E182-B182)-(B201-B182-A185)</f>
        <v>3529.47423198832</v>
      </c>
      <c r="C254" s="194"/>
      <c r="D254" s="195" t="s">
        <v>213</v>
      </c>
      <c r="E254" s="195"/>
      <c r="F254" s="196" t="n">
        <f aca="false">F261+F267+F269+B270+B271</f>
        <v>283.5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3345.96589865499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B254</f>
        <v>3529.47423198832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0.01</v>
      </c>
      <c r="C261" s="32"/>
      <c r="D261" s="163" t="s">
        <v>218</v>
      </c>
      <c r="E261" s="163"/>
      <c r="F261" s="148" t="n">
        <f aca="false">B68*1.2</f>
        <v>283.5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0.3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3345.96589865499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62" colorId="64" zoomScale="85" zoomScaleNormal="85" zoomScalePageLayoutView="100" workbookViewId="0">
      <selection pane="topLeft" activeCell="E183" activeCellId="0" sqref="E183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349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390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36.0</v>
      </c>
      <c r="P29" s="208"/>
    </row>
    <row r="30" customFormat="false" ht="17.9" hidden="false" customHeight="false" outlineLevel="0" collapsed="false">
      <c r="A30" s="31" t="s">
        <v>181</v>
      </c>
      <c r="B30" s="100" t="s">
        <v>387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10000.0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17950.0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350</v>
      </c>
      <c r="F32" s="130"/>
      <c r="G32" s="130"/>
      <c r="H32" s="33"/>
      <c r="I32" s="2"/>
      <c r="J32" s="29" t="s">
        <v>36</v>
      </c>
      <c r="K32" s="448" t="n">
        <v>0.0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300.052130927544</v>
      </c>
      <c r="F33" s="228"/>
      <c r="G33" s="228"/>
      <c r="H33" s="47"/>
      <c r="I33" s="2"/>
      <c r="J33" s="34" t="s">
        <v>351</v>
      </c>
      <c r="K33" s="48" t="n">
        <f aca="false">E21</f>
        <v>22458.33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352</v>
      </c>
      <c r="B35" s="130" t="s">
        <v>353</v>
      </c>
      <c r="C35" s="130"/>
      <c r="D35" s="208"/>
      <c r="E35" s="130" t="s">
        <v>354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270.052130927544</v>
      </c>
      <c r="B36" s="228" t="n">
        <f aca="false">IF(B26="YES", K42, "0.00")</f>
        <v>30</v>
      </c>
      <c r="C36" s="228"/>
      <c r="D36" s="228"/>
      <c r="E36" s="228" t="n">
        <f aca="false">K31</f>
        <v>20000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355</v>
      </c>
      <c r="B39" s="130" t="s">
        <v>356</v>
      </c>
      <c r="C39" s="130"/>
      <c r="D39" s="208"/>
      <c r="E39" s="130" t="s">
        <v>357</v>
      </c>
      <c r="F39" s="183"/>
      <c r="G39" s="183"/>
      <c r="H39" s="47"/>
      <c r="J39" s="2" t="s">
        <v>84</v>
      </c>
      <c r="K39" s="2" t="n">
        <f aca="false">K33</f>
        <v>22458.33</v>
      </c>
      <c r="L39" s="2" t="n">
        <f aca="false">(L47*K46)+K44</f>
        <v>38770.3735299912</v>
      </c>
      <c r="N39" s="1" t="n">
        <f aca="false">K39-L39</f>
        <v>-16312.0435299912</v>
      </c>
      <c r="P39" s="208"/>
    </row>
    <row r="40" customFormat="false" ht="17.35" hidden="false" customHeight="false" outlineLevel="0" collapsed="false">
      <c r="A40" s="103" t="n">
        <f aca="false">E36*A45/100</f>
        <v>17950.0</v>
      </c>
      <c r="B40" s="103" t="n">
        <f aca="false">IF(B26="YES", K42, "0.00")</f>
        <v>30</v>
      </c>
      <c r="C40" s="103"/>
      <c r="D40" s="103"/>
      <c r="E40" s="179" t="n">
        <f aca="false">K32</f>
        <v>2160</v>
      </c>
      <c r="F40" s="183"/>
      <c r="G40" s="183"/>
      <c r="H40" s="47"/>
      <c r="J40" s="2" t="s">
        <v>106</v>
      </c>
      <c r="K40" s="2" t="n">
        <f aca="false">(A40)/1.2</f>
        <v>16666.6666666667</v>
      </c>
      <c r="L40" s="2" t="n">
        <f aca="false">K39-L39</f>
        <v>-16312.0435299912</v>
      </c>
      <c r="N40" s="1" t="n">
        <f aca="false">N38-N39</f>
        <v>19223.7235299912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358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359</v>
      </c>
      <c r="K42" s="2" t="n">
        <f aca="false">(K32/K36)*C45/100</f>
        <v>30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360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361</v>
      </c>
      <c r="K44" s="2" t="n">
        <f aca="false">(K40/(1+K41)^(K36+1))</f>
        <v>13647.2071058677</v>
      </c>
      <c r="L44" s="2"/>
      <c r="P44" s="208"/>
    </row>
    <row r="45" customFormat="false" ht="17.35" hidden="false" customHeight="false" outlineLevel="0" collapsed="false">
      <c r="A45" s="449" t="n">
        <v>100.0</v>
      </c>
      <c r="B45" s="130"/>
      <c r="C45" s="62" t="n">
        <v>100.0</v>
      </c>
      <c r="D45" s="62"/>
      <c r="E45" s="62"/>
      <c r="F45" s="130"/>
      <c r="G45" s="130"/>
      <c r="H45" s="33"/>
      <c r="J45" s="2" t="s">
        <v>362</v>
      </c>
      <c r="K45" s="2" t="n">
        <f aca="false">(K39-K44)</f>
        <v>8811.1228941323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363</v>
      </c>
      <c r="K46" s="2" t="n">
        <f aca="false">((1-(1/((1+K41)^K36)))/K41)</f>
        <v>32.627488862498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364</v>
      </c>
      <c r="K47" s="2" t="n">
        <f aca="false">K45/K46</f>
        <v>270.052130927544</v>
      </c>
      <c r="L47" s="2" t="n">
        <f aca="false">L49-K42</f>
        <v>770</v>
      </c>
      <c r="M47" s="1" t="n">
        <f aca="false">K47-L47</f>
        <v>-499.947869072456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365</v>
      </c>
      <c r="K48" s="2" t="n">
        <f aca="false">IF(B26="YES", K47+K42, K47)</f>
        <v>300.052130927544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366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300.052130927544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0.0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0.024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3288.10423421165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222.916666666667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2805.375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374.05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270.052130927544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270.052130927544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300.052130927544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300.052130927544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26750</v>
      </c>
      <c r="C81" s="130"/>
      <c r="D81" s="130"/>
      <c r="E81" s="109"/>
      <c r="F81" s="25" t="s">
        <v>105</v>
      </c>
      <c r="G81" s="27" t="n">
        <f aca="false">G158</f>
        <v>26750</v>
      </c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20000</v>
      </c>
      <c r="C82" s="130"/>
      <c r="D82" s="130"/>
      <c r="E82" s="109"/>
      <c r="F82" s="31" t="s">
        <v>106</v>
      </c>
      <c r="G82" s="33" t="n">
        <f aca="false">IF(A111 = "Yes", A40, 0)</f>
        <v>20000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20000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20000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0.089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0.00741666666666667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130"/>
      <c r="D85" s="130"/>
      <c r="E85" s="109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15328.5565510641</v>
      </c>
      <c r="C86" s="130"/>
      <c r="D86" s="130"/>
      <c r="E86" s="109"/>
      <c r="F86" s="31" t="s">
        <v>110</v>
      </c>
      <c r="G86" s="33" t="n">
        <f aca="false">(G82/((1+G84)^(G85+1)))</f>
        <v>16465.3553732294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13529.3569525544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13529.3569525544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30.7264493562845</v>
      </c>
      <c r="C87" s="130"/>
      <c r="D87" s="130"/>
      <c r="E87" s="109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11421.4434489359</v>
      </c>
      <c r="C88" s="130"/>
      <c r="D88" s="130"/>
      <c r="E88" s="109"/>
      <c r="F88" s="31" t="s">
        <v>112</v>
      </c>
      <c r="G88" s="33" t="n">
        <f aca="false">G81-G86</f>
        <v>10284.6446267706</v>
      </c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371.713741360092</v>
      </c>
      <c r="C89" s="130"/>
      <c r="D89" s="130"/>
      <c r="E89" s="109"/>
      <c r="F89" s="31" t="s">
        <v>113</v>
      </c>
      <c r="G89" s="33" t="n">
        <f aca="false">(G88/G87)</f>
        <v>323.373573477129</v>
      </c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13009.9809476032</v>
      </c>
      <c r="C90" s="130"/>
      <c r="D90" s="130"/>
      <c r="E90" s="109"/>
      <c r="F90" s="31" t="s">
        <v>114</v>
      </c>
      <c r="G90" s="33" t="n">
        <f aca="false">((G89*(G85))+G77)</f>
        <v>11318.0750716995</v>
      </c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13009.9809476032</v>
      </c>
      <c r="C92" s="130"/>
      <c r="D92" s="130"/>
      <c r="E92" s="109"/>
      <c r="F92" s="56" t="s">
        <v>116</v>
      </c>
      <c r="G92" s="65" t="n">
        <f aca="false">(G90+G91)</f>
        <v>11318.0750716995</v>
      </c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n">
        <f aca="false">IF(B26="YES",((E40/B85)*(1+A108)*(C45/100)),"0")</f>
        <v>37.0285714285714</v>
      </c>
      <c r="C94" s="130"/>
      <c r="D94" s="130"/>
      <c r="E94" s="109"/>
      <c r="F94" s="88" t="s">
        <v>117</v>
      </c>
      <c r="G94" s="259" t="n">
        <f aca="false">IF(B26="YES",((E40/B85)*(1+A108)*(C45/100)),"0")</f>
        <v>37.0285714285714</v>
      </c>
      <c r="H94" s="33"/>
      <c r="J94" s="88" t="s">
        <v>117</v>
      </c>
      <c r="K94" s="89" t="n">
        <f aca="false">((E40/K85)*(1+J108))*1.2</f>
        <v>93.6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74.0571428571429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88.8685714285714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(B92/B85)</f>
        <v>371.713741360092</v>
      </c>
      <c r="C95" s="130"/>
      <c r="D95" s="130"/>
      <c r="E95" s="109"/>
      <c r="F95" s="91" t="s">
        <v>118</v>
      </c>
      <c r="G95" s="92" t="n">
        <f aca="false">G92/(G85)</f>
        <v>323.373573477129</v>
      </c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408.742312788664</v>
      </c>
      <c r="C96" s="130"/>
      <c r="D96" s="130"/>
      <c r="E96" s="109"/>
      <c r="F96" s="93" t="s">
        <v>119</v>
      </c>
      <c r="G96" s="94" t="n">
        <f aca="false">G94+G95</f>
        <v>360.402144905701</v>
      </c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390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0.0</v>
      </c>
      <c r="C108" s="103"/>
      <c r="D108" s="103" t="n">
        <v>0.0</v>
      </c>
      <c r="E108" s="104" t="n">
        <f aca="false">B83</f>
        <v>0.089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1000.0</v>
      </c>
      <c r="C111" s="103"/>
      <c r="D111" s="103"/>
      <c r="E111" s="103" t="n">
        <v>1000.0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406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22458.33</v>
      </c>
      <c r="C121" s="117" t="n">
        <v>24375.0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26949.996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26949.996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26949.996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22458.33</v>
      </c>
      <c r="C125" s="129" t="n">
        <f aca="false">C121-C124</f>
        <v>24375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22458.33</v>
      </c>
      <c r="H135" s="150" t="n">
        <f aca="false">C125+E125+G125+H128</f>
        <v>24375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4491.666</v>
      </c>
      <c r="H137" s="33" t="n">
        <f aca="false">(H135+H136)*20%</f>
        <v>4875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26949.996</v>
      </c>
      <c r="H141" s="154" t="n">
        <f aca="false">(H135+H136+H139+H140+H137)-H138</f>
        <v>29250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26949.996</v>
      </c>
      <c r="H147" s="161" t="n">
        <f aca="false">H141-((H144*1.2)+(H145*1.2)+(H146*1.2)+(H142*1.2))</f>
        <v>29250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1916.67</v>
      </c>
      <c r="I148" s="1" t="n">
        <f aca="false">(H148-G81)/1.2</f>
        <v>-20694.4416666667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0.0</v>
      </c>
      <c r="F152" s="103"/>
      <c r="G152" s="103" t="n">
        <v>1000.0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500.0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26750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367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371.713741360092</v>
      </c>
      <c r="B167" s="174" t="n">
        <f aca="false">B94</f>
        <v>37.0285714285714</v>
      </c>
      <c r="C167" s="171"/>
      <c r="D167" s="171"/>
      <c r="E167" s="174" t="n">
        <f aca="false">B96</f>
        <v>408.742312788664</v>
      </c>
      <c r="F167" s="23"/>
      <c r="G167" s="23" t="n">
        <f aca="false">ROUND(G95, 2)</f>
        <v>323.37</v>
      </c>
      <c r="H167" s="33"/>
      <c r="J167" s="173" t="e">
        <f aca="false">K95</f>
        <v>#VALUE!</v>
      </c>
      <c r="K167" s="174" t="n">
        <f aca="false">K94</f>
        <v>93.6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74.0571428571429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88.8685714285714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225" t="n">
        <f aca="false">K30</f>
        <v>10000</v>
      </c>
      <c r="C170" s="178"/>
      <c r="D170" s="23"/>
      <c r="E170" s="179" t="n">
        <f aca="false">IF(A111="YES", A40, 0)</f>
        <v>20000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20000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20000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20000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24375</v>
      </c>
      <c r="B173" s="99" t="n">
        <f aca="false">H137</f>
        <v>4875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29250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26750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6259.98094760323</v>
      </c>
      <c r="B182" s="99" t="str">
        <f aca="false">B114</f>
        <v>199.99</v>
      </c>
      <c r="C182" s="99"/>
      <c r="D182" s="23"/>
      <c r="E182" s="99" t="n">
        <f aca="false">E179+A182+(B182*1.2)+A185</f>
        <v>33259.9689476032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2239.988</v>
      </c>
      <c r="C185" s="99"/>
      <c r="D185" s="23"/>
      <c r="E185" s="99" t="n">
        <f aca="false">IF(A40=0,(E167),(E170+A185))</f>
        <v>20010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20020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20010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20010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7.481</v>
      </c>
      <c r="B188" s="99" t="n">
        <f aca="false">(G158*B67)/1.2</f>
        <v>222.916666666667</v>
      </c>
      <c r="C188" s="130"/>
      <c r="D188" s="130"/>
      <c r="E188" s="99" t="n">
        <f aca="false">(E40*A108)*0.1*(C45/100)</f>
        <v>21.6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64.8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43.2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43.2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344.506666666667</v>
      </c>
      <c r="C191" s="130"/>
      <c r="D191" s="130"/>
      <c r="E191" s="99" t="n">
        <f aca="false">H148</f>
        <v>1916.67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408.742312788664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368</v>
      </c>
      <c r="B200" s="130" t="s">
        <v>369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4567.95</v>
      </c>
      <c r="B201" s="183" t="n">
        <f aca="false">E179+A201+(B182*1.2)+A185</f>
        <v>31567.938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371.713741360092</v>
      </c>
      <c r="B212" s="174" t="n">
        <f aca="false">B167</f>
        <v>37.0285714285714</v>
      </c>
      <c r="C212" s="171"/>
      <c r="D212" s="171"/>
      <c r="E212" s="174" t="n">
        <f aca="false">E167</f>
        <v>408.742312788664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24375</v>
      </c>
      <c r="B215" s="99" t="n">
        <f aca="false">B173</f>
        <v>4875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29250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26750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6259.98094760323</v>
      </c>
      <c r="B224" s="99" t="str">
        <f aca="false">B182</f>
        <v>199.99</v>
      </c>
      <c r="C224" s="99"/>
      <c r="D224" s="109"/>
      <c r="E224" s="99" t="n">
        <f aca="false">E182</f>
        <v>33259.9689476032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371.713741360092</v>
      </c>
      <c r="B230" s="99" t="n">
        <f aca="false">B167</f>
        <v>37.0285714285714</v>
      </c>
      <c r="C230" s="183"/>
      <c r="D230" s="183"/>
      <c r="E230" s="99" t="n">
        <f aca="false">E167</f>
        <v>408.742312788664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20000</v>
      </c>
      <c r="B233" s="99" t="n">
        <f aca="false">E185</f>
        <v>20010</v>
      </c>
      <c r="C233" s="130"/>
      <c r="D233" s="130"/>
      <c r="E233" s="99" t="n">
        <f aca="false">J18*0.000006*100</f>
        <v>22.443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</f>
        <v>7.481</v>
      </c>
      <c r="B236" s="99" t="n">
        <f aca="false">E233+A236</f>
        <v>29.924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1916.67</v>
      </c>
      <c r="B240" s="99" t="n">
        <f aca="false">B68</f>
        <v>222.916666666667</v>
      </c>
      <c r="C240" s="130"/>
      <c r="D240" s="130"/>
      <c r="E240" s="99" t="n">
        <f aca="false">E188</f>
        <v>21.6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2261.17666666666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 t="n">
        <f aca="false">(E182-B182)-(B201-B182-A185)</f>
        <v>1702.03094760323</v>
      </c>
      <c r="C254" s="194"/>
      <c r="D254" s="195" t="s">
        <v>213</v>
      </c>
      <c r="E254" s="195"/>
      <c r="F254" s="196" t="n">
        <f aca="false">F261+F267+F269+B270+B271</f>
        <v>267.5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315.99</v>
      </c>
      <c r="C255" s="194"/>
      <c r="D255" s="195" t="s">
        <v>215</v>
      </c>
      <c r="E255" s="195"/>
      <c r="F255" s="196" t="n">
        <f aca="false">(B254-F254)+B255</f>
        <v>1750.52094760323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0.024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0.089</v>
      </c>
      <c r="C260" s="43"/>
      <c r="D260" s="163" t="s">
        <v>212</v>
      </c>
      <c r="E260" s="163"/>
      <c r="F260" s="143" t="n">
        <f aca="false">B254</f>
        <v>1702.03094760323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0.01</v>
      </c>
      <c r="C261" s="32"/>
      <c r="D261" s="163" t="s">
        <v>218</v>
      </c>
      <c r="E261" s="163"/>
      <c r="F261" s="148" t="n">
        <f aca="false">B68*1.2</f>
        <v>267.5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216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1750.52094760323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72" colorId="64" zoomScale="85" zoomScaleNormal="85" zoomScalePageLayoutView="100" workbookViewId="0">
      <selection pane="topLeft" activeCell="F261" activeCellId="0" sqref="F26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349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386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36.0</v>
      </c>
      <c r="P29" s="208"/>
    </row>
    <row r="30" customFormat="false" ht="17.9" hidden="false" customHeight="false" outlineLevel="0" collapsed="false">
      <c r="A30" s="31" t="s">
        <v>181</v>
      </c>
      <c r="B30" s="100" t="s">
        <v>387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10000.0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50000.0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350</v>
      </c>
      <c r="F32" s="130"/>
      <c r="G32" s="130"/>
      <c r="H32" s="33"/>
      <c r="I32" s="2"/>
      <c r="J32" s="29" t="s">
        <v>36</v>
      </c>
      <c r="K32" s="448" t="n">
        <v>4500.0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312.925143136561</v>
      </c>
      <c r="F33" s="228"/>
      <c r="G33" s="228"/>
      <c r="H33" s="47"/>
      <c r="I33" s="2"/>
      <c r="J33" s="34" t="s">
        <v>351</v>
      </c>
      <c r="K33" s="48" t="n">
        <f aca="false">E21</f>
        <v>22458.33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352</v>
      </c>
      <c r="B35" s="130" t="s">
        <v>353</v>
      </c>
      <c r="C35" s="130"/>
      <c r="D35" s="208"/>
      <c r="E35" s="130" t="s">
        <v>354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312.925143136561</v>
      </c>
      <c r="B36" s="228" t="str">
        <f aca="false">IF(B26="YES", K42, "0.00")</f>
        <v>0.00</v>
      </c>
      <c r="C36" s="228"/>
      <c r="D36" s="228"/>
      <c r="E36" s="228" t="n">
        <f aca="false">K31</f>
        <v>17950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355</v>
      </c>
      <c r="B39" s="130" t="s">
        <v>356</v>
      </c>
      <c r="C39" s="130"/>
      <c r="D39" s="208"/>
      <c r="E39" s="130" t="s">
        <v>357</v>
      </c>
      <c r="F39" s="183"/>
      <c r="G39" s="183"/>
      <c r="H39" s="47"/>
      <c r="J39" s="2" t="s">
        <v>84</v>
      </c>
      <c r="K39" s="2" t="n">
        <f aca="false">K33</f>
        <v>22458.33</v>
      </c>
      <c r="L39" s="2" t="n">
        <f aca="false">(L47*K46)+K44</f>
        <v>38350.3594675147</v>
      </c>
      <c r="N39" s="1" t="n">
        <f aca="false">K39-L39</f>
        <v>-15892.0294675147</v>
      </c>
      <c r="P39" s="208"/>
    </row>
    <row r="40" customFormat="false" ht="17.35" hidden="false" customHeight="false" outlineLevel="0" collapsed="false">
      <c r="A40" s="103" t="n">
        <f aca="false">E36*A45/100</f>
        <v>17950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106</v>
      </c>
      <c r="K40" s="2" t="n">
        <f aca="false">(A40)/1.2</f>
        <v>14958.3333333333</v>
      </c>
      <c r="L40" s="2" t="n">
        <f aca="false">K39-L39</f>
        <v>-15892.0294675147</v>
      </c>
      <c r="N40" s="1" t="n">
        <f aca="false">N38-N39</f>
        <v>18803.7094675147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358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359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360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361</v>
      </c>
      <c r="K44" s="2" t="n">
        <f aca="false">(K40/(1+K41)^(K36+1))</f>
        <v>12248.3683775163</v>
      </c>
      <c r="L44" s="2"/>
      <c r="P44" s="208"/>
    </row>
    <row r="45" customFormat="false" ht="17.35" hidden="false" customHeight="false" outlineLevel="0" collapsed="false">
      <c r="A45" s="449" t="n">
        <v>40.0</v>
      </c>
      <c r="B45" s="130"/>
      <c r="C45" s="62" t="n">
        <v>40.0</v>
      </c>
      <c r="D45" s="62"/>
      <c r="E45" s="62"/>
      <c r="F45" s="130"/>
      <c r="G45" s="130"/>
      <c r="H45" s="33"/>
      <c r="J45" s="2" t="s">
        <v>362</v>
      </c>
      <c r="K45" s="2" t="n">
        <f aca="false">(K39-K44)</f>
        <v>10209.9616224837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363</v>
      </c>
      <c r="K46" s="2" t="n">
        <f aca="false">((1-(1/((1+K41)^K36)))/K41)</f>
        <v>32.627488862498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364</v>
      </c>
      <c r="K47" s="2" t="n">
        <f aca="false">K45/K46</f>
        <v>312.925143136561</v>
      </c>
      <c r="L47" s="2" t="n">
        <f aca="false">L49-K42</f>
        <v>800</v>
      </c>
      <c r="M47" s="1" t="n">
        <f aca="false">K47-L47</f>
        <v>-487.074856863439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365</v>
      </c>
      <c r="K48" s="2" t="n">
        <f aca="false">IF(B26="YES", K47+K42, K47)</f>
        <v>312.925143136561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366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312.925143136561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0.0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3534.37807981928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222.916666666667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2805.375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374.05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312.925143136561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312.925143136561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312.925143136561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312.925143136561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26750</v>
      </c>
      <c r="C81" s="130"/>
      <c r="D81" s="130"/>
      <c r="E81" s="109"/>
      <c r="F81" s="25" t="s">
        <v>105</v>
      </c>
      <c r="G81" s="27" t="n">
        <f aca="false">G158</f>
        <v>26750</v>
      </c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17950</v>
      </c>
      <c r="C82" s="130"/>
      <c r="D82" s="130"/>
      <c r="E82" s="109"/>
      <c r="F82" s="31" t="s">
        <v>106</v>
      </c>
      <c r="G82" s="33" t="n">
        <f aca="false">IF(A111 = "Yes", A40, 0)</f>
        <v>17950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17950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17950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0.089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0.00741666666666667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130"/>
      <c r="D85" s="130"/>
      <c r="E85" s="109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13757.37950458</v>
      </c>
      <c r="C86" s="130"/>
      <c r="D86" s="130"/>
      <c r="E86" s="109"/>
      <c r="F86" s="31" t="s">
        <v>110</v>
      </c>
      <c r="G86" s="33" t="n">
        <f aca="false">(G82/((1+G84)^(G85+1)))</f>
        <v>14777.6564474734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12142.5978649176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12142.5978649176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30.7264493562845</v>
      </c>
      <c r="C87" s="130"/>
      <c r="D87" s="130"/>
      <c r="E87" s="109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12992.62049542</v>
      </c>
      <c r="C88" s="130"/>
      <c r="D88" s="130"/>
      <c r="E88" s="109"/>
      <c r="F88" s="31" t="s">
        <v>112</v>
      </c>
      <c r="G88" s="33" t="n">
        <f aca="false">G81-G86</f>
        <v>11972.3435525266</v>
      </c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422.848092363871</v>
      </c>
      <c r="C89" s="130"/>
      <c r="D89" s="130"/>
      <c r="E89" s="109"/>
      <c r="F89" s="31" t="s">
        <v>113</v>
      </c>
      <c r="G89" s="33" t="n">
        <f aca="false">(G88/G87)</f>
        <v>376.43882292237</v>
      </c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14799.6832327355</v>
      </c>
      <c r="C90" s="130"/>
      <c r="D90" s="130"/>
      <c r="E90" s="109"/>
      <c r="F90" s="31" t="s">
        <v>114</v>
      </c>
      <c r="G90" s="33" t="n">
        <f aca="false">((G89*(G85))+G77)</f>
        <v>13175.3588022829</v>
      </c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14799.6832327355</v>
      </c>
      <c r="C92" s="130"/>
      <c r="D92" s="130"/>
      <c r="E92" s="109"/>
      <c r="F92" s="56" t="s">
        <v>116</v>
      </c>
      <c r="G92" s="65" t="n">
        <f aca="false">(G90+G91)</f>
        <v>13175.3588022829</v>
      </c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str">
        <f aca="false">IF(B26="YES",((E40/B85)*(1+A108)*1.2*(C45/100)),"0")</f>
        <v>0</v>
      </c>
      <c r="C94" s="130"/>
      <c r="D94" s="130"/>
      <c r="E94" s="109"/>
      <c r="F94" s="88" t="s">
        <v>117</v>
      </c>
      <c r="G94" s="259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422.848092363871</v>
      </c>
      <c r="C95" s="130"/>
      <c r="D95" s="130"/>
      <c r="E95" s="109"/>
      <c r="F95" s="91" t="s">
        <v>118</v>
      </c>
      <c r="G95" s="92" t="n">
        <f aca="false">G92/(G85)</f>
        <v>376.43882292237</v>
      </c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422.848092363871</v>
      </c>
      <c r="C96" s="130"/>
      <c r="D96" s="130"/>
      <c r="E96" s="109"/>
      <c r="F96" s="93" t="s">
        <v>119</v>
      </c>
      <c r="G96" s="94" t="n">
        <f aca="false">G94+G95</f>
        <v>376.43882292237</v>
      </c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386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0.3</v>
      </c>
      <c r="B108" s="103" t="n">
        <v>0.0</v>
      </c>
      <c r="C108" s="103"/>
      <c r="D108" s="103" t="n">
        <v>0.0</v>
      </c>
      <c r="E108" s="104" t="n">
        <f aca="false">B83</f>
        <v>0.089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386</v>
      </c>
      <c r="B111" s="103" t="n">
        <v>1000.0</v>
      </c>
      <c r="C111" s="103"/>
      <c r="D111" s="103"/>
      <c r="E111" s="103" t="n">
        <v>1000.0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400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22458.33</v>
      </c>
      <c r="C121" s="117" t="n">
        <v>24375.0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26949.996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26949.996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26949.996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22458.33</v>
      </c>
      <c r="C125" s="129" t="n">
        <f aca="false">C121-C124</f>
        <v>24375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22458.33</v>
      </c>
      <c r="H135" s="150" t="n">
        <f aca="false">C125+E125+G125+H128</f>
        <v>24375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4491.666</v>
      </c>
      <c r="H137" s="33" t="n">
        <f aca="false">(H135+H136)*20%</f>
        <v>4875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26949.996</v>
      </c>
      <c r="H141" s="154" t="n">
        <f aca="false">(H135+H136+H139+H140+H137)-H138</f>
        <v>29250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26949.996</v>
      </c>
      <c r="H147" s="161" t="n">
        <f aca="false">H141-((H144*1.2)+(H145*1.2)+(H146*1.2)+(H142*1.2))</f>
        <v>29250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1916.67</v>
      </c>
      <c r="I148" s="1" t="n">
        <f aca="false">(H148-G81)/1.2</f>
        <v>-20694.4416666667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0.0</v>
      </c>
      <c r="F152" s="103"/>
      <c r="G152" s="103" t="n">
        <v>1000.0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500.0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26750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367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422.848092363871</v>
      </c>
      <c r="B167" s="174" t="str">
        <f aca="false">B94</f>
        <v>0</v>
      </c>
      <c r="C167" s="171"/>
      <c r="D167" s="171"/>
      <c r="E167" s="174" t="n">
        <f aca="false">B96</f>
        <v>422.848092363871</v>
      </c>
      <c r="F167" s="23"/>
      <c r="G167" s="23" t="n">
        <f aca="false">ROUND(G95, 2)</f>
        <v>376.44</v>
      </c>
      <c r="H167" s="33"/>
      <c r="J167" s="173" t="e">
        <f aca="false">K95</f>
        <v>#VALUE!</v>
      </c>
      <c r="K167" s="174" t="n">
        <f aca="false">K94</f>
        <v>0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0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225" t="n">
        <f aca="false">K30</f>
        <v>10000</v>
      </c>
      <c r="C170" s="178"/>
      <c r="D170" s="23"/>
      <c r="E170" s="179" t="n">
        <f aca="false">IF(A111="YES", A40, 0)</f>
        <v>17950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17950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17950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17950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24375</v>
      </c>
      <c r="B173" s="99" t="n">
        <f aca="false">H137</f>
        <v>4875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29250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26750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5999.68323273547</v>
      </c>
      <c r="B182" s="99" t="str">
        <f aca="false">B114</f>
        <v>239.99</v>
      </c>
      <c r="C182" s="99"/>
      <c r="D182" s="23"/>
      <c r="E182" s="99" t="n">
        <f aca="false">E179+A182+B182+A185</f>
        <v>32999.6732327355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A179+(B182)</f>
        <v>2239.99</v>
      </c>
      <c r="C185" s="99"/>
      <c r="D185" s="23"/>
      <c r="E185" s="99" t="n">
        <f aca="false">IF(A40=0,(E167+A185),(E170+A185))</f>
        <v>17960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17970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17960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17960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0)*100*1.2</f>
        <v>0</v>
      </c>
      <c r="B188" s="99" t="n">
        <f aca="false">(G158*B67)/1.2</f>
        <v>222.916666666667</v>
      </c>
      <c r="C188" s="130"/>
      <c r="D188" s="130"/>
      <c r="E188" s="99" t="n">
        <f aca="false">(E40*A108)*0.1*(C45/100)</f>
        <v>0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322.908333333333</v>
      </c>
      <c r="C191" s="130"/>
      <c r="D191" s="130"/>
      <c r="E191" s="99" t="n">
        <f aca="false">H148</f>
        <v>1916.67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422.848092363871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368</v>
      </c>
      <c r="B200" s="130" t="s">
        <v>369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4375.4</v>
      </c>
      <c r="B201" s="183" t="n">
        <f aca="false">E179+A201+B182+A185</f>
        <v>31375.39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422.848092363871</v>
      </c>
      <c r="B212" s="174" t="str">
        <f aca="false">B167</f>
        <v>0</v>
      </c>
      <c r="C212" s="171"/>
      <c r="D212" s="171"/>
      <c r="E212" s="174" t="n">
        <f aca="false">E167</f>
        <v>422.848092363871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24375</v>
      </c>
      <c r="B215" s="99" t="n">
        <f aca="false">B173</f>
        <v>4875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29250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26750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5999.68323273547</v>
      </c>
      <c r="B224" s="99" t="str">
        <f aca="false">B182</f>
        <v>239.99</v>
      </c>
      <c r="C224" s="99"/>
      <c r="D224" s="109"/>
      <c r="E224" s="99" t="n">
        <f aca="false">E182</f>
        <v>32999.6732327355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2239.99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422.848092363871</v>
      </c>
      <c r="B230" s="99" t="str">
        <f aca="false">B167</f>
        <v>0</v>
      </c>
      <c r="C230" s="183"/>
      <c r="D230" s="183"/>
      <c r="E230" s="99" t="n">
        <f aca="false">E167</f>
        <v>422.848092363871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17950</v>
      </c>
      <c r="B233" s="99" t="n">
        <f aca="false">E185</f>
        <v>17960</v>
      </c>
      <c r="C233" s="130"/>
      <c r="D233" s="130"/>
      <c r="E233" s="99" t="n">
        <f aca="false">A188</f>
        <v>0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1916.67</v>
      </c>
      <c r="B240" s="99" t="n">
        <f aca="false">B68</f>
        <v>222.916666666667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2239.57833333333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453" t="n">
        <f aca="false">(E182-B182)-(B201-B182-A185)</f>
        <v>1634.28323273547</v>
      </c>
      <c r="C254" s="194"/>
      <c r="D254" s="195" t="s">
        <v>213</v>
      </c>
      <c r="E254" s="195"/>
      <c r="F254" s="196" t="n">
        <f aca="false">F261+F267+F269+B270+B271</f>
        <v>267.5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1466.77489940213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0.024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0.089</v>
      </c>
      <c r="C260" s="43"/>
      <c r="D260" s="163" t="s">
        <v>212</v>
      </c>
      <c r="E260" s="163"/>
      <c r="F260" s="143" t="n">
        <f aca="false">B254</f>
        <v>1634.28323273547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0.01</v>
      </c>
      <c r="C261" s="32"/>
      <c r="D261" s="163" t="s">
        <v>218</v>
      </c>
      <c r="E261" s="163"/>
      <c r="F261" s="148" t="n">
        <f aca="false">B68*1.2</f>
        <v>267.5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1466.77489940213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235" colorId="64" zoomScale="85" zoomScaleNormal="85" zoomScalePageLayoutView="100" workbookViewId="0">
      <selection pane="topLeft" activeCell="F260" activeCellId="0" sqref="F26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22916.67</v>
      </c>
      <c r="C2" s="4" t="s">
        <v>2</v>
      </c>
      <c r="D2" s="5" t="n">
        <f aca="false">C9</f>
        <v>4583.334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 t="s">
        <v>4</v>
      </c>
      <c r="C3" s="266" t="n">
        <v>0</v>
      </c>
      <c r="D3" s="266" t="s">
        <v>4</v>
      </c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27500.004</v>
      </c>
      <c r="C4" s="268" t="n">
        <v>0</v>
      </c>
      <c r="D4" s="268" t="n">
        <v>0</v>
      </c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 t="n">
        <v>0</v>
      </c>
      <c r="C5" s="63" t="n">
        <v>0</v>
      </c>
      <c r="D5" s="63" t="n">
        <v>0</v>
      </c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22916.67</v>
      </c>
      <c r="C9" s="14" t="n">
        <f aca="false">B9*0.2</f>
        <v>4583.334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22916.67</v>
      </c>
      <c r="C15" s="14" t="n">
        <f aca="false">SUM(C9:C13)</f>
        <v>4583.334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27500.004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22916.67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349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390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36.0</v>
      </c>
      <c r="P29" s="208"/>
    </row>
    <row r="30" customFormat="false" ht="17.9" hidden="false" customHeight="false" outlineLevel="0" collapsed="false">
      <c r="A30" s="31" t="s">
        <v>181</v>
      </c>
      <c r="B30" s="100" t="s">
        <v>387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10000.0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17950.0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350</v>
      </c>
      <c r="F32" s="130"/>
      <c r="G32" s="130"/>
      <c r="H32" s="33"/>
      <c r="I32" s="2"/>
      <c r="J32" s="29" t="s">
        <v>36</v>
      </c>
      <c r="K32" s="448" t="n">
        <v>0.0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326.97280711498</v>
      </c>
      <c r="F33" s="228"/>
      <c r="G33" s="228"/>
      <c r="H33" s="47"/>
      <c r="I33" s="2"/>
      <c r="J33" s="34" t="s">
        <v>351</v>
      </c>
      <c r="K33" s="48" t="n">
        <f aca="false">E21</f>
        <v>22916.67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352</v>
      </c>
      <c r="B35" s="130" t="s">
        <v>353</v>
      </c>
      <c r="C35" s="130"/>
      <c r="D35" s="208"/>
      <c r="E35" s="130" t="s">
        <v>354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326.97280711498</v>
      </c>
      <c r="B36" s="228" t="str">
        <f aca="false">IF(B26="YES", K42, "0.00")</f>
        <v>0.00</v>
      </c>
      <c r="C36" s="228"/>
      <c r="D36" s="228"/>
      <c r="E36" s="228" t="n">
        <f aca="false">K31</f>
        <v>17950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355</v>
      </c>
      <c r="B39" s="130" t="s">
        <v>356</v>
      </c>
      <c r="C39" s="130"/>
      <c r="D39" s="208"/>
      <c r="E39" s="130" t="s">
        <v>357</v>
      </c>
      <c r="F39" s="183"/>
      <c r="G39" s="183"/>
      <c r="H39" s="47"/>
      <c r="J39" s="2" t="s">
        <v>84</v>
      </c>
      <c r="K39" s="2" t="n">
        <f aca="false">K33</f>
        <v>22916.67</v>
      </c>
      <c r="L39" s="2" t="n">
        <f aca="false">(L47*K46)+K44</f>
        <v>38350.3594675147</v>
      </c>
      <c r="N39" s="1" t="n">
        <f aca="false">K39-L39</f>
        <v>-15433.6894675147</v>
      </c>
      <c r="P39" s="208"/>
    </row>
    <row r="40" customFormat="false" ht="17.35" hidden="false" customHeight="false" outlineLevel="0" collapsed="false">
      <c r="A40" s="103" t="n">
        <f aca="false">E36*A45/100</f>
        <v>17950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106</v>
      </c>
      <c r="K40" s="2" t="n">
        <f aca="false">(A40)/1.2</f>
        <v>14958.3333333333</v>
      </c>
      <c r="L40" s="2" t="n">
        <f aca="false">K39-L39</f>
        <v>-15433.6894675147</v>
      </c>
      <c r="N40" s="1" t="n">
        <f aca="false">N38-N39</f>
        <v>18345.3694675147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358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359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360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361</v>
      </c>
      <c r="K44" s="2" t="n">
        <f aca="false">(K40/(1+K41)^(K36+1))</f>
        <v>12248.3683775163</v>
      </c>
      <c r="L44" s="2"/>
      <c r="P44" s="208"/>
    </row>
    <row r="45" customFormat="false" ht="17.35" hidden="false" customHeight="false" outlineLevel="0" collapsed="false">
      <c r="A45" s="449" t="n">
        <v>100.0</v>
      </c>
      <c r="B45" s="130"/>
      <c r="C45" s="62" t="n">
        <v>100.0</v>
      </c>
      <c r="D45" s="62"/>
      <c r="E45" s="62"/>
      <c r="F45" s="130"/>
      <c r="G45" s="130"/>
      <c r="H45" s="33"/>
      <c r="J45" s="2" t="s">
        <v>362</v>
      </c>
      <c r="K45" s="2" t="n">
        <f aca="false">(K39-K44)</f>
        <v>10668.3016224837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363</v>
      </c>
      <c r="K46" s="2" t="n">
        <f aca="false">((1-(1/((1+K41)^K36)))/K41)</f>
        <v>32.627488862498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364</v>
      </c>
      <c r="K47" s="2" t="n">
        <f aca="false">K45/K46</f>
        <v>326.97280711498</v>
      </c>
      <c r="L47" s="2" t="n">
        <f aca="false">L49-K42</f>
        <v>800</v>
      </c>
      <c r="M47" s="1" t="n">
        <f aca="false">K47-L47</f>
        <v>-473.02719288502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365</v>
      </c>
      <c r="K48" s="2" t="n">
        <f aca="false">IF(B26="YES", K47+K42, K47)</f>
        <v>326.97280711498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366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326.97280711498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0.0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0.024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3028.66217659618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222.916666666667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2805.375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374.05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326.97280711498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326.97280711498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326.97280711498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326.97280711498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26750</v>
      </c>
      <c r="C81" s="130"/>
      <c r="D81" s="130"/>
      <c r="E81" s="109"/>
      <c r="F81" s="25" t="s">
        <v>105</v>
      </c>
      <c r="G81" s="27" t="n">
        <f aca="false">G158</f>
        <v>26750</v>
      </c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17950</v>
      </c>
      <c r="C82" s="130"/>
      <c r="D82" s="130"/>
      <c r="E82" s="109"/>
      <c r="F82" s="31" t="s">
        <v>106</v>
      </c>
      <c r="G82" s="33" t="n">
        <f aca="false">IF(A111 = "Yes", A40, 0)</f>
        <v>17950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17950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17950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0.089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0.00741666666666667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130"/>
      <c r="D85" s="130"/>
      <c r="E85" s="109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13757.37950458</v>
      </c>
      <c r="C86" s="130"/>
      <c r="D86" s="130"/>
      <c r="E86" s="109"/>
      <c r="F86" s="31" t="s">
        <v>110</v>
      </c>
      <c r="G86" s="33" t="n">
        <f aca="false">(G82/((1+G84)^(G85+1)))</f>
        <v>14777.6564474734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12142.5978649176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12142.5978649176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30.7264493562845</v>
      </c>
      <c r="C87" s="130"/>
      <c r="D87" s="130"/>
      <c r="E87" s="109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12992.62049542</v>
      </c>
      <c r="C88" s="130"/>
      <c r="D88" s="130"/>
      <c r="E88" s="109"/>
      <c r="F88" s="31" t="s">
        <v>112</v>
      </c>
      <c r="G88" s="33" t="n">
        <f aca="false">G81-G86</f>
        <v>11972.3435525266</v>
      </c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422.848092363871</v>
      </c>
      <c r="C89" s="130"/>
      <c r="D89" s="130"/>
      <c r="E89" s="109"/>
      <c r="F89" s="31" t="s">
        <v>113</v>
      </c>
      <c r="G89" s="33" t="n">
        <f aca="false">(G88/G87)</f>
        <v>376.43882292237</v>
      </c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14799.6832327355</v>
      </c>
      <c r="C90" s="130"/>
      <c r="D90" s="130"/>
      <c r="E90" s="109"/>
      <c r="F90" s="31" t="s">
        <v>114</v>
      </c>
      <c r="G90" s="33" t="n">
        <f aca="false">((G89*(G85))+G77)</f>
        <v>13175.3588022829</v>
      </c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14799.6832327355</v>
      </c>
      <c r="C92" s="130"/>
      <c r="D92" s="130"/>
      <c r="E92" s="109"/>
      <c r="F92" s="56" t="s">
        <v>116</v>
      </c>
      <c r="G92" s="65" t="n">
        <f aca="false">(G90+G91)</f>
        <v>13175.3588022829</v>
      </c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str">
        <f aca="false">IF(B26="YES",((E40/B85)*(1+A108)*(C45/100)),"0")</f>
        <v>0</v>
      </c>
      <c r="C94" s="130"/>
      <c r="D94" s="130"/>
      <c r="E94" s="109"/>
      <c r="F94" s="88" t="s">
        <v>117</v>
      </c>
      <c r="G94" s="259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422.848092363871</v>
      </c>
      <c r="C95" s="130"/>
      <c r="D95" s="130"/>
      <c r="E95" s="109"/>
      <c r="F95" s="91" t="s">
        <v>118</v>
      </c>
      <c r="G95" s="92" t="n">
        <f aca="false">G92/(G85)</f>
        <v>376.43882292237</v>
      </c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422.848092363871</v>
      </c>
      <c r="C96" s="130"/>
      <c r="D96" s="130"/>
      <c r="E96" s="109"/>
      <c r="F96" s="93" t="s">
        <v>119</v>
      </c>
      <c r="G96" s="94" t="n">
        <f aca="false">G94+G95</f>
        <v>376.43882292237</v>
      </c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390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0.0</v>
      </c>
      <c r="C108" s="103"/>
      <c r="D108" s="103" t="n">
        <v>0.0</v>
      </c>
      <c r="E108" s="104" t="n">
        <f aca="false">B83</f>
        <v>0.089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386</v>
      </c>
      <c r="B111" s="103" t="n">
        <v>1000.0</v>
      </c>
      <c r="C111" s="103"/>
      <c r="D111" s="103"/>
      <c r="E111" s="103" t="n">
        <v>1000.0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406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22916.67</v>
      </c>
      <c r="C121" s="117" t="n">
        <v>24375.0</v>
      </c>
      <c r="D121" s="116" t="n"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str">
        <f aca="false">B3</f>
        <v> </v>
      </c>
      <c r="L121" s="117" t="n">
        <v>28629.17</v>
      </c>
      <c r="M121" s="116" t="str">
        <f aca="false">D3</f>
        <v> </v>
      </c>
      <c r="N121" s="117" t="str">
        <f aca="false">M121</f>
        <v> 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str">
        <f aca="false">B3</f>
        <v> </v>
      </c>
      <c r="U121" s="117" t="str">
        <f aca="false">T121</f>
        <v> </v>
      </c>
      <c r="V121" s="116" t="str">
        <f aca="false">D3</f>
        <v> </v>
      </c>
      <c r="W121" s="117" t="str">
        <f aca="false">V121</f>
        <v> 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str">
        <f aca="false">B3</f>
        <v> </v>
      </c>
      <c r="AD121" s="117" t="str">
        <f aca="false">AC121</f>
        <v> </v>
      </c>
      <c r="AE121" s="116" t="str">
        <f aca="false">D3</f>
        <v> </v>
      </c>
      <c r="AF121" s="117" t="str">
        <f aca="false">AE121</f>
        <v> 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27500.004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27500.004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27500.004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e">
        <f aca="false">(K121*K122)+K123</f>
        <v>#VALUE!</v>
      </c>
      <c r="L124" s="127" t="n">
        <f aca="false">(L121*L122)+L123</f>
        <v>0</v>
      </c>
      <c r="M124" s="126" t="e">
        <f aca="false">(M121*M122)+M123</f>
        <v>#VALUE!</v>
      </c>
      <c r="N124" s="127" t="e">
        <f aca="false">(N121*N122)+N123</f>
        <v>#VALUE!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e">
        <f aca="false">(T121*T122)+T123</f>
        <v>#VALUE!</v>
      </c>
      <c r="U124" s="127" t="e">
        <f aca="false">(U121*U122)+U123</f>
        <v>#VALUE!</v>
      </c>
      <c r="V124" s="126" t="e">
        <f aca="false">(V121*V122)+V123</f>
        <v>#VALUE!</v>
      </c>
      <c r="W124" s="127" t="e">
        <f aca="false">(W121*W122)+W123</f>
        <v>#VALUE!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e">
        <f aca="false">(AC121*AC122)+AC123</f>
        <v>#VALUE!</v>
      </c>
      <c r="AD124" s="127" t="e">
        <f aca="false">(AD121*AD122)+AD123</f>
        <v>#VALUE!</v>
      </c>
      <c r="AE124" s="126" t="e">
        <f aca="false">(AE121*AE122)+AE123</f>
        <v>#VALUE!</v>
      </c>
      <c r="AF124" s="127" t="e">
        <f aca="false">(AF121*AF122)+AF123</f>
        <v>#VALUE!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22916.67</v>
      </c>
      <c r="C125" s="129" t="n">
        <f aca="false">C121-C124</f>
        <v>24375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e">
        <f aca="false">K121-K124</f>
        <v>#VALUE!</v>
      </c>
      <c r="L125" s="129" t="n">
        <f aca="false">L121-L124</f>
        <v>28629.17</v>
      </c>
      <c r="M125" s="128" t="e">
        <f aca="false">M121-M124</f>
        <v>#VALUE!</v>
      </c>
      <c r="N125" s="129" t="e">
        <f aca="false">N121-N124</f>
        <v>#VALUE!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e">
        <f aca="false">T121-T124</f>
        <v>#VALUE!</v>
      </c>
      <c r="U125" s="129" t="e">
        <f aca="false">U121-U124</f>
        <v>#VALUE!</v>
      </c>
      <c r="V125" s="128" t="e">
        <f aca="false">V121-V124</f>
        <v>#VALUE!</v>
      </c>
      <c r="W125" s="129" t="e">
        <f aca="false">W121-W124</f>
        <v>#VALUE!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e">
        <f aca="false">AC121-AC124</f>
        <v>#VALUE!</v>
      </c>
      <c r="AD125" s="129" t="e">
        <f aca="false">AD121-AD124</f>
        <v>#VALUE!</v>
      </c>
      <c r="AE125" s="128" t="e">
        <f aca="false">AE121-AE124</f>
        <v>#VALUE!</v>
      </c>
      <c r="AF125" s="129" t="e">
        <f aca="false">AF121-AF124</f>
        <v>#VALUE!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22916.67</v>
      </c>
      <c r="H135" s="150" t="n">
        <f aca="false">C125+E125+G125+H128</f>
        <v>24375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4583.334</v>
      </c>
      <c r="H137" s="33" t="n">
        <f aca="false">(H135+H136)*20%</f>
        <v>4875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27500.004</v>
      </c>
      <c r="H141" s="154" t="n">
        <f aca="false">(H135+H136+H139+H140+H137)-H138</f>
        <v>29250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27500.004</v>
      </c>
      <c r="H147" s="161" t="n">
        <f aca="false">H141-((H144*1.2)+(H145*1.2)+(H146*1.2)+(H142*1.2))</f>
        <v>29250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1458.33</v>
      </c>
      <c r="I148" s="1" t="n">
        <f aca="false">(H148-G81)/1.2</f>
        <v>-21076.3916666667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0.0</v>
      </c>
      <c r="F152" s="103"/>
      <c r="G152" s="103" t="n">
        <v>1000.0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500.0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26750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367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422.848092363871</v>
      </c>
      <c r="B167" s="174" t="str">
        <f aca="false">B94</f>
        <v>0</v>
      </c>
      <c r="C167" s="171"/>
      <c r="D167" s="171"/>
      <c r="E167" s="174" t="n">
        <f aca="false">B96</f>
        <v>422.848092363871</v>
      </c>
      <c r="F167" s="23"/>
      <c r="G167" s="23" t="n">
        <f aca="false">ROUND(G95, 2)</f>
        <v>376.44</v>
      </c>
      <c r="H167" s="33"/>
      <c r="J167" s="173" t="e">
        <f aca="false">K95</f>
        <v>#VALUE!</v>
      </c>
      <c r="K167" s="174" t="n">
        <f aca="false">K94</f>
        <v>0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0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225" t="n">
        <f aca="false">K30</f>
        <v>10000</v>
      </c>
      <c r="C170" s="178"/>
      <c r="D170" s="23"/>
      <c r="E170" s="179" t="n">
        <f aca="false">IF(A111="YES", A40, 0)</f>
        <v>17950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17950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17950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17950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24375</v>
      </c>
      <c r="B173" s="99" t="n">
        <f aca="false">H137</f>
        <v>4875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29250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26750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5999.68323273547</v>
      </c>
      <c r="B182" s="99" t="str">
        <f aca="false">B114</f>
        <v>199.99</v>
      </c>
      <c r="C182" s="99"/>
      <c r="D182" s="23"/>
      <c r="E182" s="99" t="n">
        <f aca="false">E179+A182+(B182*1.2)+A185</f>
        <v>32999.6712327355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2239.988</v>
      </c>
      <c r="C185" s="99"/>
      <c r="D185" s="23"/>
      <c r="E185" s="99" t="n">
        <f aca="false">IF(A40=0,(E167+A185),(E170+A185))</f>
        <v>17960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17970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17960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17960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0</v>
      </c>
      <c r="B188" s="99" t="n">
        <f aca="false">(G158*B67)/1.2</f>
        <v>222.916666666667</v>
      </c>
      <c r="C188" s="130"/>
      <c r="D188" s="130"/>
      <c r="E188" s="99" t="n">
        <f aca="false">(E40*A108)*0.1*(C45/100)</f>
        <v>0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322.906666666667</v>
      </c>
      <c r="C191" s="130"/>
      <c r="D191" s="130"/>
      <c r="E191" s="99" t="n">
        <f aca="false">H148</f>
        <v>1458.33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422.848092363871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368</v>
      </c>
      <c r="B200" s="130" t="s">
        <v>369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4375.4</v>
      </c>
      <c r="B201" s="183" t="n">
        <f aca="false">E179+A201+(B182*1.2)+A185</f>
        <v>31375.388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422.848092363871</v>
      </c>
      <c r="B212" s="174" t="str">
        <f aca="false">B167</f>
        <v>0</v>
      </c>
      <c r="C212" s="171"/>
      <c r="D212" s="171"/>
      <c r="E212" s="174" t="n">
        <f aca="false">E167</f>
        <v>422.848092363871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24375</v>
      </c>
      <c r="B215" s="99" t="n">
        <f aca="false">B173</f>
        <v>4875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29250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26750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5999.68323273547</v>
      </c>
      <c r="B224" s="99" t="str">
        <f aca="false">B182</f>
        <v>199.99</v>
      </c>
      <c r="C224" s="99"/>
      <c r="D224" s="109"/>
      <c r="E224" s="99" t="n">
        <f aca="false">E182</f>
        <v>32999.6712327355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422.848092363871</v>
      </c>
      <c r="B230" s="99" t="str">
        <f aca="false">B167</f>
        <v>0</v>
      </c>
      <c r="C230" s="183"/>
      <c r="D230" s="183"/>
      <c r="E230" s="99" t="n">
        <f aca="false">E167</f>
        <v>422.848092363871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17950</v>
      </c>
      <c r="B233" s="99" t="n">
        <f aca="false">E185</f>
        <v>17960</v>
      </c>
      <c r="C233" s="130"/>
      <c r="D233" s="130"/>
      <c r="E233" s="99" t="n">
        <f aca="false">A188</f>
        <v>0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1458.33</v>
      </c>
      <c r="B240" s="99" t="n">
        <f aca="false">B68</f>
        <v>222.916666666667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1781.23666666667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453" t="n">
        <f aca="false">(E182-B182)-(B201-B182-A185)</f>
        <v>1634.28323273547</v>
      </c>
      <c r="C254" s="194"/>
      <c r="D254" s="195" t="s">
        <v>213</v>
      </c>
      <c r="E254" s="195"/>
      <c r="F254" s="196" t="n">
        <f aca="false">F261+F267+F269+B270+B271</f>
        <v>267.5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1466.77323273547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0.024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0.089</v>
      </c>
      <c r="C260" s="43"/>
      <c r="D260" s="163" t="s">
        <v>212</v>
      </c>
      <c r="E260" s="163"/>
      <c r="F260" s="143" t="n">
        <f aca="false">B254</f>
        <v>1634.28323273547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0.01</v>
      </c>
      <c r="C261" s="32"/>
      <c r="D261" s="163" t="s">
        <v>218</v>
      </c>
      <c r="E261" s="163"/>
      <c r="F261" s="148" t="n">
        <f aca="false">B68*1.2</f>
        <v>267.5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1466.77323273547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62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0</v>
      </c>
      <c r="E32" s="222"/>
      <c r="F32" s="63"/>
      <c r="G32" s="223" t="s">
        <v>241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386</v>
      </c>
      <c r="C38" s="219"/>
      <c r="D38" s="100" t="n">
        <v>500.0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139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50.0</v>
      </c>
      <c r="B41" s="237" t="n">
        <f aca="false">IF(B38="YES", D38+A41, D38)</f>
        <v>500</v>
      </c>
      <c r="C41" s="237"/>
      <c r="D41" s="100" t="n">
        <v>12.0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252</v>
      </c>
      <c r="B43" s="236" t="s">
        <v>253</v>
      </c>
      <c r="C43" s="226"/>
      <c r="D43" s="236" t="s">
        <v>257</v>
      </c>
      <c r="E43" s="239"/>
      <c r="F43" s="63"/>
      <c r="G43" s="63" t="s">
        <v>254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1.0</v>
      </c>
      <c r="B44" s="100" t="n">
        <v>1.0</v>
      </c>
      <c r="C44" s="100"/>
      <c r="D44" s="278" t="n">
        <f aca="false">A44+B44</f>
        <v>1</v>
      </c>
      <c r="E44" s="278"/>
      <c r="F44" s="63"/>
      <c r="G44" s="63" t="s">
        <v>255</v>
      </c>
      <c r="H44" s="234" t="n">
        <f aca="false">((A41*(B35-1))+D32)/B35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272</v>
      </c>
      <c r="B46" s="226"/>
      <c r="C46" s="226"/>
      <c r="D46" s="226"/>
      <c r="E46" s="239"/>
      <c r="F46" s="63"/>
      <c r="G46" s="63" t="s">
        <v>260</v>
      </c>
      <c r="H46" s="234" t="n">
        <f aca="false">H43</f>
        <v>501</v>
      </c>
      <c r="I46" s="234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501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84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273</v>
      </c>
      <c r="D58" s="211"/>
      <c r="E58" s="212"/>
      <c r="F58" s="63"/>
      <c r="G58" s="210" t="s">
        <v>85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274</v>
      </c>
      <c r="B60" s="211" t="n">
        <f aca="false">E19</f>
        <v>26949.996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37405</v>
      </c>
      <c r="C61" s="211"/>
      <c r="D61" s="211"/>
      <c r="E61" s="212"/>
      <c r="F61" s="63"/>
      <c r="G61" s="210" t="s">
        <v>14</v>
      </c>
      <c r="H61" s="290" t="n">
        <f aca="false">G18</f>
        <v>37405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1886.49972</v>
      </c>
      <c r="C64" s="211" t="n">
        <v>10000</v>
      </c>
      <c r="D64" s="290" t="n">
        <f aca="false">B64</f>
        <v>1886.49972</v>
      </c>
      <c r="E64" s="212"/>
      <c r="F64" s="63"/>
      <c r="G64" s="284" t="s">
        <v>90</v>
      </c>
      <c r="H64" s="129" t="n">
        <f aca="false">H61*H63</f>
        <v>2618.35</v>
      </c>
      <c r="I64" s="211"/>
      <c r="J64" s="290" t="n">
        <f aca="false">H64</f>
        <v>2618.35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11"/>
      <c r="E65" s="212"/>
      <c r="F65" s="63"/>
      <c r="G65" s="291" t="s">
        <v>91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B60*B66</f>
        <v>269.49996</v>
      </c>
      <c r="C67" s="211"/>
      <c r="D67" s="290"/>
      <c r="E67" s="212"/>
      <c r="F67" s="63"/>
      <c r="G67" s="284" t="s">
        <v>93</v>
      </c>
      <c r="H67" s="129" t="n">
        <f aca="false">H61*H66</f>
        <v>187.025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200.0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5.0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60</v>
      </c>
      <c r="C73" s="211"/>
      <c r="D73" s="290" t="n">
        <f aca="false">B73+B71</f>
        <v>260</v>
      </c>
      <c r="E73" s="212"/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0.0</v>
      </c>
      <c r="C74" s="211"/>
      <c r="D74" s="211"/>
      <c r="E74" s="212"/>
      <c r="F74" s="63"/>
      <c r="G74" s="291" t="s">
        <v>277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0.0</v>
      </c>
      <c r="C75" s="211" t="n">
        <f aca="false">IF(G18&gt;40000, 325, 0)</f>
        <v>0</v>
      </c>
      <c r="D75" s="211"/>
      <c r="E75" s="212"/>
      <c r="F75" s="63"/>
      <c r="G75" s="294" t="s">
        <v>278</v>
      </c>
      <c r="H75" s="298" t="n">
        <f aca="false">IF(G18&gt;40000, 325, 0)</f>
        <v>0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12.5</v>
      </c>
      <c r="I76" s="211"/>
      <c r="J76" s="290" t="n">
        <f aca="false">H76</f>
        <v>12.5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280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281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200.0</v>
      </c>
      <c r="C79" s="211"/>
      <c r="D79" s="290" t="n">
        <f aca="false">B79</f>
        <v>200</v>
      </c>
      <c r="E79" s="212"/>
      <c r="F79" s="63"/>
      <c r="G79" s="294" t="s">
        <v>100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200.0</v>
      </c>
      <c r="C80" s="211"/>
      <c r="D80" s="290" t="n">
        <f aca="false">B80</f>
        <v>200</v>
      </c>
      <c r="E80" s="212"/>
      <c r="F80" s="63"/>
      <c r="G80" s="300" t="s">
        <v>101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3213.16638666667</v>
      </c>
      <c r="C81" s="211"/>
      <c r="D81" s="211"/>
      <c r="E81" s="212"/>
      <c r="F81" s="63"/>
      <c r="G81" s="302" t="s">
        <v>102</v>
      </c>
      <c r="H81" s="303" t="n">
        <f aca="false">SUM(J64:J80)</f>
        <v>4244.85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267.763865555556</v>
      </c>
      <c r="C82" s="211"/>
      <c r="D82" s="211"/>
      <c r="E82" s="212"/>
      <c r="F82" s="63"/>
      <c r="G82" s="210" t="s">
        <v>103</v>
      </c>
      <c r="H82" s="299" t="n">
        <f aca="false">H81/H29</f>
        <v>353.7375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H46</f>
        <v>501</v>
      </c>
      <c r="C83" s="211"/>
      <c r="D83" s="211"/>
      <c r="E83" s="212"/>
      <c r="F83" s="63"/>
      <c r="G83" s="304" t="s">
        <v>104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((B83*(H29)+B81))*1.2</f>
        <v>11070.199664</v>
      </c>
      <c r="C85" s="211"/>
      <c r="D85" s="211"/>
      <c r="E85" s="212"/>
      <c r="F85" s="63"/>
      <c r="G85" s="287" t="s">
        <v>114</v>
      </c>
      <c r="H85" s="127" t="n">
        <f aca="false">((H83*(H27+H28))+H81)*1.2</f>
        <v>12308.22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(((B83*(H29))+B81)/(1-B70))*B70</f>
        <v>78.1478394997983</v>
      </c>
      <c r="C86" s="211"/>
      <c r="D86" s="211"/>
      <c r="E86" s="212"/>
      <c r="F86" s="63"/>
      <c r="G86" s="210" t="s">
        <v>115</v>
      </c>
      <c r="H86" s="299" t="n">
        <f aca="false">(((H83*(H27+H28))+H81)/(1-H70))*H70</f>
        <v>86.8873941105285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11148.3475034998</v>
      </c>
      <c r="C87" s="211"/>
      <c r="D87" s="211"/>
      <c r="E87" s="212"/>
      <c r="F87" s="63"/>
      <c r="G87" s="284" t="s">
        <v>116</v>
      </c>
      <c r="H87" s="129" t="n">
        <f aca="false">IF(H110="YES",((H85+H86)-A151-K114),((H85+H86)-A151))</f>
        <v>12295.1173941105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6" t="n">
        <f aca="false">IF(B99=Z102,(((H44*B35)+(H44*B35)*(B105/100))/(B58))*1.2,(((H44*B35)+(H44*B35)*(B105/100))/(B57+B58))*1.2)</f>
        <v>0</v>
      </c>
      <c r="C89" s="211"/>
      <c r="D89" s="211"/>
      <c r="E89" s="212"/>
      <c r="F89" s="63"/>
      <c r="G89" s="302" t="s">
        <v>117</v>
      </c>
      <c r="H89" s="303" t="n">
        <f aca="false">(A41+(A41*H105))*1.2</f>
        <v>0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IF(B99=Z102, (B87-D105)/(B58), B87/(B57+B58))</f>
        <v>929.028958624983</v>
      </c>
      <c r="C90" s="211"/>
      <c r="D90" s="211"/>
      <c r="E90" s="212"/>
      <c r="F90" s="63"/>
      <c r="G90" s="307" t="s">
        <v>118</v>
      </c>
      <c r="H90" s="308" t="n">
        <f aca="false">IF(H99=AE98, (H87-J105)/(H58), H87/(H57+H58))</f>
        <v>1024.59311617588</v>
      </c>
      <c r="I90" s="211"/>
      <c r="J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929.028958624983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1024.59311617588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282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</v>
      </c>
      <c r="E99" s="103"/>
      <c r="F99" s="63"/>
      <c r="G99" s="216" t="s">
        <v>284</v>
      </c>
      <c r="H99" s="311" t="s">
        <v>128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2" t="n">
        <f aca="false">199.99*1.2</f>
        <v>239.99</v>
      </c>
      <c r="B102" s="103" t="n">
        <v>200.0</v>
      </c>
      <c r="C102" s="103"/>
      <c r="D102" s="103" t="n">
        <v>200.0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261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262</v>
      </c>
      <c r="AA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263</v>
      </c>
      <c r="AA104" s="63"/>
    </row>
    <row r="105" customFormat="false" ht="18.75" hidden="false" customHeight="true" outlineLevel="0" collapsed="false">
      <c r="A105" s="218" t="s">
        <v>390</v>
      </c>
      <c r="B105" s="311" t="n">
        <v>0.0</v>
      </c>
      <c r="C105" s="311"/>
      <c r="D105" s="103" t="n">
        <v>200.0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264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290</v>
      </c>
      <c r="B108" s="213" t="n">
        <v>0.0</v>
      </c>
      <c r="C108" s="213"/>
      <c r="D108" s="213" t="n">
        <v>0.0</v>
      </c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291</v>
      </c>
      <c r="B110" s="218" t="s">
        <v>390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239.988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(E118+E117)-D115</f>
        <v>7239.988</v>
      </c>
      <c r="F119" s="63"/>
      <c r="G119" s="314" t="s">
        <v>292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0.0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82</v>
      </c>
      <c r="H126" s="211" t="s">
        <v>83</v>
      </c>
      <c r="I126" s="211"/>
      <c r="J126" s="211" t="s">
        <v>85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929.028958624983</v>
      </c>
      <c r="B128" s="320" t="n">
        <f aca="false">IF(A105="YES", B89, 0)</f>
        <v>0</v>
      </c>
      <c r="C128" s="325"/>
      <c r="D128" s="320" t="n">
        <f aca="false">B91</f>
        <v>929.028958624983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296</v>
      </c>
      <c r="H129" s="327" t="s">
        <v>297</v>
      </c>
      <c r="I129" s="327"/>
      <c r="J129" s="327" t="s">
        <v>298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332" t="n">
        <f aca="false">H90</f>
        <v>1024.59311617588</v>
      </c>
      <c r="H130" s="174" t="n">
        <f aca="false">IF(G105="YES", H89*H57, 0)</f>
        <v>0</v>
      </c>
      <c r="I130" s="174"/>
      <c r="J130" s="333" t="n">
        <f aca="false">H91</f>
        <v>1024.59311617588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8361.26062762485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1024.59311617588</v>
      </c>
      <c r="H133" s="99" t="n">
        <f aca="false">IF(G105="YES", H89*H57, 0)</f>
        <v>0</v>
      </c>
      <c r="I133" s="217"/>
      <c r="J133" s="181" t="n">
        <f aca="false">H91*H57</f>
        <v>1024.59311617588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8361.26062762485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929.028958624983</v>
      </c>
      <c r="B137" s="38" t="n">
        <f aca="false">IF(A105="YES", B89, 0)</f>
        <v>0</v>
      </c>
      <c r="C137" s="316"/>
      <c r="D137" s="38" t="n">
        <f aca="false">B91</f>
        <v>929.028958624983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239.988</v>
      </c>
      <c r="H139" s="99" t="n">
        <f aca="false">H67</f>
        <v>187.025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26.9316</v>
      </c>
      <c r="B140" s="342" t="n">
        <f aca="false">G18*0.000002 *1.2*100</f>
        <v>8.9772</v>
      </c>
      <c r="C140" s="316"/>
      <c r="D140" s="342" t="n">
        <f aca="false">A140+B140</f>
        <v>35.9088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H89*0.1, 0)</f>
        <v>0</v>
      </c>
      <c r="H142" s="99" t="n">
        <f aca="false">G102-100</f>
        <v>139.988</v>
      </c>
      <c r="I142" s="99"/>
      <c r="J142" s="99" t="n">
        <f aca="false">(H139+J139+G142+H142)-H145</f>
        <v>1407.013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239.988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269.49996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769.48996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1024.59311617588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929.028958624983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125</v>
      </c>
      <c r="B167" s="353" t="s">
        <v>39</v>
      </c>
      <c r="C167" s="354"/>
      <c r="D167" s="353" t="s">
        <v>83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284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118</v>
      </c>
      <c r="B170" s="353" t="s">
        <v>294</v>
      </c>
      <c r="C170" s="354"/>
      <c r="D170" s="353" t="s">
        <v>295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929.028958624983</v>
      </c>
      <c r="B171" s="354" t="n">
        <f aca="false">IF(A105="YES", B89, 0)</f>
        <v>0</v>
      </c>
      <c r="C171" s="357"/>
      <c r="D171" s="354" t="n">
        <f aca="false">B91</f>
        <v>929.028958624983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6"/>
      <c r="D173" s="358" t="s">
        <v>300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Terminal pause with 9 down </v>
      </c>
      <c r="B174" s="99" t="n">
        <f aca="false">B90*B57</f>
        <v>8361.26062762485</v>
      </c>
      <c r="C174" s="352"/>
      <c r="D174" s="99" t="n">
        <f aca="false">IF(A105="YES", B89*B57, 0)</f>
        <v>0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304</v>
      </c>
      <c r="B176" s="163" t="s">
        <v>305</v>
      </c>
      <c r="C176" s="359"/>
      <c r="D176" s="237" t="s">
        <v>203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8361.26062762485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2" t="s">
        <v>294</v>
      </c>
      <c r="C179" s="352"/>
      <c r="D179" s="352" t="s">
        <v>295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929.028958624983</v>
      </c>
      <c r="B180" s="99" t="n">
        <f aca="false">IF(A105="YES", B89, 0)</f>
        <v>0</v>
      </c>
      <c r="C180" s="352"/>
      <c r="D180" s="99" t="n">
        <f aca="false">B91</f>
        <v>929.028958624983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99"/>
      <c r="D182" s="363" t="s">
        <v>72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26.9316</v>
      </c>
      <c r="B183" s="364" t="n">
        <f aca="false">G18*0.000002 *1.2*100</f>
        <v>8.9772</v>
      </c>
      <c r="C183" s="352"/>
      <c r="D183" s="364" t="n">
        <f aca="false">A183+B183</f>
        <v>35.9088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99"/>
      <c r="D185" s="363" t="s">
        <v>280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239.988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269.49996</v>
      </c>
      <c r="B191" s="99" t="n">
        <f aca="false">B102</f>
        <v>400</v>
      </c>
      <c r="C191" s="99"/>
      <c r="D191" s="99" t="n">
        <f aca="false">IF(A105="YES", (A38/100*B105)*B125, 0)*0.001</f>
        <v>0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(E118/1.2)-100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769.48996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209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210</v>
      </c>
      <c r="B203" s="368" t="n">
        <f aca="false">B209</f>
        <v>0.065</v>
      </c>
      <c r="C203" s="320" t="s">
        <v>212</v>
      </c>
      <c r="D203" s="369" t="n">
        <f aca="false">D64</f>
        <v>1886.49972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213</v>
      </c>
      <c r="B205" s="320" t="n">
        <f aca="false">B213</f>
        <v>269.49996</v>
      </c>
      <c r="C205" s="319" t="s">
        <v>214</v>
      </c>
      <c r="D205" s="369" t="n">
        <f aca="false">B219+E215+B215+B217</f>
        <v>339.99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215</v>
      </c>
      <c r="B207" s="320" t="n">
        <f aca="false">E217</f>
        <v>1956.98976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210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212</v>
      </c>
      <c r="B211" s="100" t="n">
        <f aca="false">D64</f>
        <v>1886.49972</v>
      </c>
      <c r="C211" s="374" t="s">
        <v>218</v>
      </c>
      <c r="D211" s="316"/>
      <c r="E211" s="375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218</v>
      </c>
      <c r="B213" s="100" t="n">
        <f aca="false">B67</f>
        <v>269.49996</v>
      </c>
      <c r="C213" s="335" t="s">
        <v>326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326</v>
      </c>
      <c r="B215" s="237" t="n">
        <f aca="false">B191*E213*100</f>
        <v>40</v>
      </c>
      <c r="C215" s="335" t="s">
        <v>220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327</v>
      </c>
      <c r="B217" s="237" t="n">
        <f aca="false">B78-(B78*(E213*100))</f>
        <v>200</v>
      </c>
      <c r="C217" s="335" t="s">
        <v>215</v>
      </c>
      <c r="D217" s="316"/>
      <c r="E217" s="33" t="n">
        <f aca="false">(B211-B205+D205)</f>
        <v>1956.98976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328</v>
      </c>
      <c r="B219" s="340" t="n">
        <f aca="false">D191/0.1</f>
        <v>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329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222</v>
      </c>
      <c r="B223" s="100" t="n">
        <f aca="false">B71</f>
        <v>200</v>
      </c>
      <c r="C223" s="335" t="s">
        <v>223</v>
      </c>
      <c r="D223" s="342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224</v>
      </c>
      <c r="D224" s="342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225</v>
      </c>
      <c r="B225" s="380" t="n">
        <f aca="false">B68</f>
        <v>0.0075</v>
      </c>
      <c r="C225" s="335" t="s">
        <v>226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227</v>
      </c>
      <c r="D226" s="342"/>
      <c r="E226" s="33" t="n">
        <f aca="false">B86</f>
        <v>78.1478394997983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228</v>
      </c>
      <c r="B227" s="100" t="n">
        <f aca="false">B79</f>
        <v>200</v>
      </c>
      <c r="C227" s="381" t="s">
        <v>330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229</v>
      </c>
      <c r="B229" s="100" t="n">
        <f aca="false">B80</f>
        <v>200</v>
      </c>
      <c r="C229" s="385" t="s">
        <v>331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62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50</v>
      </c>
      <c r="E32" s="222"/>
      <c r="F32" s="63"/>
      <c r="G32" s="223" t="s">
        <v>241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386</v>
      </c>
      <c r="C38" s="219"/>
      <c r="D38" s="100" t="n">
        <v>500.0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139</v>
      </c>
      <c r="E40" s="212"/>
      <c r="F40" s="63"/>
      <c r="G40" s="386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50.0</v>
      </c>
      <c r="B41" s="237" t="n">
        <f aca="false">IF(B38="YES", D38+A41, D38)</f>
        <v>550</v>
      </c>
      <c r="C41" s="237"/>
      <c r="D41" s="100" t="n">
        <v>12.0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252</v>
      </c>
      <c r="B43" s="236" t="s">
        <v>253</v>
      </c>
      <c r="C43" s="226"/>
      <c r="D43" s="236" t="s">
        <v>257</v>
      </c>
      <c r="E43" s="239"/>
      <c r="F43" s="63"/>
      <c r="G43" s="63" t="s">
        <v>254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1.0</v>
      </c>
      <c r="B44" s="100" t="n">
        <v>1.0</v>
      </c>
      <c r="C44" s="100"/>
      <c r="D44" s="278" t="n">
        <f aca="false">A44+B44</f>
        <v>2</v>
      </c>
      <c r="E44" s="278"/>
      <c r="F44" s="63"/>
      <c r="G44" s="63" t="s">
        <v>255</v>
      </c>
      <c r="H44" s="234" t="n">
        <f aca="false">((A41*(B35-1))+D32)/B35</f>
        <v>50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272</v>
      </c>
      <c r="B46" s="226"/>
      <c r="C46" s="226"/>
      <c r="D46" s="226"/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63"/>
      <c r="H48" s="234" t="n">
        <f aca="false">(A41*(B58+B57))</f>
        <v>600</v>
      </c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84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273</v>
      </c>
      <c r="D58" s="211"/>
      <c r="E58" s="212"/>
      <c r="F58" s="63"/>
      <c r="G58" s="210" t="s">
        <v>85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274</v>
      </c>
      <c r="B60" s="211" t="n">
        <f aca="false">E19</f>
        <v>26949.996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37405</v>
      </c>
      <c r="C61" s="211"/>
      <c r="D61" s="211"/>
      <c r="E61" s="212"/>
      <c r="F61" s="63"/>
      <c r="G61" s="210" t="s">
        <v>14</v>
      </c>
      <c r="H61" s="290" t="n">
        <f aca="false">G18</f>
        <v>37405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1886.49972</v>
      </c>
      <c r="C64" s="211"/>
      <c r="D64" s="290" t="n">
        <f aca="false">B64</f>
        <v>1886.49972</v>
      </c>
      <c r="E64" s="212"/>
      <c r="F64" s="63"/>
      <c r="G64" s="284" t="s">
        <v>90</v>
      </c>
      <c r="H64" s="129" t="n">
        <f aca="false">H61*H63</f>
        <v>2618.35</v>
      </c>
      <c r="I64" s="211"/>
      <c r="J64" s="290" t="n">
        <f aca="false">H64</f>
        <v>2618.35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11"/>
      <c r="E65" s="212"/>
      <c r="F65" s="63"/>
      <c r="G65" s="291" t="s">
        <v>91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B60*B66</f>
        <v>374.05</v>
      </c>
      <c r="C67" s="211"/>
      <c r="D67" s="290"/>
      <c r="E67" s="212"/>
      <c r="F67" s="63"/>
      <c r="G67" s="284" t="s">
        <v>93</v>
      </c>
      <c r="H67" s="129" t="n">
        <f aca="false">H61*H66</f>
        <v>187.025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200.0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5.0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60</v>
      </c>
      <c r="C73" s="211"/>
      <c r="D73" s="290" t="n">
        <f aca="false">B73+B71</f>
        <v>260</v>
      </c>
      <c r="E73" s="212"/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0.0</v>
      </c>
      <c r="C74" s="211"/>
      <c r="D74" s="211"/>
      <c r="E74" s="212"/>
      <c r="F74" s="63"/>
      <c r="G74" s="291" t="s">
        <v>277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0.0</v>
      </c>
      <c r="C75" s="211"/>
      <c r="D75" s="211"/>
      <c r="E75" s="212"/>
      <c r="F75" s="63"/>
      <c r="G75" s="294" t="s">
        <v>278</v>
      </c>
      <c r="H75" s="298" t="n">
        <f aca="false">IF(G18&gt;40000, 325, 0)</f>
        <v>0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12.5</v>
      </c>
      <c r="I76" s="211"/>
      <c r="J76" s="290" t="n">
        <f aca="false">H76</f>
        <v>12.5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280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281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200.0</v>
      </c>
      <c r="C79" s="211"/>
      <c r="D79" s="290" t="n">
        <f aca="false">B79</f>
        <v>200</v>
      </c>
      <c r="E79" s="212"/>
      <c r="F79" s="63"/>
      <c r="G79" s="294" t="s">
        <v>100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200.0</v>
      </c>
      <c r="C80" s="211"/>
      <c r="D80" s="290" t="n">
        <f aca="false">B80</f>
        <v>200</v>
      </c>
      <c r="E80" s="212"/>
      <c r="F80" s="63"/>
      <c r="G80" s="300" t="s">
        <v>101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3213.16638666667</v>
      </c>
      <c r="C81" s="211"/>
      <c r="D81" s="211"/>
      <c r="E81" s="212"/>
      <c r="F81" s="63"/>
      <c r="G81" s="302" t="s">
        <v>102</v>
      </c>
      <c r="H81" s="303" t="n">
        <f aca="false">SUM(J64:J80)</f>
        <v>4244.85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267.763865555556</v>
      </c>
      <c r="C82" s="211"/>
      <c r="D82" s="211"/>
      <c r="E82" s="212"/>
      <c r="F82" s="63"/>
      <c r="G82" s="210" t="s">
        <v>103</v>
      </c>
      <c r="H82" s="299" t="n">
        <f aca="false">H81/H29</f>
        <v>353.7375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H46</f>
        <v>501</v>
      </c>
      <c r="C83" s="211"/>
      <c r="D83" s="211"/>
      <c r="E83" s="212"/>
      <c r="F83" s="63"/>
      <c r="G83" s="304" t="s">
        <v>104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((B83*(H29)+B81))</f>
        <v>9225.16638666667</v>
      </c>
      <c r="C85" s="211"/>
      <c r="D85" s="211"/>
      <c r="E85" s="212"/>
      <c r="F85" s="63"/>
      <c r="G85" s="287" t="s">
        <v>114</v>
      </c>
      <c r="H85" s="127" t="n">
        <f aca="false">((H83*(H27+H28))+H81)*1.2</f>
        <v>12308.22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(B85/(1-B70))*B70</f>
        <v>78.1478394997983</v>
      </c>
      <c r="C86" s="211"/>
      <c r="D86" s="211"/>
      <c r="E86" s="212"/>
      <c r="F86" s="63"/>
      <c r="G86" s="210" t="s">
        <v>115</v>
      </c>
      <c r="H86" s="299" t="n">
        <f aca="false">(((H83*(H27+H28))+H81)/(1-H70))*H70</f>
        <v>86.8873941105285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9303.31422616647</v>
      </c>
      <c r="C87" s="211"/>
      <c r="D87" s="211"/>
      <c r="E87" s="212"/>
      <c r="F87" s="63"/>
      <c r="G87" s="284" t="s">
        <v>116</v>
      </c>
      <c r="H87" s="129" t="n">
        <f aca="false">IF(H110="YES",((H85+H86)-A151-K114),((H85+H86)-A151))</f>
        <v>12295.1173941105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6" t="n">
        <f aca="false">IF(B99=Z102,(((H44*B35)+(H44*B35)*(B105/100))/(B58)),(((H44*B35)+(H44*B35)*(B105/100))/(B57+B58)))</f>
        <v>60</v>
      </c>
      <c r="C89" s="211" t="s">
        <v>4</v>
      </c>
      <c r="D89" s="211"/>
      <c r="E89" s="212"/>
      <c r="F89" s="63"/>
      <c r="G89" s="302" t="s">
        <v>117</v>
      </c>
      <c r="H89" s="303" t="n">
        <f aca="false">(A41+(A41*H105))*1.2</f>
        <v>72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IF(B99=Z102, (B87-D105)/(B58), B87/(B57+B58))</f>
        <v>775.276185513872</v>
      </c>
      <c r="C90" s="211"/>
      <c r="D90" s="211"/>
      <c r="E90" s="212"/>
      <c r="F90" s="63"/>
      <c r="G90" s="307" t="s">
        <v>118</v>
      </c>
      <c r="H90" s="308" t="n">
        <f aca="false">IF(H99=AE98, (H87-J105)/(H58), H87/(H57+H58))</f>
        <v>1024.59311617588</v>
      </c>
      <c r="I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835.276185513872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1096.59311617588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0</v>
      </c>
      <c r="E99" s="103"/>
      <c r="F99" s="63"/>
      <c r="G99" s="216" t="s">
        <v>284</v>
      </c>
      <c r="H99" s="311" t="s">
        <v>128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2" t="n">
        <v>199.99</v>
      </c>
      <c r="B102" s="103" t="n">
        <v>200.0</v>
      </c>
      <c r="C102" s="103"/>
      <c r="D102" s="103" t="n">
        <v>200.0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261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262</v>
      </c>
      <c r="AA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263</v>
      </c>
      <c r="AA104" s="63"/>
    </row>
    <row r="105" customFormat="false" ht="18.75" hidden="false" customHeight="true" outlineLevel="0" collapsed="false">
      <c r="A105" s="218" t="s">
        <v>386</v>
      </c>
      <c r="B105" s="311" t="n">
        <v>20.0</v>
      </c>
      <c r="C105" s="311"/>
      <c r="D105" s="103" t="n">
        <v>200.0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264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290</v>
      </c>
      <c r="B108" s="213" t="n">
        <v>0.0</v>
      </c>
      <c r="C108" s="213"/>
      <c r="D108" s="213" t="n">
        <v>0.0</v>
      </c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291</v>
      </c>
      <c r="B110" s="218" t="s">
        <v>390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((E118*1.2)+E117)-E114</f>
        <v>-3760.012</v>
      </c>
      <c r="F119" s="63"/>
      <c r="G119" s="314" t="s">
        <v>292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0.0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82</v>
      </c>
      <c r="H126" s="211" t="s">
        <v>83</v>
      </c>
      <c r="I126" s="211"/>
      <c r="J126" s="211" t="s">
        <v>85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775.276185513872</v>
      </c>
      <c r="B128" s="320" t="n">
        <f aca="false">IF(A105="YES", B89, 0)</f>
        <v>60</v>
      </c>
      <c r="C128" s="325"/>
      <c r="D128" s="320" t="n">
        <f aca="false">B91</f>
        <v>835.276185513872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296</v>
      </c>
      <c r="H129" s="327" t="s">
        <v>297</v>
      </c>
      <c r="I129" s="327"/>
      <c r="J129" s="327" t="s">
        <v>298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332" t="n">
        <f aca="false">H90</f>
        <v>1024.59311617588</v>
      </c>
      <c r="H130" s="174" t="n">
        <f aca="false">IF(G105="YES", H89*H57, 0)</f>
        <v>72</v>
      </c>
      <c r="I130" s="174"/>
      <c r="J130" s="333" t="n">
        <f aca="false">H91</f>
        <v>1096.59311617588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6977.48566962485</v>
      </c>
      <c r="C131" s="316"/>
      <c r="D131" s="38" t="n">
        <f aca="false">IF(A105="YES", B89*B57, 0)</f>
        <v>540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1024.59311617588</v>
      </c>
      <c r="H133" s="99" t="n">
        <f aca="false">IF(G105="YES", H89*H57, 0)</f>
        <v>72</v>
      </c>
      <c r="I133" s="217"/>
      <c r="J133" s="181" t="n">
        <f aca="false">H91*H57</f>
        <v>1096.59311617588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7517.48566962485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775.276185513872</v>
      </c>
      <c r="B137" s="38" t="n">
        <f aca="false">IF(A105="YES", B89, 0)</f>
        <v>60</v>
      </c>
      <c r="C137" s="316"/>
      <c r="D137" s="38" t="n">
        <f aca="false">B91</f>
        <v>835.276185513872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239.988</v>
      </c>
      <c r="H139" s="99" t="n">
        <f aca="false">H67</f>
        <v>187.025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26.9316</v>
      </c>
      <c r="B140" s="342" t="n">
        <f aca="false">G18*0.000002 *1.2*100</f>
        <v>8.9772</v>
      </c>
      <c r="C140" s="316"/>
      <c r="D140" s="342" t="n">
        <f aca="false">A140+B140</f>
        <v>35.9088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H89*0.1, 0)</f>
        <v>7.2</v>
      </c>
      <c r="H142" s="99" t="n">
        <f aca="false">G102-100</f>
        <v>139.988</v>
      </c>
      <c r="I142" s="99"/>
      <c r="J142" s="99" t="n">
        <f aca="false">(H139+J139+G142+H142)-H145</f>
        <v>1414.213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374.05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886.04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1096.59311617588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835.276185513872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125</v>
      </c>
      <c r="B167" s="353" t="s">
        <v>39</v>
      </c>
      <c r="C167" s="354"/>
      <c r="D167" s="353" t="s">
        <v>83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284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118</v>
      </c>
      <c r="B170" s="353" t="s">
        <v>294</v>
      </c>
      <c r="C170" s="354"/>
      <c r="D170" s="353" t="s">
        <v>295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775.276185513872</v>
      </c>
      <c r="B171" s="354" t="n">
        <f aca="false">IF(A105="YES", B89, 0)</f>
        <v>60</v>
      </c>
      <c r="C171" s="357"/>
      <c r="D171" s="354" t="n">
        <f aca="false">B91</f>
        <v>835.276185513872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6"/>
      <c r="D173" s="358" t="s">
        <v>300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Terminal pause with 9 down </v>
      </c>
      <c r="B174" s="99" t="n">
        <f aca="false">B90*B57</f>
        <v>6977.48566962485</v>
      </c>
      <c r="C174" s="352"/>
      <c r="D174" s="99" t="n">
        <f aca="false">IF(A105="YES", B89*B57, 0)</f>
        <v>540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304</v>
      </c>
      <c r="B176" s="163" t="s">
        <v>305</v>
      </c>
      <c r="C176" s="359"/>
      <c r="D176" s="237" t="s">
        <v>203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7517.48566962485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2" t="s">
        <v>294</v>
      </c>
      <c r="C179" s="352"/>
      <c r="D179" s="352" t="s">
        <v>295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775.276185513872</v>
      </c>
      <c r="B180" s="99" t="n">
        <f aca="false">IF(A105="YES", B89, 0)</f>
        <v>60</v>
      </c>
      <c r="C180" s="352"/>
      <c r="D180" s="99" t="n">
        <f aca="false">B91</f>
        <v>835.276185513872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99"/>
      <c r="D182" s="363" t="s">
        <v>72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26.9316</v>
      </c>
      <c r="B183" s="364" t="n">
        <f aca="false">G18*0.000002 *1.2*100</f>
        <v>8.9772</v>
      </c>
      <c r="C183" s="352"/>
      <c r="D183" s="364" t="n">
        <f aca="false">A183+B183</f>
        <v>35.9088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99"/>
      <c r="D185" s="363" t="s">
        <v>280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199.99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374.05</v>
      </c>
      <c r="B191" s="99" t="n">
        <f aca="false">B102</f>
        <v>400</v>
      </c>
      <c r="C191" s="99"/>
      <c r="D191" s="99" t="n">
        <f aca="false">IF(A105="YES", (A38/100*B105)*B125, 0)*0.001</f>
        <v>12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E118-100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886.04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209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210</v>
      </c>
      <c r="B203" s="368" t="n">
        <f aca="false">H29</f>
        <v>12</v>
      </c>
      <c r="C203" s="320" t="s">
        <v>212</v>
      </c>
      <c r="D203" s="369" t="n">
        <f aca="false">D64</f>
        <v>1886.49972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213</v>
      </c>
      <c r="B205" s="320" t="n">
        <f aca="false">B213</f>
        <v>374.05</v>
      </c>
      <c r="C205" s="319" t="s">
        <v>214</v>
      </c>
      <c r="D205" s="369" t="n">
        <f aca="false">B219+E215+B215+B217</f>
        <v>459.99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215</v>
      </c>
      <c r="B207" s="320" t="n">
        <f aca="false">E217</f>
        <v>1972.43972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210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212</v>
      </c>
      <c r="B211" s="100" t="n">
        <f aca="false">D64</f>
        <v>1886.49972</v>
      </c>
      <c r="C211" s="374" t="s">
        <v>218</v>
      </c>
      <c r="D211" s="316"/>
      <c r="E211" s="375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218</v>
      </c>
      <c r="B213" s="100" t="n">
        <f aca="false">B67</f>
        <v>374.05</v>
      </c>
      <c r="C213" s="335" t="s">
        <v>326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326</v>
      </c>
      <c r="B215" s="237" t="n">
        <f aca="false">B191*E213*100</f>
        <v>40</v>
      </c>
      <c r="C215" s="335" t="s">
        <v>220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327</v>
      </c>
      <c r="B217" s="237" t="n">
        <f aca="false">B78-(B78*(E213*100))</f>
        <v>200</v>
      </c>
      <c r="C217" s="335" t="s">
        <v>215</v>
      </c>
      <c r="D217" s="316"/>
      <c r="E217" s="33" t="n">
        <f aca="false">(B211-B205+D205)</f>
        <v>1972.43972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328</v>
      </c>
      <c r="B219" s="340" t="n">
        <f aca="false">D191/0.1</f>
        <v>120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329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222</v>
      </c>
      <c r="B223" s="100" t="n">
        <f aca="false">B71</f>
        <v>200</v>
      </c>
      <c r="C223" s="335" t="s">
        <v>223</v>
      </c>
      <c r="D223" s="342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224</v>
      </c>
      <c r="D224" s="342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225</v>
      </c>
      <c r="B225" s="380" t="n">
        <f aca="false">B68</f>
        <v>0.0075</v>
      </c>
      <c r="C225" s="335" t="s">
        <v>226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227</v>
      </c>
      <c r="D226" s="342"/>
      <c r="E226" s="33" t="n">
        <f aca="false">B86</f>
        <v>78.1478394997983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228</v>
      </c>
      <c r="B227" s="100" t="n">
        <f aca="false">B79</f>
        <v>200</v>
      </c>
      <c r="C227" s="381" t="s">
        <v>330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229</v>
      </c>
      <c r="B229" s="100" t="n">
        <f aca="false">B80</f>
        <v>200</v>
      </c>
      <c r="C229" s="385" t="s">
        <v>331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349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386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7" t="n">
        <v>36.0</v>
      </c>
      <c r="I29" s="386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387</v>
      </c>
      <c r="C30" s="169"/>
      <c r="D30" s="211"/>
      <c r="E30" s="212"/>
      <c r="F30" s="63"/>
      <c r="G30" s="214" t="s">
        <v>32</v>
      </c>
      <c r="H30" s="457" t="n">
        <v>10000.0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66666.66666666667</v>
      </c>
      <c r="I31" s="63"/>
      <c r="J31" s="63"/>
      <c r="K31" s="63" t="n">
        <v>66666.6666666667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8" t="s">
        <v>350</v>
      </c>
      <c r="E32" s="212"/>
      <c r="F32" s="63"/>
      <c r="G32" s="214" t="s">
        <v>36</v>
      </c>
      <c r="I32" s="448" t="n">
        <v>6000.0</v>
      </c>
      <c r="J32" s="63"/>
      <c r="K32" s="63" t="n">
        <v>6000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36</v>
      </c>
      <c r="B33" s="225" t="n">
        <v>10000</v>
      </c>
      <c r="C33" s="226"/>
      <c r="D33" s="459" t="n">
        <f aca="false">H48</f>
        <v>320.052130927544</v>
      </c>
      <c r="E33" s="212"/>
      <c r="F33" s="63"/>
      <c r="G33" s="215" t="s">
        <v>351</v>
      </c>
      <c r="H33" s="460" t="n">
        <f aca="false">E21-E11</f>
        <v>22458.33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370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352</v>
      </c>
      <c r="B35" s="211" t="s">
        <v>353</v>
      </c>
      <c r="C35" s="211"/>
      <c r="D35" s="211" t="s">
        <v>354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270.052130927544</v>
      </c>
      <c r="B36" s="99" t="n">
        <f aca="false">IF(B26="YES", H42, "")</f>
        <v>50</v>
      </c>
      <c r="C36" s="217"/>
      <c r="D36" s="181" t="n">
        <f aca="false">H31</f>
        <v>66666.6666666667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355</v>
      </c>
      <c r="B39" s="211" t="s">
        <v>356</v>
      </c>
      <c r="C39" s="211"/>
      <c r="D39" s="211" t="s">
        <v>357</v>
      </c>
      <c r="E39" s="212"/>
      <c r="F39" s="63"/>
      <c r="G39" s="63" t="s">
        <v>84</v>
      </c>
      <c r="H39" s="234" t="n">
        <f aca="false">H33</f>
        <v>22458.33</v>
      </c>
      <c r="I39" s="234" t="n">
        <f aca="false">(I48*H46)+H44</f>
        <v>57694.31707024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20000</v>
      </c>
      <c r="B40" s="103" t="n">
        <f aca="false">IF(B26="YES",H42,"0")</f>
        <v>50</v>
      </c>
      <c r="C40" s="103"/>
      <c r="D40" s="181" t="n">
        <f aca="false">I32</f>
        <v>6000</v>
      </c>
      <c r="E40" s="212"/>
      <c r="F40" s="63"/>
      <c r="G40" s="63" t="s">
        <v>106</v>
      </c>
      <c r="H40" s="234" t="n">
        <f aca="false">A40/1.2</f>
        <v>16666.6666666667</v>
      </c>
      <c r="I40" s="234" t="n">
        <f aca="false">H39-I39</f>
        <v>-35235.98707024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358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359</v>
      </c>
      <c r="H42" s="234" t="n">
        <f aca="false">(I32/H34)*(C45/100)</f>
        <v>50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360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1"/>
      <c r="C44" s="362" t="s">
        <v>77</v>
      </c>
      <c r="D44" s="362"/>
      <c r="E44" s="212"/>
      <c r="F44" s="63"/>
      <c r="G44" s="63" t="s">
        <v>371</v>
      </c>
      <c r="H44" s="234" t="n">
        <f aca="false">(H40/(1+H41)^(H34+1))</f>
        <v>13647.2071058677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30.0</v>
      </c>
      <c r="B45" s="211"/>
      <c r="C45" s="463" t="n">
        <v>30.0</v>
      </c>
      <c r="D45" s="463"/>
      <c r="E45" s="212"/>
      <c r="F45" s="63"/>
      <c r="G45" s="63" t="s">
        <v>372</v>
      </c>
      <c r="H45" s="234" t="n">
        <f aca="false">(H39-H44)</f>
        <v>8811.12289413229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373</v>
      </c>
      <c r="H46" s="234" t="n">
        <f aca="false">((1-(1/((1+H41)^H34)))/H41)</f>
        <v>32.627488862498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364</v>
      </c>
      <c r="H47" s="234" t="n">
        <f aca="false">H45/H46</f>
        <v>270.052130927544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4" t="s">
        <v>365</v>
      </c>
      <c r="H48" s="234" t="n">
        <f aca="false">IF(B26="YES", H47+H42, H47)</f>
        <v>320.052130927544</v>
      </c>
      <c r="I48" s="234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366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10000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36</v>
      </c>
      <c r="B52" s="74" t="n">
        <f aca="false">H48</f>
        <v>320.052130927544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35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35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35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374</v>
      </c>
      <c r="B60" s="211" t="n">
        <f aca="false">E19</f>
        <v>26949.996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37404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0.105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0.105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0.105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2829.74958</v>
      </c>
      <c r="C64" s="465" t="n">
        <v>10000.0</v>
      </c>
      <c r="D64" s="290" t="n">
        <f aca="false">B64</f>
        <v>2829.74958</v>
      </c>
      <c r="E64" s="466" t="n">
        <f aca="false">D64/(B58+B57)</f>
        <v>78.604155</v>
      </c>
      <c r="F64" s="63"/>
      <c r="G64" s="284" t="s">
        <v>90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90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0.02</v>
      </c>
      <c r="C66" s="467" t="s">
        <v>218</v>
      </c>
      <c r="D66" s="211"/>
      <c r="E66" s="212"/>
      <c r="F66" s="63"/>
      <c r="G66" s="210" t="s">
        <v>92</v>
      </c>
      <c r="H66" s="293" t="n">
        <f aca="false">H65+(H65*0.5*(H29/12-1))</f>
        <v>0.02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0.02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748.08</v>
      </c>
      <c r="C67" s="468" t="s">
        <v>218</v>
      </c>
      <c r="D67" s="469"/>
      <c r="E67" s="212"/>
      <c r="F67" s="63"/>
      <c r="G67" s="284" t="s">
        <v>93</v>
      </c>
      <c r="H67" s="129" t="n">
        <f aca="false">(H61*H66)/1.2</f>
        <v>0</v>
      </c>
      <c r="I67" s="211"/>
      <c r="J67" s="290"/>
      <c r="K67" s="212"/>
      <c r="L67" s="63"/>
      <c r="M67" s="284" t="s">
        <v>93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70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1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200.0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5.0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180</v>
      </c>
      <c r="C73" s="211"/>
      <c r="D73" s="472" t="n">
        <f aca="false">B73+B71</f>
        <v>380</v>
      </c>
      <c r="E73" s="212" t="s">
        <v>224</v>
      </c>
      <c r="F73" s="63"/>
      <c r="G73" s="284" t="s">
        <v>99</v>
      </c>
      <c r="H73" s="129" t="n">
        <f aca="false">H72*H29</f>
        <v>162</v>
      </c>
      <c r="I73" s="211"/>
      <c r="J73" s="290" t="n">
        <f aca="false">H73+H71</f>
        <v>322</v>
      </c>
      <c r="K73" s="212"/>
      <c r="L73" s="63"/>
      <c r="M73" s="284" t="s">
        <v>99</v>
      </c>
      <c r="N73" s="129" t="n">
        <f aca="false">N72*H29</f>
        <v>162</v>
      </c>
      <c r="O73" s="211"/>
      <c r="P73" s="290" t="n">
        <f aca="false">N73+N71</f>
        <v>322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0.0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0.0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343.75</v>
      </c>
      <c r="I76" s="211"/>
      <c r="J76" s="290" t="n">
        <f aca="false">H76</f>
        <v>343.75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0</v>
      </c>
      <c r="C77" s="473"/>
      <c r="D77" s="290" t="n">
        <f aca="false">B77</f>
        <v>0</v>
      </c>
      <c r="E77" s="466" t="n">
        <f aca="false">D77/(B58+B57)</f>
        <v>0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0</v>
      </c>
      <c r="C78" s="473"/>
      <c r="D78" s="290" t="n">
        <f aca="false">B78</f>
        <v>0</v>
      </c>
      <c r="E78" s="466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200.0</v>
      </c>
      <c r="C79" s="473"/>
      <c r="D79" s="290" t="n">
        <f aca="false">B79</f>
        <v>200</v>
      </c>
      <c r="E79" s="466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200.0</v>
      </c>
      <c r="C80" s="473"/>
      <c r="D80" s="290" t="n">
        <f aca="false">B80</f>
        <v>200</v>
      </c>
      <c r="E80" s="466" t="n">
        <f aca="false">(D73+D76+D79+D80)/(B58+B57)</f>
        <v>21.6666666666667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3609.74958</v>
      </c>
      <c r="C81" s="473"/>
      <c r="D81" s="474"/>
      <c r="E81" s="466"/>
      <c r="F81" s="63"/>
      <c r="G81" s="302" t="s">
        <v>102</v>
      </c>
      <c r="H81" s="303" t="n">
        <f aca="false">SUM(J64:J80)</f>
        <v>1065.75</v>
      </c>
      <c r="I81" s="211"/>
      <c r="J81" s="211"/>
      <c r="K81" s="212"/>
      <c r="L81" s="63"/>
      <c r="M81" s="302" t="s">
        <v>102</v>
      </c>
      <c r="N81" s="303" t="n">
        <f aca="false">SUM(P64:P80)</f>
        <v>722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100.270821666667</v>
      </c>
      <c r="C82" s="473"/>
      <c r="D82" s="211"/>
      <c r="E82" s="466"/>
      <c r="F82" s="63"/>
      <c r="G82" s="210" t="s">
        <v>103</v>
      </c>
      <c r="H82" s="299" t="n">
        <f aca="false">H81/H29</f>
        <v>29.6041666666667</v>
      </c>
      <c r="I82" s="211"/>
      <c r="J82" s="211"/>
      <c r="K82" s="212"/>
      <c r="L82" s="63"/>
      <c r="M82" s="210" t="s">
        <v>103</v>
      </c>
      <c r="N82" s="299" t="n">
        <f aca="false">N81/H29</f>
        <v>20.0555555555556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270.052130927544</v>
      </c>
      <c r="C83" s="473"/>
      <c r="D83" s="211"/>
      <c r="E83" s="466" t="n">
        <f aca="false">B83+E80+E77+E64</f>
        <v>370.32295259421</v>
      </c>
      <c r="F83" s="63"/>
      <c r="G83" s="304" t="s">
        <v>104</v>
      </c>
      <c r="H83" s="305" t="n">
        <f aca="false">H47</f>
        <v>270.052130927544</v>
      </c>
      <c r="I83" s="211"/>
      <c r="J83" s="211"/>
      <c r="K83" s="212"/>
      <c r="L83" s="63"/>
      <c r="M83" s="304" t="s">
        <v>104</v>
      </c>
      <c r="N83" s="305" t="n">
        <f aca="false">H47</f>
        <v>270.052130927544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3"/>
      <c r="D84" s="473"/>
      <c r="E84" s="466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</f>
        <v>13331.6262933916</v>
      </c>
      <c r="C85" s="473"/>
      <c r="D85" s="473"/>
      <c r="E85" s="466" t="n">
        <f aca="false">B85/(B58+B57)</f>
        <v>370.32295259421</v>
      </c>
      <c r="F85" s="63"/>
      <c r="G85" s="287" t="s">
        <v>114</v>
      </c>
      <c r="H85" s="127" t="n">
        <f aca="false">((H83*H29)+H81)*1.2</f>
        <v>12945.1520560699</v>
      </c>
      <c r="I85" s="211"/>
      <c r="J85" s="211"/>
      <c r="K85" s="212"/>
      <c r="L85" s="63"/>
      <c r="M85" s="287" t="s">
        <v>114</v>
      </c>
      <c r="N85" s="127" t="n">
        <f aca="false">((N83*H29)+N81)</f>
        <v>10443.8767133916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112.934309060598</v>
      </c>
      <c r="C86" s="473" t="s">
        <v>227</v>
      </c>
      <c r="D86" s="211"/>
      <c r="E86" s="466" t="n">
        <f aca="false">B86/(B58+B57)</f>
        <v>3.13706414057217</v>
      </c>
      <c r="F86" s="63"/>
      <c r="G86" s="210" t="s">
        <v>115</v>
      </c>
      <c r="H86" s="299" t="n">
        <f aca="false">((((H83*H29)+H81))/(1-H70))*H70</f>
        <v>91.3836873663667</v>
      </c>
      <c r="I86" s="211"/>
      <c r="J86" s="211"/>
      <c r="K86" s="212"/>
      <c r="L86" s="63"/>
      <c r="M86" s="210" t="s">
        <v>115</v>
      </c>
      <c r="N86" s="299" t="n">
        <f aca="false">(N85/(1-N70))*N70</f>
        <v>88.4717268984361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13444.5606024522</v>
      </c>
      <c r="C87" s="473"/>
      <c r="D87" s="475"/>
      <c r="E87" s="466" t="n">
        <f aca="false">E86+E85</f>
        <v>373.460016734783</v>
      </c>
      <c r="F87" s="63"/>
      <c r="G87" s="284" t="s">
        <v>116</v>
      </c>
      <c r="H87" s="129" t="n">
        <f aca="false">IF(H110="YES",((H85+H86)-K114),(H85+H86))</f>
        <v>13036.5357434363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10532.34844029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3"/>
      <c r="D88" s="211"/>
      <c r="E88" s="466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</f>
        <v>65</v>
      </c>
      <c r="C89" s="473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210.731707317073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175.609756097561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373.460016734783</v>
      </c>
      <c r="C90" s="473"/>
      <c r="D90" s="211"/>
      <c r="E90" s="476"/>
      <c r="F90" s="63"/>
      <c r="G90" s="307" t="s">
        <v>118</v>
      </c>
      <c r="H90" s="308" t="n">
        <f aca="false">IF(H99=Y98, (H87-J105)/(H58), H87/(H57+H58))</f>
        <v>317.964286425275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256.886547324147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438.460016734783</v>
      </c>
      <c r="C91" s="473"/>
      <c r="D91" s="477"/>
      <c r="E91" s="429"/>
      <c r="F91" s="63"/>
      <c r="G91" s="309" t="s">
        <v>119</v>
      </c>
      <c r="H91" s="310" t="n">
        <f aca="false">IF(G105="YES", H90+H89, H90)</f>
        <v>528.695993742348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432.496303421708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8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375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9"/>
      <c r="C97" s="479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261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0.0</v>
      </c>
      <c r="E99" s="103"/>
      <c r="F99" s="63"/>
      <c r="G99" s="216" t="s">
        <v>284</v>
      </c>
      <c r="H99" s="311" t="s">
        <v>263</v>
      </c>
      <c r="I99" s="311"/>
      <c r="J99" s="103" t="n">
        <v>0</v>
      </c>
      <c r="K99" s="103"/>
      <c r="L99" s="63"/>
      <c r="M99" s="216" t="s">
        <v>284</v>
      </c>
      <c r="N99" s="311" t="s">
        <v>263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262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263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376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264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0.0</v>
      </c>
      <c r="C102" s="103"/>
      <c r="D102" s="103" t="n">
        <v>0.0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386</v>
      </c>
      <c r="B105" s="313" t="n">
        <v>0.2</v>
      </c>
      <c r="C105" s="313"/>
      <c r="D105" s="103" t="n">
        <v>200.0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390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0.0</v>
      </c>
      <c r="E112" s="103" t="n">
        <v>0.0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0.0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((E118*1.2)+E117)-E114</f>
        <v>-2760.012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0.0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250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317.964286425275</v>
      </c>
      <c r="H127" s="174" t="n">
        <f aca="false">IF(G105="YES", H89*H57, 0)</f>
        <v>1264.39024390244</v>
      </c>
      <c r="I127" s="174"/>
      <c r="J127" s="333" t="n">
        <f aca="false">H91</f>
        <v>528.695993742348</v>
      </c>
      <c r="K127" s="212"/>
      <c r="L127" s="63"/>
      <c r="M127" s="332" t="n">
        <f aca="false">N90</f>
        <v>256.886547324147</v>
      </c>
      <c r="N127" s="174" t="n">
        <f aca="false">IF(M105="YES", N89*N57, 0)</f>
        <v>1053.65853658537</v>
      </c>
      <c r="O127" s="174"/>
      <c r="P127" s="174" t="n">
        <f aca="false">N91</f>
        <v>432.496303421708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373.460016734783</v>
      </c>
      <c r="B128" s="320" t="n">
        <f aca="false">IF(A105="YES", B89, 0)</f>
        <v>65</v>
      </c>
      <c r="C128" s="324"/>
      <c r="D128" s="320" t="n">
        <f aca="false">B91</f>
        <v>438.460016734783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36</v>
      </c>
      <c r="H130" s="225" t="n">
        <f aca="false">B151</f>
        <v>0</v>
      </c>
      <c r="I130" s="226"/>
      <c r="J130" s="225" t="n">
        <f aca="false">B58</f>
        <v>35</v>
      </c>
      <c r="K130" s="212"/>
      <c r="L130" s="63"/>
      <c r="M130" s="224" t="n">
        <f aca="false">M155</f>
        <v>36</v>
      </c>
      <c r="N130" s="225" t="n">
        <f aca="false">B151</f>
        <v>0</v>
      </c>
      <c r="O130" s="226"/>
      <c r="P130" s="225" t="n">
        <f aca="false">B58</f>
        <v>35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373.460016734783</v>
      </c>
      <c r="C131" s="316"/>
      <c r="D131" s="38" t="n">
        <f aca="false">IF(A105="YES", B89*B57, 0)</f>
        <v>65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239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1907.78571855165</v>
      </c>
      <c r="H133" s="99" t="n">
        <f aca="false">IF(G105="YES", H89*H57, 0)</f>
        <v>1264.39024390244</v>
      </c>
      <c r="I133" s="217"/>
      <c r="J133" s="181" t="n">
        <f aca="false">H91*H57</f>
        <v>3172.17596245409</v>
      </c>
      <c r="K133" s="212"/>
      <c r="L133" s="63"/>
      <c r="M133" s="182" t="n">
        <f aca="false">N90*N57</f>
        <v>1541.31928394488</v>
      </c>
      <c r="N133" s="99" t="n">
        <f aca="false">IF(M105="YES", N89*N57, 0)</f>
        <v>1053.65853658537</v>
      </c>
      <c r="O133" s="217"/>
      <c r="P133" s="181" t="n">
        <f aca="false">N91*N57</f>
        <v>2594.97782053025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438.460016734783</v>
      </c>
      <c r="B134" s="38" t="n">
        <f aca="false">E114</f>
        <v>4000</v>
      </c>
      <c r="C134" s="316"/>
      <c r="D134" s="336" t="n">
        <f aca="false">B58</f>
        <v>35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252</v>
      </c>
      <c r="N135" s="211" t="s">
        <v>253</v>
      </c>
      <c r="O135" s="211"/>
      <c r="P135" s="211" t="s">
        <v>257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373.460016734783</v>
      </c>
      <c r="B137" s="38" t="n">
        <f aca="false">IF(A105="YES", B89, 0)</f>
        <v>65</v>
      </c>
      <c r="C137" s="316"/>
      <c r="D137" s="38" t="n">
        <f aca="false">B91</f>
        <v>438.460016734783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26.93088</v>
      </c>
      <c r="B140" s="342" t="n">
        <f aca="false">IF(A105="YES", B61*0.000002, 0)*1.2*100</f>
        <v>8.97696</v>
      </c>
      <c r="C140" s="316"/>
      <c r="D140" s="342" t="n">
        <f aca="false">A140+B140</f>
        <v>35.90784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36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36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748.08</v>
      </c>
      <c r="B148" s="99" t="n">
        <f aca="false">B102</f>
        <v>0</v>
      </c>
      <c r="C148" s="38"/>
      <c r="D148" s="38" t="n">
        <f aca="false">IF(A105="YES", (B40*B105)*B125, 0)*0.1</f>
        <v>54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902.07</v>
      </c>
      <c r="E151" s="101"/>
      <c r="F151" s="63"/>
      <c r="G151" s="246"/>
      <c r="H151" s="248" t="n">
        <f aca="false">B51</f>
        <v>10000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36</v>
      </c>
      <c r="H152" s="74" t="n">
        <f aca="false">H91</f>
        <v>528.695993742348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10000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36</v>
      </c>
      <c r="N155" s="74" t="n">
        <f aca="false">N91</f>
        <v>432.496303421708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10000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36</v>
      </c>
      <c r="B161" s="74" t="n">
        <f aca="false">B91</f>
        <v>438.460016734783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3"/>
      <c r="G174" s="386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373.460016734783</v>
      </c>
      <c r="B177" s="354" t="n">
        <f aca="false">IF(A105="YES", B89, 0)</f>
        <v>65</v>
      </c>
      <c r="C177" s="356"/>
      <c r="D177" s="354" t="n">
        <f aca="false">B91</f>
        <v>438.460016734783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373.460016734783</v>
      </c>
      <c r="C180" s="352"/>
      <c r="D180" s="99" t="n">
        <f aca="false">IF(A105="YES", B89*B57, 0)</f>
        <v>65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438.460016734783</v>
      </c>
      <c r="B183" s="99" t="n">
        <f aca="false">E114</f>
        <v>4000</v>
      </c>
      <c r="C183" s="352"/>
      <c r="D183" s="360" t="n">
        <f aca="false">B58</f>
        <v>35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373.460016734783</v>
      </c>
      <c r="B186" s="99" t="n">
        <f aca="false">IF(A105="YES", B89, 0)</f>
        <v>65</v>
      </c>
      <c r="C186" s="352"/>
      <c r="D186" s="99" t="n">
        <f aca="false">B91</f>
        <v>438.460016734783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26.93088</v>
      </c>
      <c r="B189" s="364" t="n">
        <f aca="false">B140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748.08</v>
      </c>
      <c r="B197" s="99" t="n">
        <f aca="false">B102</f>
        <v>0</v>
      </c>
      <c r="C197" s="99"/>
      <c r="D197" s="99" t="n">
        <f aca="false">IF(A105="YES", (B40*B105)*B125, 0)*0.1</f>
        <v>54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902.07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2829.74958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748.08</v>
      </c>
      <c r="C211" s="319" t="s">
        <v>214</v>
      </c>
      <c r="D211" s="369" t="n">
        <f aca="false">B225+E221+B221+B223</f>
        <v>639.99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2721.65958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2829.74958</v>
      </c>
      <c r="C217" s="374" t="s">
        <v>218</v>
      </c>
      <c r="D217" s="316"/>
      <c r="E217" s="375" t="n">
        <f aca="false">B66</f>
        <v>0.02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748.08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0</v>
      </c>
      <c r="C223" s="335" t="s">
        <v>215</v>
      </c>
      <c r="D223" s="316"/>
      <c r="E223" s="33" t="n">
        <f aca="false">(B217-B211+D211)</f>
        <v>2721.65958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540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200</v>
      </c>
      <c r="C229" s="335" t="s">
        <v>223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112.934309060598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200</v>
      </c>
      <c r="C233" s="381" t="s">
        <v>330</v>
      </c>
      <c r="D233" s="382"/>
      <c r="E233" s="146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200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06" colorId="64" zoomScale="85" zoomScaleNormal="85" zoomScalePageLayoutView="100" workbookViewId="0">
      <selection pane="topLeft" activeCell="E120" activeCellId="0" sqref="E120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349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386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7" t="n">
        <v>36.0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387</v>
      </c>
      <c r="C30" s="169"/>
      <c r="D30" s="211"/>
      <c r="E30" s="212"/>
      <c r="F30" s="63"/>
      <c r="G30" s="214" t="s">
        <v>32</v>
      </c>
      <c r="H30" s="457" t="n">
        <v>10000.0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66666.66666666667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8" t="s">
        <v>350</v>
      </c>
      <c r="E32" s="212"/>
      <c r="F32" s="63"/>
      <c r="G32" s="214" t="s">
        <v>36</v>
      </c>
      <c r="I32" s="448" t="n">
        <v>6000.0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36</v>
      </c>
      <c r="B33" s="225" t="n">
        <v>10000</v>
      </c>
      <c r="C33" s="226"/>
      <c r="D33" s="459" t="n">
        <f aca="false">H48</f>
        <v>237.845087609551</v>
      </c>
      <c r="E33" s="212"/>
      <c r="F33" s="63"/>
      <c r="G33" s="215" t="s">
        <v>351</v>
      </c>
      <c r="H33" s="460" t="n">
        <f aca="false">E21-E11</f>
        <v>22458.33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370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352</v>
      </c>
      <c r="B35" s="211" t="s">
        <v>353</v>
      </c>
      <c r="C35" s="211"/>
      <c r="D35" s="211" t="s">
        <v>354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237.845087609551</v>
      </c>
      <c r="B36" s="99" t="n">
        <f aca="false">IF(B26="YES", H42, "")</f>
        <v>0</v>
      </c>
      <c r="C36" s="217"/>
      <c r="D36" s="181" t="n">
        <f aca="false">H31</f>
        <v>21540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355</v>
      </c>
      <c r="B39" s="211" t="s">
        <v>356</v>
      </c>
      <c r="C39" s="211"/>
      <c r="D39" s="211" t="s">
        <v>357</v>
      </c>
      <c r="E39" s="212"/>
      <c r="F39" s="63"/>
      <c r="G39" s="63" t="s">
        <v>84</v>
      </c>
      <c r="H39" s="234" t="n">
        <f aca="false">H33</f>
        <v>22458.33</v>
      </c>
      <c r="I39" s="234" t="n">
        <f aca="false">(I48*H46)+H44</f>
        <v>60376.5264605168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21540</v>
      </c>
      <c r="B40" s="103" t="n">
        <f aca="false">IF(B26="YES",H42,"0")</f>
        <v>0</v>
      </c>
      <c r="C40" s="103"/>
      <c r="D40" s="181" t="n">
        <f aca="false">I32</f>
        <v>0</v>
      </c>
      <c r="E40" s="212"/>
      <c r="F40" s="63"/>
      <c r="G40" s="63" t="s">
        <v>106</v>
      </c>
      <c r="H40" s="234" t="n">
        <f aca="false">A40/1.2</f>
        <v>17950</v>
      </c>
      <c r="I40" s="234" t="n">
        <f aca="false">H39-I39</f>
        <v>-37918.1964605167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358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359</v>
      </c>
      <c r="H42" s="234" t="n">
        <f aca="false">(I32/H34)*(C45/100)</f>
        <v>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360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1"/>
      <c r="C44" s="362" t="s">
        <v>77</v>
      </c>
      <c r="D44" s="362"/>
      <c r="E44" s="212"/>
      <c r="F44" s="63"/>
      <c r="G44" s="63" t="s">
        <v>371</v>
      </c>
      <c r="H44" s="234" t="n">
        <f aca="false">(H40/(1+H41)^(H34+1))</f>
        <v>14698.0420530195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30.0</v>
      </c>
      <c r="B45" s="211"/>
      <c r="C45" s="463" t="n">
        <v>30.0</v>
      </c>
      <c r="D45" s="463"/>
      <c r="E45" s="212"/>
      <c r="F45" s="63"/>
      <c r="G45" s="63" t="s">
        <v>372</v>
      </c>
      <c r="H45" s="234" t="n">
        <f aca="false">(H39-H44)</f>
        <v>7760.28794698049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373</v>
      </c>
      <c r="H46" s="234" t="n">
        <f aca="false">((1-(1/((1+H41)^H34)))/H41)</f>
        <v>32.627488862498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364</v>
      </c>
      <c r="H47" s="234" t="n">
        <f aca="false">H45/H46</f>
        <v>237.845087609551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4" t="s">
        <v>365</v>
      </c>
      <c r="H48" s="234" t="n">
        <f aca="false">IF(B26="YES", H47+H42, H47)</f>
        <v>237.845087609551</v>
      </c>
      <c r="I48" s="234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366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10000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36</v>
      </c>
      <c r="B52" s="74" t="n">
        <f aca="false">H48</f>
        <v>237.845087609551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35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35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35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374</v>
      </c>
      <c r="B60" s="211" t="n">
        <f aca="false">E19</f>
        <v>26949.996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37404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0.105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0.105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0.105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2829.74958</v>
      </c>
      <c r="C64" s="465" t="n">
        <v>10000.0</v>
      </c>
      <c r="D64" s="290" t="n">
        <f aca="false">B64</f>
        <v>2829.74958</v>
      </c>
      <c r="E64" s="466" t="n">
        <f aca="false">D64/(B58+B57)</f>
        <v>78.604155</v>
      </c>
      <c r="F64" s="63"/>
      <c r="G64" s="284" t="s">
        <v>90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90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0.02</v>
      </c>
      <c r="C66" s="467" t="s">
        <v>218</v>
      </c>
      <c r="D66" s="211"/>
      <c r="E66" s="212"/>
      <c r="F66" s="63"/>
      <c r="G66" s="210" t="s">
        <v>92</v>
      </c>
      <c r="H66" s="293" t="n">
        <f aca="false">H65+(H65*0.5*(H29/12-1))</f>
        <v>0.02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0.02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748.08</v>
      </c>
      <c r="C67" s="468" t="s">
        <v>218</v>
      </c>
      <c r="D67" s="469"/>
      <c r="E67" s="212"/>
      <c r="F67" s="63"/>
      <c r="G67" s="284" t="s">
        <v>93</v>
      </c>
      <c r="H67" s="129" t="n">
        <f aca="false">(H61*H66)/1.2</f>
        <v>0</v>
      </c>
      <c r="I67" s="211"/>
      <c r="J67" s="290"/>
      <c r="K67" s="212"/>
      <c r="L67" s="63"/>
      <c r="M67" s="284" t="s">
        <v>93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70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1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200.0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5.0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180</v>
      </c>
      <c r="C73" s="211"/>
      <c r="D73" s="472" t="n">
        <f aca="false">B73+B71</f>
        <v>380</v>
      </c>
      <c r="E73" s="212" t="s">
        <v>224</v>
      </c>
      <c r="F73" s="63"/>
      <c r="G73" s="284" t="s">
        <v>99</v>
      </c>
      <c r="H73" s="129" t="n">
        <f aca="false">H72*H29</f>
        <v>162</v>
      </c>
      <c r="I73" s="211"/>
      <c r="J73" s="290" t="n">
        <f aca="false">H73+H71</f>
        <v>322</v>
      </c>
      <c r="K73" s="212"/>
      <c r="L73" s="63"/>
      <c r="M73" s="284" t="s">
        <v>99</v>
      </c>
      <c r="N73" s="129" t="n">
        <f aca="false">N72*H29</f>
        <v>162</v>
      </c>
      <c r="O73" s="211"/>
      <c r="P73" s="290" t="n">
        <f aca="false">N73+N71</f>
        <v>322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165.0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0.0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508.75</v>
      </c>
      <c r="C76" s="211"/>
      <c r="D76" s="290" t="n">
        <f aca="false">B76</f>
        <v>508.75</v>
      </c>
      <c r="E76" s="212"/>
      <c r="F76" s="63"/>
      <c r="G76" s="284" t="s">
        <v>279</v>
      </c>
      <c r="H76" s="129" t="n">
        <f aca="false">((H74+H75)/12)*(H29-11)</f>
        <v>343.75</v>
      </c>
      <c r="I76" s="211"/>
      <c r="J76" s="290" t="n">
        <f aca="false">H76</f>
        <v>343.75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0</v>
      </c>
      <c r="C77" s="473"/>
      <c r="D77" s="290" t="n">
        <f aca="false">B77</f>
        <v>0</v>
      </c>
      <c r="E77" s="466" t="n">
        <f aca="false">D77/(B58+B57)</f>
        <v>0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0</v>
      </c>
      <c r="C78" s="473"/>
      <c r="D78" s="290" t="n">
        <f aca="false">B78</f>
        <v>0</v>
      </c>
      <c r="E78" s="466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200.0</v>
      </c>
      <c r="C79" s="473"/>
      <c r="D79" s="290" t="n">
        <f aca="false">B79</f>
        <v>200</v>
      </c>
      <c r="E79" s="466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200.0</v>
      </c>
      <c r="C80" s="473"/>
      <c r="D80" s="290" t="n">
        <f aca="false">B80</f>
        <v>200</v>
      </c>
      <c r="E80" s="466" t="n">
        <f aca="false">(D73+D76+D79+D80)/(B58+B57)</f>
        <v>35.7986111111111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4118.49958</v>
      </c>
      <c r="C81" s="473"/>
      <c r="D81" s="474"/>
      <c r="E81" s="466"/>
      <c r="F81" s="63"/>
      <c r="G81" s="302" t="s">
        <v>102</v>
      </c>
      <c r="H81" s="303" t="n">
        <f aca="false">SUM(J64:J80)</f>
        <v>1065.75</v>
      </c>
      <c r="I81" s="211"/>
      <c r="J81" s="211"/>
      <c r="K81" s="212"/>
      <c r="L81" s="63"/>
      <c r="M81" s="302" t="s">
        <v>102</v>
      </c>
      <c r="N81" s="303" t="n">
        <f aca="false">SUM(P64:P80)</f>
        <v>722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114.402766111111</v>
      </c>
      <c r="C82" s="473"/>
      <c r="D82" s="211"/>
      <c r="E82" s="466"/>
      <c r="F82" s="63"/>
      <c r="G82" s="210" t="s">
        <v>103</v>
      </c>
      <c r="H82" s="299" t="n">
        <f aca="false">H81/H29</f>
        <v>29.6041666666667</v>
      </c>
      <c r="I82" s="211"/>
      <c r="J82" s="211"/>
      <c r="K82" s="212"/>
      <c r="L82" s="63"/>
      <c r="M82" s="210" t="s">
        <v>103</v>
      </c>
      <c r="N82" s="299" t="n">
        <f aca="false">N81/H29</f>
        <v>20.0555555555556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237.845087609551</v>
      </c>
      <c r="C83" s="473"/>
      <c r="D83" s="211"/>
      <c r="E83" s="466" t="n">
        <f aca="false">B83+E80+E77+E64</f>
        <v>352.247853720662</v>
      </c>
      <c r="F83" s="63"/>
      <c r="G83" s="304" t="s">
        <v>104</v>
      </c>
      <c r="H83" s="305" t="n">
        <f aca="false">H47</f>
        <v>237.845087609551</v>
      </c>
      <c r="I83" s="211"/>
      <c r="J83" s="211"/>
      <c r="K83" s="212"/>
      <c r="L83" s="63"/>
      <c r="M83" s="304" t="s">
        <v>104</v>
      </c>
      <c r="N83" s="305" t="n">
        <f aca="false">H47</f>
        <v>237.845087609551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3"/>
      <c r="D84" s="473"/>
      <c r="E84" s="466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((B83*H29)+B81)*1.2</f>
        <v>15217.1072807326</v>
      </c>
      <c r="C85" s="473"/>
      <c r="D85" s="473"/>
      <c r="E85" s="466" t="n">
        <f aca="false">B85/(B58+B57)</f>
        <v>422.697424464794</v>
      </c>
      <c r="F85" s="63"/>
      <c r="G85" s="287" t="s">
        <v>114</v>
      </c>
      <c r="H85" s="127" t="n">
        <f aca="false">((H83*H29)+H81)*1.2</f>
        <v>11553.8077847326</v>
      </c>
      <c r="I85" s="211"/>
      <c r="J85" s="211"/>
      <c r="K85" s="212"/>
      <c r="L85" s="63"/>
      <c r="M85" s="287" t="s">
        <v>114</v>
      </c>
      <c r="N85" s="127" t="n">
        <f aca="false">((N83*H29)+N81)</f>
        <v>9284.42315394383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107.42209657637</v>
      </c>
      <c r="C86" s="473" t="s">
        <v>227</v>
      </c>
      <c r="D86" s="211"/>
      <c r="E86" s="466" t="n">
        <f aca="false">B86/(B58+B57)</f>
        <v>2.98394712712138</v>
      </c>
      <c r="F86" s="63"/>
      <c r="G86" s="210" t="s">
        <v>115</v>
      </c>
      <c r="H86" s="299" t="n">
        <f aca="false">((((H83*H29)+H81))/(1-H70))*H70</f>
        <v>81.5617733896008</v>
      </c>
      <c r="I86" s="211"/>
      <c r="J86" s="211"/>
      <c r="K86" s="212"/>
      <c r="L86" s="63"/>
      <c r="M86" s="210" t="s">
        <v>115</v>
      </c>
      <c r="N86" s="299" t="n">
        <f aca="false">(N85/(1-N70))*N70</f>
        <v>78.6498129216702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15324.529377309</v>
      </c>
      <c r="C87" s="473"/>
      <c r="D87" s="475"/>
      <c r="E87" s="466" t="n">
        <f aca="false">E86+E85</f>
        <v>425.681371591916</v>
      </c>
      <c r="F87" s="63"/>
      <c r="G87" s="284" t="s">
        <v>116</v>
      </c>
      <c r="H87" s="129" t="n">
        <f aca="false">IF(H110="YES",((H85+H86)-K114),(H85+H86))</f>
        <v>11635.3695581222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9363.0729668655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3"/>
      <c r="D88" s="211"/>
      <c r="E88" s="466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(I32+(I32*B105))/(B57+B58))*(C45/100)*1.2</f>
        <v>0</v>
      </c>
      <c r="C89" s="473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0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0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425.681371591916</v>
      </c>
      <c r="C90" s="473"/>
      <c r="D90" s="211"/>
      <c r="E90" s="476"/>
      <c r="F90" s="63"/>
      <c r="G90" s="307" t="s">
        <v>118</v>
      </c>
      <c r="H90" s="308" t="n">
        <f aca="false">IF(H99=Y98, (H87-J105)/(H58), H87/(H57+H58))</f>
        <v>283.789501417615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228.367633338183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425.681371591916</v>
      </c>
      <c r="C91" s="473"/>
      <c r="D91" s="477"/>
      <c r="E91" s="429"/>
      <c r="F91" s="63"/>
      <c r="G91" s="309" t="s">
        <v>119</v>
      </c>
      <c r="H91" s="310" t="n">
        <f aca="false">IF(G105="YES", H90+H89, H90)</f>
        <v>283.789501417615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228.367633338183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8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375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9"/>
      <c r="C97" s="479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261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1000.0</v>
      </c>
      <c r="E99" s="103"/>
      <c r="F99" s="63"/>
      <c r="G99" s="216" t="s">
        <v>284</v>
      </c>
      <c r="H99" s="311" t="s">
        <v>263</v>
      </c>
      <c r="I99" s="311"/>
      <c r="J99" s="103" t="n">
        <v>0</v>
      </c>
      <c r="K99" s="103"/>
      <c r="L99" s="63"/>
      <c r="M99" s="216" t="s">
        <v>284</v>
      </c>
      <c r="N99" s="311" t="s">
        <v>263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262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263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376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264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400.0</v>
      </c>
      <c r="C102" s="103"/>
      <c r="D102" s="103" t="n">
        <v>200.0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386</v>
      </c>
      <c r="B105" s="313" t="n">
        <v>0.2</v>
      </c>
      <c r="C105" s="313"/>
      <c r="D105" s="103" t="n">
        <v>200.0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390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0.0</v>
      </c>
      <c r="E112" s="103" t="n">
        <v>6000.0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2000.0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((E118)+E117)-E114</f>
        <v>-2760.01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0.0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250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283.789501417615</v>
      </c>
      <c r="H127" s="174" t="n">
        <f aca="false">IF(G105="YES", H89*H57, 0)</f>
        <v>0</v>
      </c>
      <c r="I127" s="174"/>
      <c r="J127" s="333" t="n">
        <f aca="false">H91</f>
        <v>283.789501417615</v>
      </c>
      <c r="K127" s="212"/>
      <c r="L127" s="63"/>
      <c r="M127" s="332" t="n">
        <f aca="false">N90</f>
        <v>228.367633338183</v>
      </c>
      <c r="N127" s="174" t="n">
        <f aca="false">IF(M105="YES", N89*N57, 0)</f>
        <v>0</v>
      </c>
      <c r="O127" s="174"/>
      <c r="P127" s="174" t="n">
        <f aca="false">N91</f>
        <v>228.367633338183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425.681371591916</v>
      </c>
      <c r="B128" s="320" t="n">
        <f aca="false">IF(A105="YES", B89, 0)</f>
        <v>0</v>
      </c>
      <c r="C128" s="324"/>
      <c r="D128" s="320" t="n">
        <f aca="false">B91</f>
        <v>425.681371591916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36</v>
      </c>
      <c r="H130" s="225" t="n">
        <f aca="false">B151</f>
        <v>0</v>
      </c>
      <c r="I130" s="226"/>
      <c r="J130" s="225" t="n">
        <f aca="false">B58</f>
        <v>35</v>
      </c>
      <c r="K130" s="212"/>
      <c r="L130" s="63"/>
      <c r="M130" s="224" t="n">
        <f aca="false">M155</f>
        <v>36</v>
      </c>
      <c r="N130" s="225" t="n">
        <f aca="false">B151</f>
        <v>0</v>
      </c>
      <c r="O130" s="226"/>
      <c r="P130" s="225" t="n">
        <f aca="false">B58</f>
        <v>35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425.681371591916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239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1702.73700850569</v>
      </c>
      <c r="H133" s="99" t="n">
        <f aca="false">IF(G105="YES", H89*H57, 0)</f>
        <v>0</v>
      </c>
      <c r="I133" s="217"/>
      <c r="J133" s="181" t="n">
        <f aca="false">H91*H57</f>
        <v>1702.73700850569</v>
      </c>
      <c r="K133" s="212"/>
      <c r="L133" s="63"/>
      <c r="M133" s="182" t="n">
        <f aca="false">N90*N57</f>
        <v>1370.2058000291</v>
      </c>
      <c r="N133" s="99" t="n">
        <f aca="false">IF(M105="YES", N89*N57, 0)</f>
        <v>0</v>
      </c>
      <c r="O133" s="217"/>
      <c r="P133" s="181" t="n">
        <f aca="false">N91*N57</f>
        <v>1370.2058000291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425.681371591916</v>
      </c>
      <c r="B134" s="38" t="n">
        <f aca="false">E114</f>
        <v>4000</v>
      </c>
      <c r="C134" s="316"/>
      <c r="D134" s="336" t="n">
        <f aca="false">B58</f>
        <v>35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252</v>
      </c>
      <c r="N135" s="211" t="s">
        <v>253</v>
      </c>
      <c r="O135" s="211"/>
      <c r="P135" s="211" t="s">
        <v>257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425.681371591916</v>
      </c>
      <c r="B137" s="38" t="n">
        <f aca="false">IF(A105="YES", B89, 0)</f>
        <v>0</v>
      </c>
      <c r="C137" s="316"/>
      <c r="D137" s="38" t="n">
        <f aca="false">B91</f>
        <v>425.681371591916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26.93088</v>
      </c>
      <c r="B140" s="342" t="n">
        <f aca="false">IF(A105="YES", B61*0.000002, 0)*1.2*100</f>
        <v>8.97696</v>
      </c>
      <c r="C140" s="316"/>
      <c r="D140" s="342" t="n">
        <f aca="false">A140+B140</f>
        <v>35.90784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0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0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239.99</v>
      </c>
      <c r="C143" s="316"/>
      <c r="D143" s="148" t="n">
        <f aca="false">B102</f>
        <v>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748.08</v>
      </c>
      <c r="B148" s="99" t="n">
        <f aca="false">B102</f>
        <v>0</v>
      </c>
      <c r="C148" s="38"/>
      <c r="D148" s="38" t="n">
        <f aca="false">IF(A105="YES", (B40*B105)*B125, 0)*0.1</f>
        <v>0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139.99</v>
      </c>
      <c r="B151" s="38" t="n">
        <f aca="false">(A148+B148+D148+A151)*(A143/B64)</f>
        <v>0</v>
      </c>
      <c r="C151" s="38"/>
      <c r="D151" s="38" t="n">
        <f aca="false">(A148+B148+D148+A151)-B151</f>
        <v>888.07</v>
      </c>
      <c r="E151" s="101"/>
      <c r="F151" s="63"/>
      <c r="G151" s="246"/>
      <c r="H151" s="248" t="n">
        <f aca="false">B51</f>
        <v>10000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36</v>
      </c>
      <c r="H152" s="74" t="n">
        <f aca="false">H91</f>
        <v>283.789501417615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10000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36</v>
      </c>
      <c r="N155" s="74" t="n">
        <f aca="false">N91</f>
        <v>228.367633338183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10000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36</v>
      </c>
      <c r="B161" s="74" t="n">
        <f aca="false">B91</f>
        <v>425.681371591916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3"/>
      <c r="G174" s="386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425.681371591916</v>
      </c>
      <c r="B177" s="354" t="n">
        <f aca="false">IF(A105="YES", B89, 0)</f>
        <v>0</v>
      </c>
      <c r="C177" s="356"/>
      <c r="D177" s="354" t="n">
        <f aca="false">B91</f>
        <v>425.681371591916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425.681371591916</v>
      </c>
      <c r="C180" s="352"/>
      <c r="D180" s="99" t="n">
        <f aca="false">IF(A105="YES", B89*B57,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425.681371591916</v>
      </c>
      <c r="B183" s="99" t="n">
        <f aca="false">E114</f>
        <v>4000</v>
      </c>
      <c r="C183" s="352"/>
      <c r="D183" s="360" t="n">
        <f aca="false">B58</f>
        <v>35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425.681371591916</v>
      </c>
      <c r="B186" s="99" t="n">
        <f aca="false">IF(A105="YES", B89, 0)</f>
        <v>0</v>
      </c>
      <c r="C186" s="352"/>
      <c r="D186" s="99" t="n">
        <f aca="false">B91</f>
        <v>425.681371591916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26.93088</v>
      </c>
      <c r="B189" s="364" t="n">
        <f aca="false">B140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239.99</v>
      </c>
      <c r="C192" s="352"/>
      <c r="D192" s="148" t="n">
        <f aca="false">B102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748.08</v>
      </c>
      <c r="B197" s="99" t="n">
        <f aca="false">B102</f>
        <v>0</v>
      </c>
      <c r="C197" s="99"/>
      <c r="D197" s="99" t="n">
        <f aca="false">IF(A105="YES", (B40*B105)*B125,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139.99</v>
      </c>
      <c r="B200" s="99" t="n">
        <f aca="false">(A148+B148+D148+A151)*(A143/B64)</f>
        <v>0</v>
      </c>
      <c r="C200" s="99"/>
      <c r="D200" s="99" t="n">
        <f aca="false">(A148+B148+D148+A151)-B151</f>
        <v>888.07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2829.74958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748.08</v>
      </c>
      <c r="C211" s="319" t="s">
        <v>214</v>
      </c>
      <c r="D211" s="369" t="n">
        <f aca="false">B225+E221+B221+B223</f>
        <v>139.99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2221.65958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2829.74958</v>
      </c>
      <c r="C217" s="374" t="s">
        <v>218</v>
      </c>
      <c r="D217" s="316"/>
      <c r="E217" s="375" t="n">
        <f aca="false">B66</f>
        <v>0.02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748.08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0</v>
      </c>
      <c r="C221" s="335" t="s">
        <v>220</v>
      </c>
      <c r="D221" s="316"/>
      <c r="E221" s="33" t="n">
        <f aca="false">A200</f>
        <v>139.99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0</v>
      </c>
      <c r="C223" s="335" t="s">
        <v>215</v>
      </c>
      <c r="D223" s="316"/>
      <c r="E223" s="33" t="n">
        <f aca="false">(B217-B211+D211)</f>
        <v>2221.65958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200</v>
      </c>
      <c r="C229" s="335" t="s">
        <v>223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107.42209657637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200</v>
      </c>
      <c r="C233" s="381" t="s">
        <v>330</v>
      </c>
      <c r="D233" s="382"/>
      <c r="E233" s="146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200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6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387"/>
      <c r="G1" s="387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00"/>
      <c r="B2" s="482" t="s">
        <v>143</v>
      </c>
      <c r="C2" s="482" t="s">
        <v>144</v>
      </c>
      <c r="D2" s="482" t="s">
        <v>145</v>
      </c>
      <c r="E2" s="483" t="s">
        <v>146</v>
      </c>
      <c r="F2" s="387"/>
      <c r="G2" s="387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315" t="s">
        <v>149</v>
      </c>
      <c r="B3" s="484" t="n">
        <v>46854.17</v>
      </c>
      <c r="C3" s="484" t="n">
        <v>0.0</v>
      </c>
      <c r="D3" s="484" t="n">
        <v>833.33</v>
      </c>
      <c r="E3" s="441" t="n">
        <v>0</v>
      </c>
      <c r="F3" s="387"/>
      <c r="G3" s="387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315" t="s">
        <v>150</v>
      </c>
      <c r="B4" s="485" t="n">
        <v>0.0</v>
      </c>
      <c r="C4" s="485" t="n">
        <v>0.0</v>
      </c>
      <c r="D4" s="485" t="n">
        <v>0.0</v>
      </c>
      <c r="E4" s="375"/>
      <c r="F4" s="387"/>
      <c r="G4" s="387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315" t="s">
        <v>151</v>
      </c>
      <c r="B5" s="484" t="n">
        <v>0.0</v>
      </c>
      <c r="C5" s="484" t="n">
        <v>0.0</v>
      </c>
      <c r="D5" s="484" t="n">
        <v>0.0</v>
      </c>
      <c r="E5" s="33"/>
      <c r="F5" s="387"/>
      <c r="G5" s="387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315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7"/>
      <c r="G6" s="387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315" t="s">
        <v>153</v>
      </c>
      <c r="B7" s="32" t="n">
        <f aca="false">B3-B6</f>
        <v>46854.17</v>
      </c>
      <c r="C7" s="32" t="n">
        <f aca="false">C3-C6</f>
        <v>0</v>
      </c>
      <c r="D7" s="32" t="n">
        <f aca="false">D3-D6</f>
        <v>833.33</v>
      </c>
      <c r="E7" s="33"/>
      <c r="F7" s="387"/>
      <c r="G7" s="387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315"/>
      <c r="B8" s="316"/>
      <c r="C8" s="316"/>
      <c r="D8" s="316"/>
      <c r="E8" s="317"/>
      <c r="F8" s="387"/>
      <c r="G8" s="387"/>
      <c r="H8" s="387"/>
      <c r="I8" s="13" t="s">
        <v>3</v>
      </c>
      <c r="J8" s="14" t="n">
        <f aca="false">E13+E14</f>
        <v>640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47687.5</v>
      </c>
      <c r="F9" s="387"/>
      <c r="G9" s="387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1" t="n">
        <v>550.0</v>
      </c>
      <c r="F10" s="387"/>
      <c r="G10" s="387"/>
      <c r="H10" s="387"/>
      <c r="I10" s="16" t="s">
        <v>1</v>
      </c>
      <c r="J10" s="14" t="n">
        <f aca="false">E15-E11-J8</f>
        <v>48237.5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9647.5</v>
      </c>
      <c r="F11" s="387"/>
      <c r="G11" s="387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1" t="n">
        <v>0</v>
      </c>
      <c r="F12" s="387"/>
      <c r="G12" s="387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1" t="n">
        <v>585.0</v>
      </c>
      <c r="F13" s="387"/>
      <c r="G13" s="387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1" t="n">
        <v>55.0</v>
      </c>
      <c r="F14" s="387"/>
      <c r="G14" s="387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3" t="n">
        <f aca="false">(E9+E10+E13+E14+E11)-E12</f>
        <v>58525</v>
      </c>
      <c r="F15" s="387"/>
      <c r="G15" s="17" t="n">
        <f aca="false">E15</f>
        <v>58525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1" t="n">
        <v>0.0</v>
      </c>
      <c r="F16" s="387"/>
      <c r="G16" s="387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317"/>
      <c r="F17" s="387"/>
      <c r="G17" s="387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4" t="n">
        <v>0</v>
      </c>
      <c r="F18" s="387"/>
      <c r="G18" s="17" t="n">
        <f aca="false">(B3+C3+D3+E3+E10)*1.2</f>
        <v>57885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4" t="n">
        <v>0</v>
      </c>
      <c r="F19" s="387"/>
      <c r="G19" s="387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4" t="n">
        <v>0.0</v>
      </c>
      <c r="F20" s="387"/>
      <c r="G20" s="387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6" t="n">
        <f aca="false">E15-((E18*1.2)+(E19*1.2)+(E20*1.2)+(E16*1.2))</f>
        <v>58525</v>
      </c>
      <c r="F21" s="387"/>
      <c r="G21" s="387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234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236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237</v>
      </c>
      <c r="B29" s="219" t="n">
        <v>12345</v>
      </c>
      <c r="C29" s="219"/>
      <c r="D29" s="389" t="n">
        <f aca="true">TODAY()+1</f>
        <v>45128</v>
      </c>
      <c r="E29" s="389"/>
      <c r="F29" s="387"/>
      <c r="G29" s="29" t="s">
        <v>28</v>
      </c>
      <c r="H29" s="37" t="n">
        <f aca="false">A32</f>
        <v>12</v>
      </c>
      <c r="I29" s="387"/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12.0</v>
      </c>
      <c r="B32" s="219" t="n">
        <v>5000.0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600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42</v>
      </c>
      <c r="B34" s="227" t="s">
        <v>48</v>
      </c>
      <c r="C34" s="226" t="s">
        <v>43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48877.5</v>
      </c>
      <c r="B35" s="219" t="s">
        <v>402</v>
      </c>
      <c r="C35" s="219"/>
      <c r="D35" s="278" t="n">
        <f aca="false">A35-B35</f>
        <v>47877.5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45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396</v>
      </c>
      <c r="B38" s="237" t="n">
        <f aca="false">A32-1</f>
        <v>11</v>
      </c>
      <c r="C38" s="237"/>
      <c r="D38" s="100" t="s">
        <v>393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57</v>
      </c>
      <c r="G40" s="2" t="s">
        <v>58</v>
      </c>
      <c r="H40" s="2" t="n">
        <f aca="false">E11</f>
        <v>9647.5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395</v>
      </c>
      <c r="B41" s="100" t="s">
        <v>405</v>
      </c>
      <c r="C41" s="100"/>
      <c r="D41" s="219" t="s">
        <v>18</v>
      </c>
      <c r="E41" s="219"/>
      <c r="F41" s="387"/>
      <c r="G41" s="2" t="s">
        <v>59</v>
      </c>
      <c r="H41" s="2" t="str">
        <f aca="false">IF(D41="Yes",A44, 0)</f>
        <v>50</v>
      </c>
      <c r="I41" s="2"/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117</v>
      </c>
      <c r="B43" s="236" t="s">
        <v>67</v>
      </c>
      <c r="C43" s="226" t="s">
        <v>334</v>
      </c>
      <c r="D43" s="236" t="s">
        <v>206</v>
      </c>
      <c r="E43" s="239"/>
      <c r="F43" s="387"/>
      <c r="G43" s="2" t="s">
        <v>64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s">
        <v>389</v>
      </c>
      <c r="B44" s="100" t="s">
        <v>397</v>
      </c>
      <c r="C44" s="100"/>
      <c r="D44" s="100" t="s">
        <v>397</v>
      </c>
      <c r="E44" s="100"/>
      <c r="F44" s="387"/>
      <c r="G44" s="2" t="s">
        <v>65</v>
      </c>
      <c r="H44" s="2" t="n">
        <f aca="false">((H40-(((H42/(1.2))*0.2)))/(H43))</f>
        <v>720.625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69</v>
      </c>
      <c r="H45" s="2" t="n">
        <f aca="false">(H39-H44)+H41</f>
        <v>-170.625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70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71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73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74</v>
      </c>
      <c r="H49" s="2" t="n">
        <f aca="false">H45+H48+H47</f>
        <v>-167.958333333333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26"/>
      <c r="E50" s="239"/>
      <c r="F50" s="387"/>
      <c r="G50" s="2" t="s">
        <v>338</v>
      </c>
      <c r="H50" s="2" t="n">
        <f aca="false">H49-H41</f>
        <v>-217.958333333333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H49</f>
        <v>-167.958333333333</v>
      </c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-167.958333333333</v>
      </c>
      <c r="C58" s="74"/>
      <c r="D58" s="352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84</v>
      </c>
      <c r="B63" s="316" t="n">
        <f aca="false">IF(B105=Z103,1,IF(B105=Z104,1,IF(B105=Z105,3,IF(B105=Z106,6,IF(B105=Z107,9,IF(B105=Z108,12,IF(B105=Z109,3,IF(B105=Z110,6,IF(B105=Z111,9,0)))))))))</f>
        <v>9</v>
      </c>
      <c r="C63" s="316"/>
      <c r="D63" s="316"/>
      <c r="E63" s="317"/>
      <c r="F63" s="387"/>
      <c r="G63" s="315" t="s">
        <v>84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84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85</v>
      </c>
      <c r="B64" s="316" t="n">
        <f aca="false">IF(B105=Z103,H29-B63,IF(B105=Z104,H29-B63,IF(B105=Z105,H29-1,IF(B105=Z106,H29-1,IF(B105=Z107,H29-1,IF(B105=Z108,H29-1,IF(B105=Z109,H29-B63,IF(B105=Z110,H29-B63,IF(B105=Z111,H29-B63,0)))))))))</f>
        <v>3</v>
      </c>
      <c r="C64" s="316"/>
      <c r="D64" s="316"/>
      <c r="E64" s="317"/>
      <c r="F64" s="387"/>
      <c r="G64" s="315" t="s">
        <v>85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85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315"/>
      <c r="B66" s="316"/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315" t="s">
        <v>14</v>
      </c>
      <c r="B67" s="32" t="n">
        <f aca="false">G18</f>
        <v>57885</v>
      </c>
      <c r="C67" s="316"/>
      <c r="D67" s="316"/>
      <c r="E67" s="317"/>
      <c r="F67" s="387"/>
      <c r="G67" s="315" t="s">
        <v>14</v>
      </c>
      <c r="H67" s="32" t="n">
        <f aca="false">G18</f>
        <v>57885</v>
      </c>
      <c r="I67" s="316"/>
      <c r="J67" s="316"/>
      <c r="K67" s="317"/>
      <c r="L67" s="387"/>
      <c r="M67" s="315" t="s">
        <v>14</v>
      </c>
      <c r="N67" s="32" t="n">
        <f aca="false">G18</f>
        <v>57885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398" t="s">
        <v>275</v>
      </c>
      <c r="B68" s="399" t="n">
        <v>0.07</v>
      </c>
      <c r="C68" s="316"/>
      <c r="D68" s="316"/>
      <c r="E68" s="317"/>
      <c r="F68" s="387"/>
      <c r="G68" s="398" t="s">
        <v>275</v>
      </c>
      <c r="H68" s="399" t="n">
        <v>0.07</v>
      </c>
      <c r="I68" s="316"/>
      <c r="J68" s="316"/>
      <c r="K68" s="317"/>
      <c r="L68" s="387"/>
      <c r="M68" s="398" t="s">
        <v>275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315" t="s">
        <v>276</v>
      </c>
      <c r="B69" s="375" t="n">
        <f aca="false">B68+(B68*0.25*(H29/12-1))</f>
        <v>0.07</v>
      </c>
      <c r="C69" s="316"/>
      <c r="D69" s="316"/>
      <c r="E69" s="317"/>
      <c r="F69" s="387"/>
      <c r="G69" s="315" t="s">
        <v>276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276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365" t="s">
        <v>90</v>
      </c>
      <c r="B70" s="65" t="n">
        <f aca="false">B67*B69</f>
        <v>4051.95</v>
      </c>
      <c r="C70" s="316" t="n">
        <v>10000.0</v>
      </c>
      <c r="D70" s="32" t="n">
        <f aca="false">B70-A149</f>
        <v>4051.95</v>
      </c>
      <c r="E70" s="317" t="n">
        <f aca="false">D70/12</f>
        <v>337.6625</v>
      </c>
      <c r="F70" s="387"/>
      <c r="G70" s="365" t="s">
        <v>90</v>
      </c>
      <c r="H70" s="65" t="n">
        <f aca="false">H67*H69</f>
        <v>4051.95</v>
      </c>
      <c r="I70" s="316"/>
      <c r="J70" s="32" t="n">
        <f aca="false">H70-G151</f>
        <v>4051.95</v>
      </c>
      <c r="K70" s="317"/>
      <c r="L70" s="387"/>
      <c r="M70" s="365" t="s">
        <v>90</v>
      </c>
      <c r="N70" s="65" t="n">
        <f aca="false">N67*N69</f>
        <v>4051.95</v>
      </c>
      <c r="O70" s="316"/>
      <c r="P70" s="32" t="n">
        <f aca="false">N70-M151</f>
        <v>4051.95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398" t="s">
        <v>91</v>
      </c>
      <c r="B71" s="399" t="n">
        <v>0.01</v>
      </c>
      <c r="C71" s="316"/>
      <c r="D71" s="316"/>
      <c r="E71" s="317"/>
      <c r="F71" s="387"/>
      <c r="G71" s="398" t="s">
        <v>91</v>
      </c>
      <c r="H71" s="399" t="n">
        <v>0.005</v>
      </c>
      <c r="I71" s="316"/>
      <c r="J71" s="316"/>
      <c r="K71" s="317"/>
      <c r="L71" s="387"/>
      <c r="M71" s="398" t="s">
        <v>91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315" t="s">
        <v>92</v>
      </c>
      <c r="B72" s="375" t="n">
        <f aca="false">B71+(B71*0.5*(H29/12-1))</f>
        <v>0.01</v>
      </c>
      <c r="C72" s="316"/>
      <c r="D72" s="316"/>
      <c r="E72" s="317"/>
      <c r="F72" s="387"/>
      <c r="G72" s="315" t="s">
        <v>92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92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365" t="s">
        <v>93</v>
      </c>
      <c r="B73" s="65" t="n">
        <f aca="false">B67*B72</f>
        <v>578.85</v>
      </c>
      <c r="C73" s="316"/>
      <c r="D73" s="32"/>
      <c r="E73" s="317"/>
      <c r="F73" s="387"/>
      <c r="G73" s="365" t="s">
        <v>93</v>
      </c>
      <c r="H73" s="65" t="n">
        <f aca="false">H67*H72</f>
        <v>289.425</v>
      </c>
      <c r="I73" s="316"/>
      <c r="J73" s="32"/>
      <c r="K73" s="317"/>
      <c r="L73" s="387"/>
      <c r="M73" s="365" t="s">
        <v>93</v>
      </c>
      <c r="N73" s="65" t="n">
        <f aca="false">N67*N72</f>
        <v>289.425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94</v>
      </c>
      <c r="B74" s="399" t="n">
        <v>0.0075</v>
      </c>
      <c r="C74" s="316"/>
      <c r="D74" s="316"/>
      <c r="E74" s="317"/>
      <c r="F74" s="387"/>
      <c r="G74" s="398" t="s">
        <v>94</v>
      </c>
      <c r="H74" s="399" t="n">
        <v>0.0075</v>
      </c>
      <c r="I74" s="316"/>
      <c r="J74" s="316"/>
      <c r="K74" s="317"/>
      <c r="L74" s="387"/>
      <c r="M74" s="398" t="s">
        <v>94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95</v>
      </c>
      <c r="B75" s="401" t="n">
        <v>0.12</v>
      </c>
      <c r="C75" s="316"/>
      <c r="D75" s="316"/>
      <c r="E75" s="317"/>
      <c r="F75" s="387"/>
      <c r="G75" s="400" t="s">
        <v>95</v>
      </c>
      <c r="H75" s="401" t="n">
        <v>0.12</v>
      </c>
      <c r="I75" s="316"/>
      <c r="J75" s="316"/>
      <c r="K75" s="317"/>
      <c r="L75" s="387"/>
      <c r="M75" s="400" t="s">
        <v>95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96</v>
      </c>
      <c r="B76" s="402" t="n">
        <f aca="false">B74*(1+B75)</f>
        <v>0.0084</v>
      </c>
      <c r="C76" s="316"/>
      <c r="D76" s="316"/>
      <c r="E76" s="317"/>
      <c r="F76" s="387"/>
      <c r="G76" s="365" t="s">
        <v>96</v>
      </c>
      <c r="H76" s="402" t="n">
        <f aca="false">H74*(1+H75)</f>
        <v>0.0084</v>
      </c>
      <c r="I76" s="316"/>
      <c r="J76" s="316"/>
      <c r="K76" s="317"/>
      <c r="L76" s="387"/>
      <c r="M76" s="365" t="s">
        <v>96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97</v>
      </c>
      <c r="B77" s="86" t="n">
        <v>200.0</v>
      </c>
      <c r="C77" s="316"/>
      <c r="D77" s="316"/>
      <c r="E77" s="317"/>
      <c r="F77" s="387"/>
      <c r="G77" s="398" t="s">
        <v>97</v>
      </c>
      <c r="H77" s="86" t="n">
        <v>160</v>
      </c>
      <c r="I77" s="316"/>
      <c r="J77" s="316"/>
      <c r="K77" s="317"/>
      <c r="L77" s="387"/>
      <c r="M77" s="398" t="s">
        <v>97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98</v>
      </c>
      <c r="B78" s="77" t="n">
        <v>5.0</v>
      </c>
      <c r="C78" s="316"/>
      <c r="D78" s="316"/>
      <c r="E78" s="317"/>
      <c r="F78" s="387"/>
      <c r="G78" s="400" t="s">
        <v>98</v>
      </c>
      <c r="H78" s="77" t="n">
        <v>4.5</v>
      </c>
      <c r="I78" s="316"/>
      <c r="J78" s="316"/>
      <c r="K78" s="317"/>
      <c r="L78" s="387"/>
      <c r="M78" s="400" t="s">
        <v>98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99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99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99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277</v>
      </c>
      <c r="B80" s="86" t="n">
        <v>165.0</v>
      </c>
      <c r="C80" s="316"/>
      <c r="D80" s="316"/>
      <c r="E80" s="403" t="n">
        <f aca="false">E79+D82</f>
        <v>703.333333333333</v>
      </c>
      <c r="F80" s="387"/>
      <c r="G80" s="398" t="s">
        <v>277</v>
      </c>
      <c r="H80" s="86" t="n">
        <v>150</v>
      </c>
      <c r="I80" s="316"/>
      <c r="J80" s="316"/>
      <c r="K80" s="317"/>
      <c r="L80" s="387"/>
      <c r="M80" s="404" t="s">
        <v>277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278</v>
      </c>
      <c r="B81" s="77" t="n">
        <v>355.0</v>
      </c>
      <c r="C81" s="316"/>
      <c r="D81" s="316"/>
      <c r="E81" s="317" t="n">
        <f aca="false">E80/12</f>
        <v>58.6111111111111</v>
      </c>
      <c r="F81" s="387"/>
      <c r="G81" s="400" t="s">
        <v>278</v>
      </c>
      <c r="H81" s="77" t="n">
        <f aca="false">IF(G18&gt;40000, 325, 0)</f>
        <v>325</v>
      </c>
      <c r="I81" s="316"/>
      <c r="J81" s="316"/>
      <c r="K81" s="317"/>
      <c r="L81" s="387"/>
      <c r="M81" s="406" t="s">
        <v>278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279</v>
      </c>
      <c r="B82" s="65" t="n">
        <f aca="false">((B80+B81)/12)*(H29-11)</f>
        <v>43.3333333333333</v>
      </c>
      <c r="C82" s="316"/>
      <c r="D82" s="32" t="n">
        <f aca="false">IF(A50="YES", 0, B82)</f>
        <v>43.3333333333333</v>
      </c>
      <c r="E82" s="317"/>
      <c r="F82" s="387"/>
      <c r="G82" s="365" t="s">
        <v>279</v>
      </c>
      <c r="H82" s="65" t="n">
        <f aca="false">((H80+H81)/12)*(H29-11)</f>
        <v>39.5833333333333</v>
      </c>
      <c r="I82" s="316"/>
      <c r="J82" s="32" t="n">
        <f aca="false">IF(A50="YES", 0, H82)</f>
        <v>39.5833333333333</v>
      </c>
      <c r="K82" s="317"/>
      <c r="L82" s="387"/>
      <c r="M82" s="408" t="s">
        <v>279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280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280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280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281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281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100</v>
      </c>
      <c r="B85" s="77" t="n">
        <v>200.0</v>
      </c>
      <c r="C85" s="316"/>
      <c r="D85" s="32" t="n">
        <f aca="false">B85</f>
        <v>200</v>
      </c>
      <c r="E85" s="317"/>
      <c r="F85" s="387"/>
      <c r="G85" s="400" t="s">
        <v>100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100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101</v>
      </c>
      <c r="B86" s="87" t="n">
        <v>200.0</v>
      </c>
      <c r="C86" s="316"/>
      <c r="D86" s="32" t="n">
        <f aca="false">B86</f>
        <v>200</v>
      </c>
      <c r="E86" s="317"/>
      <c r="F86" s="387"/>
      <c r="G86" s="410" t="s">
        <v>101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101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102</v>
      </c>
      <c r="B87" s="412" t="n">
        <f aca="false">SUM(D70:D86)</f>
        <v>5421.95</v>
      </c>
      <c r="C87" s="316"/>
      <c r="D87" s="316"/>
      <c r="E87" s="317"/>
      <c r="F87" s="387"/>
      <c r="G87" s="411" t="s">
        <v>102</v>
      </c>
      <c r="H87" s="412" t="n">
        <f aca="false">SUM(J70:J86)</f>
        <v>7205.53333333333</v>
      </c>
      <c r="I87" s="316"/>
      <c r="J87" s="316"/>
      <c r="K87" s="317"/>
      <c r="L87" s="387"/>
      <c r="M87" s="411" t="s">
        <v>102</v>
      </c>
      <c r="N87" s="412" t="n">
        <f aca="false">SUM(P70:P86)</f>
        <v>7165.95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103</v>
      </c>
      <c r="B88" s="33" t="n">
        <f aca="false">B87/H29</f>
        <v>451.829166666667</v>
      </c>
      <c r="C88" s="316"/>
      <c r="D88" s="316"/>
      <c r="E88" s="317"/>
      <c r="F88" s="387"/>
      <c r="G88" s="315" t="s">
        <v>103</v>
      </c>
      <c r="H88" s="33" t="n">
        <f aca="false">H87/H29</f>
        <v>600.461111111111</v>
      </c>
      <c r="I88" s="316"/>
      <c r="J88" s="316"/>
      <c r="K88" s="317"/>
      <c r="L88" s="387"/>
      <c r="M88" s="315" t="s">
        <v>103</v>
      </c>
      <c r="N88" s="33" t="n">
        <f aca="false">N87/H29</f>
        <v>597.1625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104</v>
      </c>
      <c r="B89" s="59" t="n">
        <f aca="false">H50</f>
        <v>-217.958333333333</v>
      </c>
      <c r="C89" s="316"/>
      <c r="D89" s="316"/>
      <c r="E89" s="317"/>
      <c r="F89" s="387"/>
      <c r="G89" s="413" t="s">
        <v>104</v>
      </c>
      <c r="H89" s="59" t="n">
        <f aca="false">H46</f>
        <v>0</v>
      </c>
      <c r="I89" s="316"/>
      <c r="J89" s="316"/>
      <c r="K89" s="317"/>
      <c r="L89" s="387"/>
      <c r="M89" s="413" t="s">
        <v>104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114</v>
      </c>
      <c r="B91" s="27" t="n">
        <f aca="false">((B89*H29)+B87)*1.2</f>
        <v>3367.74</v>
      </c>
      <c r="C91" s="316"/>
      <c r="D91" s="316"/>
      <c r="E91" s="317"/>
      <c r="F91" s="387"/>
      <c r="G91" s="395" t="s">
        <v>114</v>
      </c>
      <c r="H91" s="27" t="n">
        <f aca="false">((H89*H29)+H87)*1.2</f>
        <v>8646.64</v>
      </c>
      <c r="I91" s="316"/>
      <c r="J91" s="316"/>
      <c r="K91" s="317"/>
      <c r="L91" s="387"/>
      <c r="M91" s="395" t="s">
        <v>114</v>
      </c>
      <c r="N91" s="27" t="n">
        <f aca="false">((N89*H29)+N87)</f>
        <v>7165.95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115</v>
      </c>
      <c r="B92" s="33" t="n">
        <f aca="false">(((B89*H29)+B87)/(1-B76))*B76</f>
        <v>23.7738805970149</v>
      </c>
      <c r="C92" s="316"/>
      <c r="D92" s="316"/>
      <c r="E92" s="414"/>
      <c r="F92" s="387"/>
      <c r="G92" s="315" t="s">
        <v>115</v>
      </c>
      <c r="H92" s="33" t="n">
        <f aca="false">(((H89*H29)+H87)/(1-H76))*H76</f>
        <v>61.0392093586123</v>
      </c>
      <c r="I92" s="316"/>
      <c r="J92" s="316"/>
      <c r="K92" s="317"/>
      <c r="L92" s="387"/>
      <c r="M92" s="315" t="s">
        <v>115</v>
      </c>
      <c r="N92" s="33" t="n">
        <f aca="false">(N91/(1-N76))*N76</f>
        <v>60.7038926986688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116</v>
      </c>
      <c r="B93" s="65" t="n">
        <f aca="false">IF(B116="YES",((B91+B92)-E120),(B91+B92))</f>
        <v>3391.51388059702</v>
      </c>
      <c r="C93" s="316"/>
      <c r="D93" s="316"/>
      <c r="E93" s="317"/>
      <c r="F93" s="387"/>
      <c r="G93" s="365" t="s">
        <v>116</v>
      </c>
      <c r="H93" s="65" t="n">
        <f aca="false">IF(H116="YES",((H91+H92)-K120),(H91+H92))</f>
        <v>10707.6792093586</v>
      </c>
      <c r="I93" s="316"/>
      <c r="J93" s="316"/>
      <c r="K93" s="317"/>
      <c r="L93" s="387"/>
      <c r="M93" s="365" t="s">
        <v>116</v>
      </c>
      <c r="N93" s="65" t="n">
        <f aca="false">IF(N116="YES",((N91+N92)-K120),(N91+N92))</f>
        <v>9226.65389269867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117</v>
      </c>
      <c r="B95" s="412" t="n">
        <f aca="false">IF(B105=Z104,(((H41*A32)+(H41*A32)*(B111/100))/(B64)),(((H41*A32)+(H41*A32)*(B111/100))/(B63+B64)))*1.2</f>
        <v>78</v>
      </c>
      <c r="C95" s="316"/>
      <c r="D95" s="316"/>
      <c r="E95" s="317"/>
      <c r="F95" s="387"/>
      <c r="G95" s="411" t="s">
        <v>117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117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118</v>
      </c>
      <c r="B96" s="416" t="n">
        <f aca="false">IF(B105=Z104, (B93-D111)/(B64), B93/(B63+B64))</f>
        <v>282.626156716418</v>
      </c>
      <c r="C96" s="316"/>
      <c r="D96" s="316"/>
      <c r="E96" s="317"/>
      <c r="F96" s="387"/>
      <c r="G96" s="415" t="s">
        <v>118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118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119</v>
      </c>
      <c r="B97" s="418" t="n">
        <f aca="false">IF(A111="YES", B96+B95, B96)</f>
        <v>360.626156716418</v>
      </c>
      <c r="C97" s="316"/>
      <c r="D97" s="419"/>
      <c r="E97" s="317"/>
      <c r="F97" s="387"/>
      <c r="G97" s="417" t="s">
        <v>119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119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387"/>
      <c r="G100" s="209" t="s">
        <v>282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387"/>
      <c r="G102" s="213" t="s">
        <v>124</v>
      </c>
      <c r="H102" s="213"/>
      <c r="I102" s="213"/>
      <c r="J102" s="213"/>
      <c r="K102" s="213"/>
      <c r="L102" s="387"/>
      <c r="M102" s="213" t="s">
        <v>124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128</v>
      </c>
    </row>
    <row r="104" customFormat="false" ht="18.75" hidden="false" customHeight="true" outlineLevel="0" collapsed="false">
      <c r="A104" s="315" t="s">
        <v>125</v>
      </c>
      <c r="B104" s="316" t="s">
        <v>23</v>
      </c>
      <c r="C104" s="316"/>
      <c r="D104" s="316" t="s">
        <v>283</v>
      </c>
      <c r="E104" s="317"/>
      <c r="F104" s="387"/>
      <c r="G104" s="315" t="s">
        <v>125</v>
      </c>
      <c r="H104" s="316" t="s">
        <v>23</v>
      </c>
      <c r="I104" s="316"/>
      <c r="J104" s="316" t="s">
        <v>283</v>
      </c>
      <c r="K104" s="317"/>
      <c r="L104" s="387"/>
      <c r="M104" s="315" t="s">
        <v>125</v>
      </c>
      <c r="N104" s="316" t="s">
        <v>23</v>
      </c>
      <c r="O104" s="316"/>
      <c r="P104" s="316" t="s">
        <v>283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261</v>
      </c>
    </row>
    <row r="105" customFormat="false" ht="18.75" hidden="false" customHeight="true" outlineLevel="0" collapsed="false">
      <c r="A105" s="373"/>
      <c r="B105" s="311" t="s">
        <v>285</v>
      </c>
      <c r="C105" s="311"/>
      <c r="D105" s="420" t="n">
        <v>1000.0</v>
      </c>
      <c r="E105" s="420"/>
      <c r="F105" s="387"/>
      <c r="G105" s="373" t="s">
        <v>284</v>
      </c>
      <c r="H105" s="311" t="s">
        <v>266</v>
      </c>
      <c r="I105" s="311"/>
      <c r="J105" s="420" t="n">
        <v>5000</v>
      </c>
      <c r="K105" s="420"/>
      <c r="L105" s="387"/>
      <c r="M105" s="373" t="s">
        <v>284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262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263</v>
      </c>
    </row>
    <row r="107" customFormat="false" ht="18.75" hidden="false" customHeight="true" outlineLevel="0" collapsed="false">
      <c r="A107" s="315" t="s">
        <v>286</v>
      </c>
      <c r="B107" s="316" t="s">
        <v>287</v>
      </c>
      <c r="C107" s="316"/>
      <c r="D107" s="316" t="s">
        <v>288</v>
      </c>
      <c r="E107" s="317"/>
      <c r="F107" s="387"/>
      <c r="G107" s="315" t="s">
        <v>286</v>
      </c>
      <c r="H107" s="316" t="s">
        <v>287</v>
      </c>
      <c r="I107" s="316"/>
      <c r="J107" s="316" t="s">
        <v>288</v>
      </c>
      <c r="K107" s="317"/>
      <c r="L107" s="387"/>
      <c r="M107" s="315" t="s">
        <v>286</v>
      </c>
      <c r="N107" s="316" t="s">
        <v>287</v>
      </c>
      <c r="O107" s="316"/>
      <c r="P107" s="316" t="s">
        <v>288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264</v>
      </c>
    </row>
    <row r="108" customFormat="false" ht="18.75" hidden="false" customHeight="true" outlineLevel="0" collapsed="false">
      <c r="A108" s="312" t="n">
        <v>239.99</v>
      </c>
      <c r="B108" s="103" t="n">
        <v>400.0</v>
      </c>
      <c r="C108" s="103"/>
      <c r="D108" s="103" t="n">
        <v>200.0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126</v>
      </c>
      <c r="B110" s="387" t="s">
        <v>129</v>
      </c>
      <c r="C110" s="316"/>
      <c r="D110" s="316" t="s">
        <v>140</v>
      </c>
      <c r="E110" s="317"/>
      <c r="F110" s="387"/>
      <c r="G110" s="373" t="s">
        <v>126</v>
      </c>
      <c r="H110" s="387" t="s">
        <v>129</v>
      </c>
      <c r="I110" s="316"/>
      <c r="J110" s="316" t="s">
        <v>140</v>
      </c>
      <c r="K110" s="317"/>
      <c r="L110" s="387"/>
      <c r="M110" s="373" t="s">
        <v>126</v>
      </c>
      <c r="N110" s="387" t="s">
        <v>129</v>
      </c>
      <c r="O110" s="316"/>
      <c r="P110" s="316" t="s">
        <v>140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386</v>
      </c>
      <c r="B111" s="311" t="n">
        <v>30.0</v>
      </c>
      <c r="C111" s="311"/>
      <c r="D111" s="103" t="s">
        <v>410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387"/>
      <c r="G114" s="213" t="s">
        <v>290</v>
      </c>
      <c r="H114" s="213"/>
      <c r="I114" s="213"/>
      <c r="J114" s="213"/>
      <c r="K114" s="213"/>
      <c r="L114" s="387"/>
      <c r="M114" s="213" t="s">
        <v>290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291</v>
      </c>
      <c r="B116" s="388" t="s">
        <v>390</v>
      </c>
      <c r="C116" s="316"/>
      <c r="D116" s="316"/>
      <c r="E116" s="317"/>
      <c r="F116" s="387"/>
      <c r="G116" s="315" t="s">
        <v>291</v>
      </c>
      <c r="H116" s="388" t="s">
        <v>18</v>
      </c>
      <c r="I116" s="316"/>
      <c r="J116" s="316"/>
      <c r="K116" s="317"/>
      <c r="L116" s="387"/>
      <c r="M116" s="315" t="s">
        <v>291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174</v>
      </c>
      <c r="B118" s="316"/>
      <c r="C118" s="316"/>
      <c r="D118" s="312" t="n">
        <v>0.0</v>
      </c>
      <c r="E118" s="103" t="n">
        <v>6000.0</v>
      </c>
      <c r="F118" s="387"/>
      <c r="G118" s="315" t="s">
        <v>174</v>
      </c>
      <c r="H118" s="316"/>
      <c r="I118" s="316"/>
      <c r="J118" s="312" t="n">
        <v>10000</v>
      </c>
      <c r="K118" s="103" t="n">
        <v>5000</v>
      </c>
      <c r="L118" s="387"/>
      <c r="M118" s="315" t="s">
        <v>174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175</v>
      </c>
      <c r="B119" s="316"/>
      <c r="C119" s="316"/>
      <c r="D119" s="39" t="n">
        <f aca="false">E119</f>
        <v>2000</v>
      </c>
      <c r="E119" s="103" t="n">
        <v>2000.0</v>
      </c>
      <c r="F119" s="387"/>
      <c r="G119" s="315" t="s">
        <v>175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175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176</v>
      </c>
      <c r="B120" s="316"/>
      <c r="C120" s="316"/>
      <c r="D120" s="39" t="n">
        <f aca="false">D118-D119</f>
        <v>-2000</v>
      </c>
      <c r="E120" s="164" t="n">
        <f aca="false">E118-E119</f>
        <v>4000</v>
      </c>
      <c r="F120" s="387"/>
      <c r="G120" s="315" t="s">
        <v>176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176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177</v>
      </c>
      <c r="B121" s="316"/>
      <c r="C121" s="316"/>
      <c r="D121" s="39" t="n">
        <f aca="false">D120-E120</f>
        <v>-6000</v>
      </c>
      <c r="E121" s="317"/>
      <c r="F121" s="387"/>
      <c r="G121" s="315" t="s">
        <v>177</v>
      </c>
      <c r="H121" s="316"/>
      <c r="I121" s="316"/>
      <c r="J121" s="39" t="n">
        <f aca="false">J120-K120</f>
        <v>5000</v>
      </c>
      <c r="K121" s="317"/>
      <c r="L121" s="387"/>
      <c r="M121" s="315" t="s">
        <v>177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136</v>
      </c>
      <c r="B123" s="396"/>
      <c r="C123" s="396"/>
      <c r="D123" s="396"/>
      <c r="E123" s="27" t="n">
        <f aca="false">D105</f>
        <v>1000</v>
      </c>
      <c r="F123" s="387"/>
      <c r="G123" s="395" t="s">
        <v>136</v>
      </c>
      <c r="H123" s="396"/>
      <c r="I123" s="396"/>
      <c r="J123" s="396"/>
      <c r="K123" s="27" t="n">
        <f aca="false">J105</f>
        <v>5000</v>
      </c>
      <c r="L123" s="387"/>
      <c r="M123" s="395" t="s">
        <v>136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239.99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292</v>
      </c>
      <c r="B125" s="366"/>
      <c r="C125" s="366"/>
      <c r="D125" s="366"/>
      <c r="E125" s="65" t="n">
        <f aca="false">(E124+E123)-E120</f>
        <v>-2760.01</v>
      </c>
      <c r="F125" s="387"/>
      <c r="G125" s="421" t="s">
        <v>292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292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387"/>
      <c r="G128" s="213" t="s">
        <v>293</v>
      </c>
      <c r="H128" s="213"/>
      <c r="I128" s="213"/>
      <c r="J128" s="213"/>
      <c r="K128" s="213"/>
      <c r="L128" s="387"/>
      <c r="M128" s="213" t="s">
        <v>293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125</v>
      </c>
      <c r="B130" s="319" t="n">
        <v>0.0</v>
      </c>
      <c r="C130" s="320"/>
      <c r="D130" s="319" t="s">
        <v>83</v>
      </c>
      <c r="E130" s="321"/>
      <c r="F130" s="387"/>
      <c r="G130" s="315" t="s">
        <v>181</v>
      </c>
      <c r="H130" s="169" t="n">
        <v>0</v>
      </c>
      <c r="I130" s="169"/>
      <c r="J130" s="316"/>
      <c r="K130" s="317"/>
      <c r="L130" s="387"/>
      <c r="M130" s="315" t="s">
        <v>181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82</v>
      </c>
      <c r="H132" s="316" t="s">
        <v>83</v>
      </c>
      <c r="I132" s="316"/>
      <c r="J132" s="316" t="s">
        <v>85</v>
      </c>
      <c r="K132" s="317"/>
      <c r="L132" s="387"/>
      <c r="M132" s="315" t="s">
        <v>82</v>
      </c>
      <c r="N132" s="316" t="s">
        <v>83</v>
      </c>
      <c r="O132" s="316"/>
      <c r="P132" s="316" t="s">
        <v>85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3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3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282.626156716418</v>
      </c>
      <c r="B134" s="320" t="n">
        <f aca="false">IF(A111="YES", B95, 0)</f>
        <v>78</v>
      </c>
      <c r="C134" s="324"/>
      <c r="D134" s="320" t="n">
        <f aca="false">B97</f>
        <v>360.626156716418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296</v>
      </c>
      <c r="H135" s="423" t="s">
        <v>297</v>
      </c>
      <c r="I135" s="423"/>
      <c r="J135" s="423" t="s">
        <v>298</v>
      </c>
      <c r="K135" s="317"/>
      <c r="L135" s="387"/>
      <c r="M135" s="422" t="s">
        <v>342</v>
      </c>
      <c r="N135" s="423" t="s">
        <v>250</v>
      </c>
      <c r="O135" s="423"/>
      <c r="P135" s="423" t="s">
        <v>119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2543.63541044776</v>
      </c>
      <c r="C137" s="316"/>
      <c r="D137" s="38" t="n">
        <f aca="false">IF(A111="YES", B95*B63, 0)</f>
        <v>702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301</v>
      </c>
      <c r="H138" s="316" t="s">
        <v>302</v>
      </c>
      <c r="I138" s="316"/>
      <c r="J138" s="316" t="s">
        <v>303</v>
      </c>
      <c r="K138" s="317"/>
      <c r="L138" s="387"/>
      <c r="M138" s="315" t="s">
        <v>343</v>
      </c>
      <c r="N138" s="316" t="s">
        <v>239</v>
      </c>
      <c r="O138" s="316"/>
      <c r="P138" s="316" t="s">
        <v>243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3245.63541044776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306</v>
      </c>
      <c r="H141" s="316" t="s">
        <v>307</v>
      </c>
      <c r="I141" s="316"/>
      <c r="J141" s="316" t="s">
        <v>308</v>
      </c>
      <c r="K141" s="317"/>
      <c r="L141" s="387"/>
      <c r="M141" s="315" t="s">
        <v>252</v>
      </c>
      <c r="N141" s="316" t="s">
        <v>253</v>
      </c>
      <c r="O141" s="316"/>
      <c r="P141" s="316" t="s">
        <v>257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387"/>
      <c r="G142" s="107" t="n">
        <f aca="false">E15*0.000006</f>
        <v>0.35115</v>
      </c>
      <c r="H142" s="38" t="n">
        <f aca="false">IF(G111="YES", E15*0.000002, 0)</f>
        <v>0.11705</v>
      </c>
      <c r="I142" s="38"/>
      <c r="J142" s="38" t="n">
        <f aca="false">G142+H142</f>
        <v>0.4682</v>
      </c>
      <c r="K142" s="101"/>
      <c r="L142" s="387"/>
      <c r="M142" s="107" t="n">
        <f aca="false">E15*0.000006</f>
        <v>0.35115</v>
      </c>
      <c r="N142" s="38" t="n">
        <f aca="false">IF(M111="YES", E15*0.000002, 0)</f>
        <v>0.11705</v>
      </c>
      <c r="O142" s="38"/>
      <c r="P142" s="38" t="n">
        <f aca="false">M142+N142</f>
        <v>0.4682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282.626156716418</v>
      </c>
      <c r="B143" s="38" t="n">
        <f aca="false">IF(A111="YES", B95, 0)</f>
        <v>78</v>
      </c>
      <c r="C143" s="316"/>
      <c r="D143" s="38" t="n">
        <f aca="false">B97</f>
        <v>360.626156716418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309</v>
      </c>
      <c r="H144" s="316" t="s">
        <v>310</v>
      </c>
      <c r="I144" s="316"/>
      <c r="J144" s="316" t="s">
        <v>311</v>
      </c>
      <c r="K144" s="317"/>
      <c r="L144" s="387"/>
      <c r="M144" s="315" t="s">
        <v>139</v>
      </c>
      <c r="N144" s="316" t="s">
        <v>310</v>
      </c>
      <c r="O144" s="316"/>
      <c r="P144" s="316" t="s">
        <v>311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387"/>
      <c r="G145" s="107" t="n">
        <f aca="false">G108</f>
        <v>239.988</v>
      </c>
      <c r="H145" s="38" t="n">
        <f aca="false">H73/1.2</f>
        <v>241.1875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241.1875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313</v>
      </c>
      <c r="H147" s="316" t="s">
        <v>314</v>
      </c>
      <c r="I147" s="316"/>
      <c r="J147" s="316" t="s">
        <v>315</v>
      </c>
      <c r="K147" s="317"/>
      <c r="L147" s="387"/>
      <c r="M147" s="315" t="s">
        <v>313</v>
      </c>
      <c r="N147" s="316" t="s">
        <v>314</v>
      </c>
      <c r="O147" s="316"/>
      <c r="P147" s="316" t="s">
        <v>315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2901.1755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2861.1775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317</v>
      </c>
      <c r="H150" s="316" t="s">
        <v>318</v>
      </c>
      <c r="I150" s="316"/>
      <c r="J150" s="316"/>
      <c r="K150" s="317"/>
      <c r="L150" s="387"/>
      <c r="M150" s="315" t="s">
        <v>317</v>
      </c>
      <c r="N150" s="316" t="s">
        <v>318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578.85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1"/>
      <c r="F154" s="387"/>
      <c r="G154" s="347" t="s">
        <v>323</v>
      </c>
      <c r="H154" s="316"/>
      <c r="I154" s="316"/>
      <c r="J154" s="348"/>
      <c r="K154" s="349"/>
      <c r="L154" s="387"/>
      <c r="M154" s="424" t="n">
        <f aca="false">H40</f>
        <v>9647.5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7"/>
      <c r="G156" s="246" t="s">
        <v>82</v>
      </c>
      <c r="H156" s="247" t="s">
        <v>83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1096.84166666667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323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82</v>
      </c>
      <c r="N159" s="247" t="s">
        <v>83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360.626156716418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387"/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282.626156716418</v>
      </c>
      <c r="B177" s="354" t="n">
        <f aca="false">IF(A111="YES", B95, 0)</f>
        <v>78</v>
      </c>
      <c r="C177" s="356"/>
      <c r="D177" s="354" t="n">
        <f aca="false">A177+B177</f>
        <v>360.626156716418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2543.63541044776</v>
      </c>
      <c r="C180" s="352"/>
      <c r="D180" s="99" t="n">
        <f aca="false">IF(A111="YES", B95*B63, 0)</f>
        <v>702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3245.63541044776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282.626156716418</v>
      </c>
      <c r="B186" s="99" t="n">
        <f aca="false">IF(A111="YES", B95, 0)</f>
        <v>78</v>
      </c>
      <c r="C186" s="352"/>
      <c r="D186" s="99" t="n">
        <f aca="false">B97</f>
        <v>360.626156716418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400</v>
      </c>
      <c r="C197" s="99"/>
      <c r="D197" s="99" t="n">
        <f aca="false">IF(A111="YES", (A44/100*B111)*B131, 0)*0.1</f>
        <v>18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1096.84166666667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G201" s="387"/>
      <c r="H201" s="387"/>
      <c r="I201" s="387"/>
      <c r="J201" s="387"/>
      <c r="K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7"/>
      <c r="G202" s="387"/>
      <c r="H202" s="387"/>
      <c r="I202" s="387"/>
      <c r="J202" s="387"/>
      <c r="K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G203" s="387"/>
      <c r="H203" s="387"/>
      <c r="I203" s="387"/>
      <c r="J203" s="387"/>
      <c r="K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G204" s="387"/>
      <c r="H204" s="387"/>
      <c r="I204" s="387"/>
      <c r="J204" s="387"/>
      <c r="K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G205" s="387"/>
      <c r="H205" s="387"/>
      <c r="I205" s="387"/>
      <c r="J205" s="387"/>
      <c r="K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G206" s="387"/>
      <c r="H206" s="387"/>
      <c r="I206" s="387"/>
      <c r="J206" s="387"/>
      <c r="K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387"/>
      <c r="G207" s="387"/>
      <c r="H207" s="387"/>
      <c r="I207" s="387"/>
      <c r="J207" s="387"/>
      <c r="K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G208" s="387"/>
      <c r="H208" s="387"/>
      <c r="I208" s="387"/>
      <c r="J208" s="387"/>
      <c r="K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D70</f>
        <v>4051.95</v>
      </c>
      <c r="E209" s="321"/>
      <c r="F209" s="387"/>
      <c r="G209" s="387"/>
      <c r="H209" s="387"/>
      <c r="I209" s="387"/>
      <c r="J209" s="387"/>
      <c r="K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G210" s="387"/>
      <c r="H210" s="387"/>
      <c r="I210" s="387"/>
      <c r="J210" s="387"/>
      <c r="K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213</v>
      </c>
      <c r="B211" s="320" t="n">
        <f aca="false">B219</f>
        <v>578.85</v>
      </c>
      <c r="C211" s="319" t="s">
        <v>214</v>
      </c>
      <c r="D211" s="369" t="n">
        <f aca="false">B225+E221+B221+B223</f>
        <v>519.991666666667</v>
      </c>
      <c r="E211" s="321"/>
      <c r="F211" s="387"/>
      <c r="G211" s="387"/>
      <c r="H211" s="387"/>
      <c r="I211" s="387"/>
      <c r="J211" s="387"/>
      <c r="K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G212" s="387"/>
      <c r="H212" s="387"/>
      <c r="I212" s="387"/>
      <c r="J212" s="387"/>
      <c r="K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215</v>
      </c>
      <c r="B213" s="320" t="n">
        <f aca="false">E223</f>
        <v>3993.09166666667</v>
      </c>
      <c r="C213" s="324"/>
      <c r="D213" s="320"/>
      <c r="E213" s="321"/>
      <c r="F213" s="387"/>
      <c r="G213" s="387"/>
      <c r="H213" s="387"/>
      <c r="I213" s="387"/>
      <c r="J213" s="387"/>
      <c r="K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G214" s="387"/>
      <c r="H214" s="387"/>
      <c r="I214" s="387"/>
      <c r="J214" s="387"/>
      <c r="K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387"/>
      <c r="G215" s="387"/>
      <c r="H215" s="387"/>
      <c r="I215" s="387"/>
      <c r="J215" s="387"/>
      <c r="K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G216" s="387"/>
      <c r="H216" s="387"/>
      <c r="I216" s="387"/>
      <c r="J216" s="387"/>
      <c r="K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212</v>
      </c>
      <c r="B217" s="100" t="n">
        <f aca="false">D70</f>
        <v>4051.95</v>
      </c>
      <c r="C217" s="374" t="s">
        <v>218</v>
      </c>
      <c r="D217" s="316"/>
      <c r="E217" s="375" t="n">
        <f aca="false">B72</f>
        <v>0.01</v>
      </c>
      <c r="F217" s="387"/>
      <c r="G217" s="387"/>
      <c r="H217" s="387"/>
      <c r="I217" s="387"/>
      <c r="J217" s="387"/>
      <c r="K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G218" s="387"/>
      <c r="H218" s="387"/>
      <c r="I218" s="387"/>
      <c r="J218" s="387"/>
      <c r="K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218</v>
      </c>
      <c r="B219" s="100" t="n">
        <f aca="false">B73</f>
        <v>578.85</v>
      </c>
      <c r="C219" s="335" t="s">
        <v>326</v>
      </c>
      <c r="D219" s="376"/>
      <c r="E219" s="255" t="n">
        <v>0.001</v>
      </c>
      <c r="F219" s="387"/>
      <c r="G219" s="387"/>
      <c r="H219" s="387"/>
      <c r="I219" s="387"/>
      <c r="J219" s="387"/>
      <c r="K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G220" s="387"/>
      <c r="H220" s="387"/>
      <c r="I220" s="387"/>
      <c r="J220" s="387"/>
      <c r="K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387"/>
      <c r="G221" s="387"/>
      <c r="H221" s="387"/>
      <c r="I221" s="387"/>
      <c r="J221" s="387"/>
      <c r="K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G222" s="387"/>
      <c r="H222" s="387"/>
      <c r="I222" s="387"/>
      <c r="J222" s="387"/>
      <c r="K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3993.09166666667</v>
      </c>
      <c r="F223" s="387"/>
      <c r="G223" s="387"/>
      <c r="H223" s="387"/>
      <c r="I223" s="387"/>
      <c r="J223" s="387"/>
      <c r="K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G224" s="387"/>
      <c r="H224" s="387"/>
      <c r="I224" s="387"/>
      <c r="J224" s="387"/>
      <c r="K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328</v>
      </c>
      <c r="B225" s="340" t="n">
        <f aca="false">D197/0.1</f>
        <v>180</v>
      </c>
      <c r="C225" s="38"/>
      <c r="D225" s="340"/>
      <c r="E225" s="164"/>
      <c r="F225" s="387"/>
      <c r="G225" s="387"/>
      <c r="H225" s="387"/>
      <c r="I225" s="387"/>
      <c r="J225" s="387"/>
      <c r="K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G226" s="387"/>
      <c r="H226" s="387"/>
      <c r="I226" s="387"/>
      <c r="J226" s="387"/>
      <c r="K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387"/>
      <c r="G227" s="387"/>
      <c r="H227" s="387"/>
      <c r="I227" s="387"/>
      <c r="J227" s="387"/>
      <c r="K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G228" s="387"/>
      <c r="H228" s="387"/>
      <c r="I228" s="387"/>
      <c r="J228" s="387"/>
      <c r="K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387"/>
      <c r="G229" s="387"/>
      <c r="H229" s="387"/>
      <c r="I229" s="387"/>
      <c r="J229" s="387"/>
      <c r="K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387"/>
      <c r="G230" s="387"/>
      <c r="H230" s="387"/>
      <c r="I230" s="387"/>
      <c r="J230" s="387"/>
      <c r="K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387"/>
      <c r="G231" s="387"/>
      <c r="H231" s="387"/>
      <c r="I231" s="387"/>
      <c r="J231" s="387"/>
      <c r="K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23.7738805970149</v>
      </c>
      <c r="F232" s="387"/>
      <c r="G232" s="387"/>
      <c r="H232" s="387"/>
      <c r="I232" s="387"/>
      <c r="J232" s="387"/>
      <c r="K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387"/>
      <c r="G233" s="387"/>
      <c r="H233" s="387"/>
      <c r="I233" s="387"/>
      <c r="J233" s="387"/>
      <c r="K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G234" s="387"/>
      <c r="H234" s="387"/>
      <c r="I234" s="387"/>
      <c r="J234" s="387"/>
      <c r="K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355</v>
      </c>
      <c r="F235" s="387"/>
      <c r="G235" s="387"/>
      <c r="H235" s="387"/>
      <c r="I235" s="387"/>
      <c r="J235" s="387"/>
      <c r="K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G236" s="387"/>
      <c r="H236" s="387"/>
      <c r="I236" s="387"/>
      <c r="J236" s="387"/>
      <c r="K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G237" s="387"/>
      <c r="H237" s="387"/>
      <c r="I237" s="387"/>
      <c r="J237" s="387"/>
      <c r="K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G238" s="387"/>
      <c r="H238" s="387"/>
      <c r="I238" s="387"/>
      <c r="J238" s="387"/>
      <c r="K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G239" s="387"/>
      <c r="H239" s="387"/>
      <c r="I239" s="387"/>
      <c r="J239" s="387"/>
      <c r="K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G240" s="387"/>
      <c r="H240" s="387"/>
      <c r="I240" s="387"/>
      <c r="J240" s="387"/>
      <c r="K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G241" s="387"/>
      <c r="H241" s="387"/>
      <c r="I241" s="387"/>
      <c r="J241" s="387"/>
      <c r="K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G242" s="387"/>
      <c r="H242" s="387"/>
      <c r="I242" s="387"/>
      <c r="J242" s="387"/>
      <c r="K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87"/>
      <c r="B243" s="387"/>
      <c r="C243" s="387"/>
      <c r="D243" s="387"/>
      <c r="E243" s="387"/>
      <c r="F243" s="387"/>
      <c r="G243" s="387"/>
      <c r="H243" s="387"/>
      <c r="I243" s="387"/>
      <c r="J243" s="387"/>
      <c r="K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387"/>
      <c r="B244" s="387"/>
      <c r="C244" s="387"/>
      <c r="D244" s="387"/>
      <c r="E244" s="387"/>
      <c r="F244" s="387"/>
      <c r="G244" s="387"/>
      <c r="H244" s="387"/>
      <c r="I244" s="387"/>
      <c r="J244" s="387"/>
      <c r="K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87"/>
      <c r="B245" s="387"/>
      <c r="C245" s="387"/>
      <c r="D245" s="387"/>
      <c r="E245" s="387"/>
      <c r="F245" s="387"/>
      <c r="G245" s="387"/>
      <c r="H245" s="387"/>
      <c r="I245" s="387"/>
      <c r="J245" s="387"/>
      <c r="K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87"/>
      <c r="B246" s="387"/>
      <c r="C246" s="387"/>
      <c r="D246" s="387"/>
      <c r="E246" s="387"/>
      <c r="F246" s="387"/>
      <c r="G246" s="387"/>
      <c r="H246" s="387"/>
      <c r="I246" s="387"/>
      <c r="J246" s="387"/>
      <c r="K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387"/>
      <c r="B247" s="387"/>
      <c r="C247" s="387"/>
      <c r="D247" s="387"/>
      <c r="E247" s="387"/>
      <c r="F247" s="387"/>
      <c r="G247" s="387"/>
      <c r="H247" s="387"/>
      <c r="I247" s="387"/>
      <c r="J247" s="387"/>
      <c r="K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87"/>
      <c r="B248" s="387"/>
      <c r="C248" s="387"/>
      <c r="D248" s="387"/>
      <c r="E248" s="387"/>
      <c r="F248" s="387"/>
      <c r="G248" s="387"/>
      <c r="H248" s="387"/>
      <c r="I248" s="387"/>
      <c r="J248" s="387"/>
      <c r="K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387"/>
      <c r="G1" s="387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00"/>
      <c r="B2" s="482" t="s">
        <v>143</v>
      </c>
      <c r="C2" s="482" t="s">
        <v>144</v>
      </c>
      <c r="D2" s="482" t="s">
        <v>145</v>
      </c>
      <c r="E2" s="483" t="s">
        <v>146</v>
      </c>
      <c r="F2" s="387"/>
      <c r="G2" s="387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315" t="s">
        <v>149</v>
      </c>
      <c r="B3" s="484" t="n">
        <v>46854.17</v>
      </c>
      <c r="C3" s="484" t="n">
        <v>0</v>
      </c>
      <c r="D3" s="484" t="n">
        <v>833.33</v>
      </c>
      <c r="E3" s="441" t="n">
        <v>0</v>
      </c>
      <c r="F3" s="387"/>
      <c r="G3" s="387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315" t="s">
        <v>150</v>
      </c>
      <c r="B4" s="485" t="n">
        <v>0</v>
      </c>
      <c r="C4" s="485" t="n">
        <v>0</v>
      </c>
      <c r="D4" s="485" t="n">
        <v>0</v>
      </c>
      <c r="E4" s="375"/>
      <c r="F4" s="387"/>
      <c r="G4" s="387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315" t="s">
        <v>151</v>
      </c>
      <c r="B5" s="484" t="n">
        <v>0</v>
      </c>
      <c r="C5" s="484" t="n">
        <v>0</v>
      </c>
      <c r="D5" s="484" t="n">
        <v>0</v>
      </c>
      <c r="E5" s="33"/>
      <c r="F5" s="387"/>
      <c r="G5" s="387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315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7"/>
      <c r="G6" s="387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315" t="s">
        <v>153</v>
      </c>
      <c r="B7" s="32" t="n">
        <f aca="false">B3-B6</f>
        <v>46854.17</v>
      </c>
      <c r="C7" s="32" t="n">
        <f aca="false">C3-C6</f>
        <v>0</v>
      </c>
      <c r="D7" s="32" t="n">
        <f aca="false">D3-D6</f>
        <v>833.33</v>
      </c>
      <c r="E7" s="33"/>
      <c r="F7" s="387"/>
      <c r="G7" s="387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315"/>
      <c r="B8" s="316"/>
      <c r="C8" s="316"/>
      <c r="D8" s="316"/>
      <c r="E8" s="317"/>
      <c r="F8" s="387"/>
      <c r="G8" s="387"/>
      <c r="H8" s="387"/>
      <c r="I8" s="13" t="s">
        <v>3</v>
      </c>
      <c r="J8" s="14" t="n">
        <f aca="false">E13+E14</f>
        <v>640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47687.5</v>
      </c>
      <c r="F9" s="387"/>
      <c r="G9" s="387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1" t="n">
        <v>550</v>
      </c>
      <c r="F10" s="387"/>
      <c r="G10" s="387"/>
      <c r="H10" s="387"/>
      <c r="I10" s="16" t="s">
        <v>1</v>
      </c>
      <c r="J10" s="14" t="n">
        <f aca="false">E15-E11-J8</f>
        <v>48237.5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9647.5</v>
      </c>
      <c r="F11" s="387"/>
      <c r="G11" s="387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1" t="n">
        <v>0</v>
      </c>
      <c r="F12" s="387"/>
      <c r="G12" s="387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1" t="n">
        <v>585</v>
      </c>
      <c r="F13" s="387"/>
      <c r="G13" s="387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1" t="n">
        <v>55</v>
      </c>
      <c r="F14" s="387"/>
      <c r="G14" s="387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3" t="n">
        <f aca="false">(E9+E10+E13+E14+E11)-E12</f>
        <v>58525</v>
      </c>
      <c r="F15" s="387"/>
      <c r="G15" s="17" t="n">
        <f aca="false">E15</f>
        <v>58525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1" t="n">
        <v>0</v>
      </c>
      <c r="F16" s="387"/>
      <c r="G16" s="387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317"/>
      <c r="F17" s="387"/>
      <c r="G17" s="387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4" t="n">
        <v>0</v>
      </c>
      <c r="F18" s="387"/>
      <c r="G18" s="17" t="n">
        <f aca="false">(B3+C3+D3+E3+E10)*1.2</f>
        <v>57885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4" t="n">
        <v>0</v>
      </c>
      <c r="F19" s="387"/>
      <c r="G19" s="387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4" t="n">
        <v>0</v>
      </c>
      <c r="F20" s="387"/>
      <c r="G20" s="387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6" t="n">
        <f aca="false">E15-((E18*1.2)+(E19*1.2)+(E20*1.2)+(E16*1.2))</f>
        <v>58525</v>
      </c>
      <c r="F21" s="387"/>
      <c r="G21" s="387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234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236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237</v>
      </c>
      <c r="B29" s="219" t="n">
        <v>12345</v>
      </c>
      <c r="C29" s="219"/>
      <c r="D29" s="389" t="n">
        <f aca="true">TODAY()+1</f>
        <v>45128</v>
      </c>
      <c r="E29" s="389"/>
      <c r="F29" s="387"/>
      <c r="G29" s="29" t="s">
        <v>28</v>
      </c>
      <c r="H29" s="37" t="n">
        <f aca="false">A32</f>
        <v>12</v>
      </c>
      <c r="I29" s="426" t="n">
        <f aca="false">ISNUMBER(I31)</f>
        <v>0</v>
      </c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600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336</v>
      </c>
      <c r="B34" s="227" t="s">
        <v>48</v>
      </c>
      <c r="C34" s="226" t="s">
        <v>4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48877.5</v>
      </c>
      <c r="B35" s="219" t="s">
        <v>45</v>
      </c>
      <c r="C35" s="219"/>
      <c r="D35" s="278" t="n">
        <f aca="false">A35-B35</f>
        <v>47877.5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4</v>
      </c>
      <c r="G40" s="2" t="s">
        <v>58</v>
      </c>
      <c r="H40" s="2" t="n">
        <f aca="false">E11</f>
        <v>9647.5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333</v>
      </c>
      <c r="B41" s="100" t="s">
        <v>334</v>
      </c>
      <c r="C41" s="100"/>
      <c r="D41" s="219" t="s">
        <v>18</v>
      </c>
      <c r="E41" s="219"/>
      <c r="F41" s="387"/>
      <c r="G41" s="2" t="s">
        <v>59</v>
      </c>
      <c r="H41" s="2" t="str">
        <f aca="false">IF(D41="Yes",A44, 0)</f>
        <v>50</v>
      </c>
      <c r="I41" s="2" t="s">
        <v>4</v>
      </c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117</v>
      </c>
      <c r="B43" s="236" t="s">
        <v>67</v>
      </c>
      <c r="C43" s="226" t="s">
        <v>4</v>
      </c>
      <c r="D43" s="236" t="s">
        <v>206</v>
      </c>
      <c r="E43" s="239"/>
      <c r="F43" s="387"/>
      <c r="G43" s="2" t="s">
        <v>64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s">
        <v>230</v>
      </c>
      <c r="B44" s="100" t="s">
        <v>335</v>
      </c>
      <c r="C44" s="100"/>
      <c r="D44" s="100" t="s">
        <v>335</v>
      </c>
      <c r="E44" s="100"/>
      <c r="F44" s="387"/>
      <c r="G44" s="2" t="s">
        <v>65</v>
      </c>
      <c r="H44" s="2" t="n">
        <f aca="false">((H40-(((H42/(1.2))*0.2)))/(H43))</f>
        <v>720.625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69</v>
      </c>
      <c r="H45" s="2" t="n">
        <f aca="false">(H39-H44)+H41</f>
        <v>-170.625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70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71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73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74</v>
      </c>
      <c r="H49" s="2" t="n">
        <f aca="false">H45+H48+H47</f>
        <v>-167.958333333333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106"/>
      <c r="B50" s="226"/>
      <c r="C50" s="226"/>
      <c r="D50" s="226"/>
      <c r="E50" s="239"/>
      <c r="F50" s="387"/>
      <c r="G50" s="2" t="s">
        <v>338</v>
      </c>
      <c r="H50" s="2" t="n">
        <f aca="false">H49-H41</f>
        <v>-217.958333333333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/>
      <c r="B52" s="74"/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-167.958333333333</v>
      </c>
      <c r="C58" s="74"/>
      <c r="D58" s="427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84</v>
      </c>
      <c r="B63" s="316" t="n">
        <f aca="false">IF(B105=Z103,1,IF(B105=Z104,1,IF(B105=Z105,3,IF(B105=Z106,6,IF(B105=Z107,9,IF(B105=Z108,12,IF(B105=Z109,3,IF(B105=Z110,6,IF(B105=Z111,9,0)))))))))</f>
        <v>9</v>
      </c>
      <c r="C63" s="316"/>
      <c r="D63" s="316"/>
      <c r="E63" s="317"/>
      <c r="F63" s="387"/>
      <c r="G63" s="315" t="s">
        <v>84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84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85</v>
      </c>
      <c r="B64" s="316" t="n">
        <f aca="false">IF(B105=Z103,H29-B63,IF(B105=Z104,H29-B63,IF(B105=Z105,H29-1,IF(B105=Z106,H29-1,IF(B105=Z107,H29-1,IF(B105=Z108,H29-1,IF(B105=Z109,H29-B63,IF(B105=Z110,H29-B63,IF(B105=Z111,H29-B63,0)))))))))</f>
        <v>3</v>
      </c>
      <c r="C64" s="316" t="s">
        <v>4</v>
      </c>
      <c r="D64" s="316"/>
      <c r="E64" s="317"/>
      <c r="F64" s="387"/>
      <c r="G64" s="315" t="s">
        <v>85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85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315"/>
      <c r="B66" s="316"/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315" t="s">
        <v>14</v>
      </c>
      <c r="B67" s="32" t="n">
        <f aca="false">G18</f>
        <v>57885</v>
      </c>
      <c r="C67" s="316"/>
      <c r="D67" s="316"/>
      <c r="E67" s="317"/>
      <c r="F67" s="387"/>
      <c r="G67" s="315" t="s">
        <v>14</v>
      </c>
      <c r="H67" s="32" t="n">
        <f aca="false">G18</f>
        <v>57885</v>
      </c>
      <c r="I67" s="316"/>
      <c r="J67" s="316"/>
      <c r="K67" s="317"/>
      <c r="L67" s="387"/>
      <c r="M67" s="315" t="s">
        <v>14</v>
      </c>
      <c r="N67" s="32" t="n">
        <f aca="false">G18</f>
        <v>57885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398" t="s">
        <v>275</v>
      </c>
      <c r="B68" s="399" t="n">
        <v>0.07</v>
      </c>
      <c r="C68" s="316"/>
      <c r="D68" s="316"/>
      <c r="E68" s="317"/>
      <c r="F68" s="387"/>
      <c r="G68" s="398" t="s">
        <v>275</v>
      </c>
      <c r="H68" s="399" t="n">
        <v>0.07</v>
      </c>
      <c r="I68" s="316"/>
      <c r="J68" s="316"/>
      <c r="K68" s="317"/>
      <c r="L68" s="387"/>
      <c r="M68" s="398" t="s">
        <v>275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315" t="s">
        <v>276</v>
      </c>
      <c r="B69" s="375" t="n">
        <f aca="false">B68+(B68*0.25*(H29/12-1))</f>
        <v>0.07</v>
      </c>
      <c r="C69" s="316"/>
      <c r="D69" s="316"/>
      <c r="E69" s="317"/>
      <c r="F69" s="387"/>
      <c r="G69" s="315" t="s">
        <v>276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276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365" t="s">
        <v>90</v>
      </c>
      <c r="B70" s="65" t="n">
        <f aca="false">B67*B69</f>
        <v>4051.95</v>
      </c>
      <c r="C70" s="316" t="n">
        <v>10000</v>
      </c>
      <c r="D70" s="32" t="n">
        <f aca="false">B70-A149</f>
        <v>4051.95</v>
      </c>
      <c r="E70" s="317" t="n">
        <f aca="false">D70/12</f>
        <v>337.6625</v>
      </c>
      <c r="F70" s="387"/>
      <c r="G70" s="365" t="s">
        <v>90</v>
      </c>
      <c r="H70" s="65" t="n">
        <f aca="false">H67*H69</f>
        <v>4051.95</v>
      </c>
      <c r="I70" s="316"/>
      <c r="J70" s="32" t="n">
        <f aca="false">H70-G151</f>
        <v>4051.95</v>
      </c>
      <c r="K70" s="317"/>
      <c r="L70" s="387"/>
      <c r="M70" s="365" t="s">
        <v>90</v>
      </c>
      <c r="N70" s="65" t="n">
        <f aca="false">N67*N69</f>
        <v>4051.95</v>
      </c>
      <c r="O70" s="316"/>
      <c r="P70" s="32" t="n">
        <f aca="false">N70-M151</f>
        <v>4051.95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398" t="s">
        <v>91</v>
      </c>
      <c r="B71" s="399" t="n">
        <v>0.01</v>
      </c>
      <c r="C71" s="316"/>
      <c r="D71" s="316"/>
      <c r="E71" s="317"/>
      <c r="F71" s="387"/>
      <c r="G71" s="398" t="s">
        <v>91</v>
      </c>
      <c r="H71" s="399" t="n">
        <v>0.005</v>
      </c>
      <c r="I71" s="316"/>
      <c r="J71" s="316"/>
      <c r="K71" s="317"/>
      <c r="L71" s="387"/>
      <c r="M71" s="398" t="s">
        <v>91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315" t="s">
        <v>92</v>
      </c>
      <c r="B72" s="375" t="n">
        <f aca="false">B71+(B71*0.5*(H29/12-1))</f>
        <v>0.01</v>
      </c>
      <c r="C72" s="316"/>
      <c r="D72" s="316"/>
      <c r="E72" s="317"/>
      <c r="F72" s="387"/>
      <c r="G72" s="315" t="s">
        <v>92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92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365" t="s">
        <v>93</v>
      </c>
      <c r="B73" s="65" t="n">
        <f aca="false">B67*B72</f>
        <v>578.85</v>
      </c>
      <c r="C73" s="316"/>
      <c r="D73" s="32"/>
      <c r="E73" s="317"/>
      <c r="F73" s="387"/>
      <c r="G73" s="365" t="s">
        <v>93</v>
      </c>
      <c r="H73" s="65" t="n">
        <f aca="false">H67*H72</f>
        <v>289.425</v>
      </c>
      <c r="I73" s="316"/>
      <c r="J73" s="32"/>
      <c r="K73" s="317"/>
      <c r="L73" s="387"/>
      <c r="M73" s="365" t="s">
        <v>93</v>
      </c>
      <c r="N73" s="65" t="n">
        <f aca="false">N67*N72</f>
        <v>289.425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94</v>
      </c>
      <c r="B74" s="399" t="n">
        <v>0.0075</v>
      </c>
      <c r="C74" s="316"/>
      <c r="D74" s="316"/>
      <c r="E74" s="317"/>
      <c r="F74" s="387"/>
      <c r="G74" s="398" t="s">
        <v>94</v>
      </c>
      <c r="H74" s="399" t="n">
        <v>0.0075</v>
      </c>
      <c r="I74" s="316"/>
      <c r="J74" s="316"/>
      <c r="K74" s="317"/>
      <c r="L74" s="387"/>
      <c r="M74" s="398" t="s">
        <v>94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95</v>
      </c>
      <c r="B75" s="401" t="n">
        <v>0.12</v>
      </c>
      <c r="C75" s="316"/>
      <c r="D75" s="316"/>
      <c r="E75" s="317"/>
      <c r="F75" s="387"/>
      <c r="G75" s="400" t="s">
        <v>95</v>
      </c>
      <c r="H75" s="401" t="n">
        <v>0.12</v>
      </c>
      <c r="I75" s="316"/>
      <c r="J75" s="316"/>
      <c r="K75" s="317"/>
      <c r="L75" s="387"/>
      <c r="M75" s="400" t="s">
        <v>95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96</v>
      </c>
      <c r="B76" s="402" t="n">
        <f aca="false">B74*(1+B75)</f>
        <v>0.0084</v>
      </c>
      <c r="C76" s="316"/>
      <c r="D76" s="316"/>
      <c r="E76" s="317"/>
      <c r="F76" s="387"/>
      <c r="G76" s="365" t="s">
        <v>96</v>
      </c>
      <c r="H76" s="402" t="n">
        <f aca="false">H74*(1+H75)</f>
        <v>0.0084</v>
      </c>
      <c r="I76" s="316"/>
      <c r="J76" s="316"/>
      <c r="K76" s="317"/>
      <c r="L76" s="387"/>
      <c r="M76" s="365" t="s">
        <v>96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97</v>
      </c>
      <c r="B77" s="86" t="n">
        <v>200</v>
      </c>
      <c r="C77" s="316"/>
      <c r="D77" s="316"/>
      <c r="E77" s="317"/>
      <c r="F77" s="387"/>
      <c r="G77" s="398" t="s">
        <v>97</v>
      </c>
      <c r="H77" s="86" t="n">
        <v>160</v>
      </c>
      <c r="I77" s="316"/>
      <c r="J77" s="316"/>
      <c r="K77" s="317"/>
      <c r="L77" s="387"/>
      <c r="M77" s="398" t="s">
        <v>97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98</v>
      </c>
      <c r="B78" s="77" t="n">
        <v>5</v>
      </c>
      <c r="C78" s="316"/>
      <c r="D78" s="316"/>
      <c r="E78" s="317"/>
      <c r="F78" s="387"/>
      <c r="G78" s="400" t="s">
        <v>98</v>
      </c>
      <c r="H78" s="77" t="n">
        <v>4.5</v>
      </c>
      <c r="I78" s="316"/>
      <c r="J78" s="316"/>
      <c r="K78" s="317"/>
      <c r="L78" s="387"/>
      <c r="M78" s="400" t="s">
        <v>98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99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99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99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277</v>
      </c>
      <c r="B80" s="86" t="n">
        <v>165</v>
      </c>
      <c r="C80" s="316"/>
      <c r="D80" s="316"/>
      <c r="E80" s="403" t="n">
        <f aca="false">E79+D82</f>
        <v>703.333333333333</v>
      </c>
      <c r="F80" s="387"/>
      <c r="G80" s="398" t="s">
        <v>277</v>
      </c>
      <c r="H80" s="86" t="n">
        <v>150</v>
      </c>
      <c r="I80" s="316"/>
      <c r="J80" s="316"/>
      <c r="K80" s="317"/>
      <c r="L80" s="387"/>
      <c r="M80" s="404" t="s">
        <v>277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278</v>
      </c>
      <c r="B81" s="77" t="n">
        <v>355</v>
      </c>
      <c r="C81" s="316"/>
      <c r="D81" s="316"/>
      <c r="E81" s="317" t="n">
        <f aca="false">E80/12</f>
        <v>58.6111111111111</v>
      </c>
      <c r="F81" s="387"/>
      <c r="G81" s="400" t="s">
        <v>278</v>
      </c>
      <c r="H81" s="77" t="n">
        <f aca="false">IF(G18&gt;40000, 325, 0)</f>
        <v>325</v>
      </c>
      <c r="I81" s="316"/>
      <c r="J81" s="316"/>
      <c r="K81" s="317"/>
      <c r="L81" s="387"/>
      <c r="M81" s="406" t="s">
        <v>278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279</v>
      </c>
      <c r="B82" s="65" t="n">
        <f aca="false">((B80+B81)/12)*(H29-11)</f>
        <v>43.3333333333333</v>
      </c>
      <c r="C82" s="316"/>
      <c r="D82" s="32" t="n">
        <f aca="false">IF(A50="YES", 0, B82)</f>
        <v>43.3333333333333</v>
      </c>
      <c r="E82" s="317"/>
      <c r="F82" s="387"/>
      <c r="G82" s="365" t="s">
        <v>279</v>
      </c>
      <c r="H82" s="65" t="n">
        <f aca="false">((H80+H81)/12)*(H29-11)</f>
        <v>39.5833333333333</v>
      </c>
      <c r="I82" s="316"/>
      <c r="J82" s="32" t="n">
        <f aca="false">IF(A50="YES", 0, H82)</f>
        <v>39.5833333333333</v>
      </c>
      <c r="K82" s="317"/>
      <c r="L82" s="387"/>
      <c r="M82" s="408" t="s">
        <v>279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280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280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280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281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281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100</v>
      </c>
      <c r="B85" s="77" t="n">
        <v>200</v>
      </c>
      <c r="C85" s="316"/>
      <c r="D85" s="32" t="n">
        <f aca="false">B85</f>
        <v>200</v>
      </c>
      <c r="E85" s="317"/>
      <c r="F85" s="387"/>
      <c r="G85" s="400" t="s">
        <v>100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100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101</v>
      </c>
      <c r="B86" s="87" t="n">
        <v>200</v>
      </c>
      <c r="C86" s="316"/>
      <c r="D86" s="32" t="n">
        <f aca="false">B86</f>
        <v>200</v>
      </c>
      <c r="E86" s="317"/>
      <c r="F86" s="387"/>
      <c r="G86" s="410" t="s">
        <v>101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101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102</v>
      </c>
      <c r="B87" s="412" t="n">
        <f aca="false">SUM(D70:D86)</f>
        <v>5421.95</v>
      </c>
      <c r="C87" s="316"/>
      <c r="D87" s="316"/>
      <c r="E87" s="317"/>
      <c r="F87" s="387"/>
      <c r="G87" s="411" t="s">
        <v>102</v>
      </c>
      <c r="H87" s="412" t="n">
        <f aca="false">SUM(J70:J86)</f>
        <v>7205.53333333333</v>
      </c>
      <c r="I87" s="316"/>
      <c r="J87" s="316"/>
      <c r="K87" s="317"/>
      <c r="L87" s="387"/>
      <c r="M87" s="411" t="s">
        <v>102</v>
      </c>
      <c r="N87" s="412" t="n">
        <f aca="false">SUM(P70:P86)</f>
        <v>7165.95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103</v>
      </c>
      <c r="B88" s="33" t="n">
        <f aca="false">B87/H29</f>
        <v>451.829166666667</v>
      </c>
      <c r="C88" s="316"/>
      <c r="D88" s="316"/>
      <c r="E88" s="317"/>
      <c r="F88" s="387"/>
      <c r="G88" s="315" t="s">
        <v>103</v>
      </c>
      <c r="H88" s="33" t="n">
        <f aca="false">H87/H29</f>
        <v>600.461111111111</v>
      </c>
      <c r="I88" s="316"/>
      <c r="J88" s="316"/>
      <c r="K88" s="317"/>
      <c r="L88" s="387"/>
      <c r="M88" s="315" t="s">
        <v>103</v>
      </c>
      <c r="N88" s="33" t="n">
        <f aca="false">N87/H29</f>
        <v>597.1625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104</v>
      </c>
      <c r="B89" s="59" t="n">
        <f aca="false">H50</f>
        <v>-217.958333333333</v>
      </c>
      <c r="C89" s="316"/>
      <c r="D89" s="316"/>
      <c r="E89" s="317"/>
      <c r="F89" s="387"/>
      <c r="G89" s="413" t="s">
        <v>104</v>
      </c>
      <c r="H89" s="59" t="n">
        <f aca="false">H46</f>
        <v>0</v>
      </c>
      <c r="I89" s="316"/>
      <c r="J89" s="316"/>
      <c r="K89" s="317"/>
      <c r="L89" s="387"/>
      <c r="M89" s="413" t="s">
        <v>104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114</v>
      </c>
      <c r="B91" s="27" t="n">
        <f aca="false">((B89*H29)+B87)</f>
        <v>2806.45</v>
      </c>
      <c r="C91" s="316"/>
      <c r="D91" s="316"/>
      <c r="E91" s="317"/>
      <c r="F91" s="387"/>
      <c r="G91" s="395" t="s">
        <v>114</v>
      </c>
      <c r="H91" s="27" t="n">
        <f aca="false">((H89*H29)+H87)*1.2</f>
        <v>8646.64</v>
      </c>
      <c r="I91" s="316"/>
      <c r="J91" s="316"/>
      <c r="K91" s="317"/>
      <c r="L91" s="387"/>
      <c r="M91" s="395" t="s">
        <v>114</v>
      </c>
      <c r="N91" s="27" t="n">
        <f aca="false">((N89*H29)+N87)</f>
        <v>7165.95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115</v>
      </c>
      <c r="B92" s="33" t="n">
        <f aca="false">(((B89*H29)+B87)/(1-B76))*B76</f>
        <v>23.7738805970149</v>
      </c>
      <c r="C92" s="316"/>
      <c r="D92" s="316"/>
      <c r="E92" s="414"/>
      <c r="F92" s="387"/>
      <c r="G92" s="315" t="s">
        <v>115</v>
      </c>
      <c r="H92" s="33" t="n">
        <f aca="false">(((H89*H29)+H87)/(1-H76))*H76</f>
        <v>61.0392093586123</v>
      </c>
      <c r="I92" s="316"/>
      <c r="J92" s="316"/>
      <c r="K92" s="317"/>
      <c r="L92" s="387"/>
      <c r="M92" s="315" t="s">
        <v>115</v>
      </c>
      <c r="N92" s="33" t="n">
        <f aca="false">(N91/(1-N76))*N76</f>
        <v>60.7038926986688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116</v>
      </c>
      <c r="B93" s="65" t="n">
        <f aca="false">IF(B116="YES",((B91+B92)-E120),(B91+B92))</f>
        <v>2830.22388059702</v>
      </c>
      <c r="C93" s="316"/>
      <c r="D93" s="316"/>
      <c r="E93" s="317"/>
      <c r="F93" s="387"/>
      <c r="G93" s="365" t="s">
        <v>116</v>
      </c>
      <c r="H93" s="65" t="n">
        <f aca="false">IF(H116="YES",((H91+H92)-K120),(H91+H92))</f>
        <v>10707.6792093586</v>
      </c>
      <c r="I93" s="316"/>
      <c r="J93" s="316"/>
      <c r="K93" s="317"/>
      <c r="L93" s="387"/>
      <c r="M93" s="365" t="s">
        <v>116</v>
      </c>
      <c r="N93" s="65" t="n">
        <f aca="false">IF(N116="YES",((N91+N92)-K120),(N91+N92))</f>
        <v>9226.65389269867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117</v>
      </c>
      <c r="B95" s="412" t="n">
        <f aca="false">IF(B105=Z104,(((H41*A32)+(H41*A32)*(B111/100))/(B64)),(((H41*A32)+(H41*A32)*(B111/100))/(B63+B64)))</f>
        <v>65</v>
      </c>
      <c r="C95" s="316"/>
      <c r="D95" s="316"/>
      <c r="E95" s="317"/>
      <c r="F95" s="387"/>
      <c r="G95" s="411" t="s">
        <v>117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117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118</v>
      </c>
      <c r="B96" s="416" t="n">
        <f aca="false">IF(B105=Z104, (B93-D111)/(B64), B93/(B63+B64))</f>
        <v>235.851990049751</v>
      </c>
      <c r="C96" s="316" t="s">
        <v>4</v>
      </c>
      <c r="D96" s="316"/>
      <c r="E96" s="317"/>
      <c r="F96" s="387"/>
      <c r="G96" s="415" t="s">
        <v>118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118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119</v>
      </c>
      <c r="B97" s="418" t="n">
        <f aca="false">IF(A111="YES", B96+B95, B96)</f>
        <v>300.851990049751</v>
      </c>
      <c r="C97" s="316"/>
      <c r="D97" s="419"/>
      <c r="E97" s="317"/>
      <c r="F97" s="387"/>
      <c r="G97" s="417" t="s">
        <v>119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119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387"/>
      <c r="G100" s="209" t="s">
        <v>282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387"/>
      <c r="G102" s="213" t="s">
        <v>124</v>
      </c>
      <c r="H102" s="213"/>
      <c r="I102" s="213"/>
      <c r="J102" s="213"/>
      <c r="K102" s="213"/>
      <c r="L102" s="387"/>
      <c r="M102" s="213" t="s">
        <v>124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128</v>
      </c>
    </row>
    <row r="104" customFormat="false" ht="18.75" hidden="false" customHeight="true" outlineLevel="0" collapsed="false">
      <c r="A104" s="315" t="s">
        <v>125</v>
      </c>
      <c r="B104" s="316" t="s">
        <v>23</v>
      </c>
      <c r="C104" s="316"/>
      <c r="D104" s="316" t="s">
        <v>283</v>
      </c>
      <c r="E104" s="317"/>
      <c r="F104" s="387"/>
      <c r="G104" s="315" t="s">
        <v>125</v>
      </c>
      <c r="H104" s="316" t="s">
        <v>23</v>
      </c>
      <c r="I104" s="316"/>
      <c r="J104" s="316" t="s">
        <v>283</v>
      </c>
      <c r="K104" s="317"/>
      <c r="L104" s="387"/>
      <c r="M104" s="315" t="s">
        <v>125</v>
      </c>
      <c r="N104" s="316" t="s">
        <v>23</v>
      </c>
      <c r="O104" s="316"/>
      <c r="P104" s="316" t="s">
        <v>283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261</v>
      </c>
    </row>
    <row r="105" customFormat="false" ht="18.75" hidden="false" customHeight="true" outlineLevel="0" collapsed="false">
      <c r="A105" s="373"/>
      <c r="B105" s="311" t="s">
        <v>285</v>
      </c>
      <c r="C105" s="311"/>
      <c r="D105" s="420" t="n">
        <v>1000</v>
      </c>
      <c r="E105" s="420"/>
      <c r="F105" s="387"/>
      <c r="G105" s="373" t="s">
        <v>284</v>
      </c>
      <c r="H105" s="311" t="s">
        <v>266</v>
      </c>
      <c r="I105" s="311"/>
      <c r="J105" s="420" t="n">
        <v>5000</v>
      </c>
      <c r="K105" s="420"/>
      <c r="L105" s="387"/>
      <c r="M105" s="373" t="s">
        <v>284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262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263</v>
      </c>
    </row>
    <row r="107" customFormat="false" ht="18.75" hidden="false" customHeight="true" outlineLevel="0" collapsed="false">
      <c r="A107" s="315" t="s">
        <v>286</v>
      </c>
      <c r="B107" s="316" t="s">
        <v>287</v>
      </c>
      <c r="C107" s="316"/>
      <c r="D107" s="316" t="s">
        <v>288</v>
      </c>
      <c r="E107" s="317"/>
      <c r="F107" s="387"/>
      <c r="G107" s="315" t="s">
        <v>286</v>
      </c>
      <c r="H107" s="316" t="s">
        <v>287</v>
      </c>
      <c r="I107" s="316"/>
      <c r="J107" s="316" t="s">
        <v>288</v>
      </c>
      <c r="K107" s="317"/>
      <c r="L107" s="387"/>
      <c r="M107" s="315" t="s">
        <v>286</v>
      </c>
      <c r="N107" s="316" t="s">
        <v>287</v>
      </c>
      <c r="O107" s="316"/>
      <c r="P107" s="316" t="s">
        <v>288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126</v>
      </c>
      <c r="B110" s="387" t="s">
        <v>129</v>
      </c>
      <c r="C110" s="316"/>
      <c r="D110" s="316" t="s">
        <v>140</v>
      </c>
      <c r="E110" s="317"/>
      <c r="F110" s="387"/>
      <c r="G110" s="373" t="s">
        <v>126</v>
      </c>
      <c r="H110" s="387" t="s">
        <v>129</v>
      </c>
      <c r="I110" s="316"/>
      <c r="J110" s="316" t="s">
        <v>140</v>
      </c>
      <c r="K110" s="317"/>
      <c r="L110" s="387"/>
      <c r="M110" s="373" t="s">
        <v>126</v>
      </c>
      <c r="N110" s="387" t="s">
        <v>129</v>
      </c>
      <c r="O110" s="316"/>
      <c r="P110" s="316" t="s">
        <v>140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18</v>
      </c>
      <c r="B111" s="311" t="n">
        <v>30</v>
      </c>
      <c r="C111" s="311"/>
      <c r="D111" s="103" t="s">
        <v>289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387"/>
      <c r="G114" s="213" t="s">
        <v>290</v>
      </c>
      <c r="H114" s="213"/>
      <c r="I114" s="213"/>
      <c r="J114" s="213"/>
      <c r="K114" s="213"/>
      <c r="L114" s="387"/>
      <c r="M114" s="213" t="s">
        <v>290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291</v>
      </c>
      <c r="B116" s="388" t="s">
        <v>19</v>
      </c>
      <c r="C116" s="316"/>
      <c r="D116" s="316"/>
      <c r="E116" s="317"/>
      <c r="F116" s="387"/>
      <c r="G116" s="315" t="s">
        <v>291</v>
      </c>
      <c r="H116" s="388" t="s">
        <v>18</v>
      </c>
      <c r="I116" s="316"/>
      <c r="J116" s="316"/>
      <c r="K116" s="317"/>
      <c r="L116" s="387"/>
      <c r="M116" s="315" t="s">
        <v>291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174</v>
      </c>
      <c r="B118" s="316"/>
      <c r="C118" s="316"/>
      <c r="D118" s="312" t="n">
        <v>0</v>
      </c>
      <c r="E118" s="103" t="n">
        <v>6000</v>
      </c>
      <c r="F118" s="387"/>
      <c r="G118" s="315" t="s">
        <v>174</v>
      </c>
      <c r="H118" s="316"/>
      <c r="I118" s="316"/>
      <c r="J118" s="312" t="n">
        <v>10000</v>
      </c>
      <c r="K118" s="103" t="n">
        <v>5000</v>
      </c>
      <c r="L118" s="387"/>
      <c r="M118" s="315" t="s">
        <v>174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175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175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175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176</v>
      </c>
      <c r="B120" s="316"/>
      <c r="C120" s="316"/>
      <c r="D120" s="39" t="n">
        <f aca="false">D118-D119</f>
        <v>-2000</v>
      </c>
      <c r="E120" s="164" t="n">
        <f aca="false">E118-E119</f>
        <v>4000</v>
      </c>
      <c r="F120" s="387"/>
      <c r="G120" s="315" t="s">
        <v>176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176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177</v>
      </c>
      <c r="B121" s="316"/>
      <c r="C121" s="316"/>
      <c r="D121" s="39" t="n">
        <f aca="false">D120-E120</f>
        <v>-6000</v>
      </c>
      <c r="E121" s="317"/>
      <c r="F121" s="387"/>
      <c r="G121" s="315" t="s">
        <v>177</v>
      </c>
      <c r="H121" s="316"/>
      <c r="I121" s="316"/>
      <c r="J121" s="39" t="n">
        <f aca="false">J120-K120</f>
        <v>5000</v>
      </c>
      <c r="K121" s="317"/>
      <c r="L121" s="387"/>
      <c r="M121" s="315" t="s">
        <v>177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136</v>
      </c>
      <c r="B123" s="396"/>
      <c r="C123" s="396"/>
      <c r="D123" s="396"/>
      <c r="E123" s="27" t="n">
        <f aca="false">D105</f>
        <v>1000</v>
      </c>
      <c r="F123" s="387"/>
      <c r="G123" s="395" t="s">
        <v>136</v>
      </c>
      <c r="H123" s="396"/>
      <c r="I123" s="396"/>
      <c r="J123" s="396"/>
      <c r="K123" s="27" t="n">
        <f aca="false">J105</f>
        <v>5000</v>
      </c>
      <c r="L123" s="387"/>
      <c r="M123" s="395" t="s">
        <v>136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199.99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292</v>
      </c>
      <c r="B125" s="366"/>
      <c r="C125" s="366"/>
      <c r="D125" s="366"/>
      <c r="E125" s="65" t="n">
        <f aca="false">((E124*1.2)+E123)-E120</f>
        <v>-2760.012</v>
      </c>
      <c r="F125" s="387"/>
      <c r="G125" s="421" t="s">
        <v>292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292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387"/>
      <c r="G128" s="213" t="s">
        <v>293</v>
      </c>
      <c r="H128" s="213"/>
      <c r="I128" s="213"/>
      <c r="J128" s="213"/>
      <c r="K128" s="213"/>
      <c r="L128" s="387"/>
      <c r="M128" s="213" t="s">
        <v>293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387"/>
      <c r="G130" s="315" t="s">
        <v>181</v>
      </c>
      <c r="H130" s="169" t="n">
        <v>0</v>
      </c>
      <c r="I130" s="169"/>
      <c r="J130" s="316"/>
      <c r="K130" s="317"/>
      <c r="L130" s="387"/>
      <c r="M130" s="315" t="s">
        <v>181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82</v>
      </c>
      <c r="H132" s="316" t="s">
        <v>83</v>
      </c>
      <c r="I132" s="316"/>
      <c r="J132" s="316" t="s">
        <v>85</v>
      </c>
      <c r="K132" s="317"/>
      <c r="L132" s="387"/>
      <c r="M132" s="315" t="s">
        <v>82</v>
      </c>
      <c r="N132" s="316" t="s">
        <v>83</v>
      </c>
      <c r="O132" s="316"/>
      <c r="P132" s="316" t="s">
        <v>85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3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3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235.851990049751</v>
      </c>
      <c r="B134" s="320" t="n">
        <f aca="false">IF(A111="YES", B95, 0)</f>
        <v>65</v>
      </c>
      <c r="C134" s="325"/>
      <c r="D134" s="320" t="n">
        <f aca="false">B97</f>
        <v>300.851990049751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296</v>
      </c>
      <c r="H135" s="423" t="s">
        <v>297</v>
      </c>
      <c r="I135" s="423"/>
      <c r="J135" s="423" t="s">
        <v>298</v>
      </c>
      <c r="K135" s="317"/>
      <c r="L135" s="387"/>
      <c r="M135" s="422" t="s">
        <v>342</v>
      </c>
      <c r="N135" s="423" t="s">
        <v>250</v>
      </c>
      <c r="O135" s="423"/>
      <c r="P135" s="423" t="s">
        <v>119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2122.66791044776</v>
      </c>
      <c r="C137" s="316"/>
      <c r="D137" s="38" t="n">
        <f aca="false">IF(A111="YES", B95*B63, 0)</f>
        <v>585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301</v>
      </c>
      <c r="H138" s="316" t="s">
        <v>302</v>
      </c>
      <c r="I138" s="316"/>
      <c r="J138" s="316" t="s">
        <v>303</v>
      </c>
      <c r="K138" s="317"/>
      <c r="L138" s="387"/>
      <c r="M138" s="315" t="s">
        <v>343</v>
      </c>
      <c r="N138" s="316" t="s">
        <v>239</v>
      </c>
      <c r="O138" s="316"/>
      <c r="P138" s="316" t="s">
        <v>243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2707.66791044776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306</v>
      </c>
      <c r="H141" s="316" t="s">
        <v>307</v>
      </c>
      <c r="I141" s="316"/>
      <c r="J141" s="316" t="s">
        <v>308</v>
      </c>
      <c r="K141" s="317"/>
      <c r="L141" s="387"/>
      <c r="M141" s="315" t="s">
        <v>252</v>
      </c>
      <c r="N141" s="316" t="s">
        <v>253</v>
      </c>
      <c r="O141" s="316"/>
      <c r="P141" s="316" t="s">
        <v>257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387"/>
      <c r="G142" s="107" t="n">
        <f aca="false">E15*0.000006</f>
        <v>0.35115</v>
      </c>
      <c r="H142" s="38" t="n">
        <f aca="false">IF(G111="YES", E15*0.000002, 0)</f>
        <v>0.11705</v>
      </c>
      <c r="I142" s="38"/>
      <c r="J142" s="38" t="n">
        <f aca="false">G142+H142</f>
        <v>0.4682</v>
      </c>
      <c r="K142" s="101"/>
      <c r="L142" s="387"/>
      <c r="M142" s="107" t="n">
        <f aca="false">E15*0.000006</f>
        <v>0.35115</v>
      </c>
      <c r="N142" s="38" t="n">
        <f aca="false">IF(M111="YES", E15*0.000002, 0)</f>
        <v>0.11705</v>
      </c>
      <c r="O142" s="38"/>
      <c r="P142" s="38" t="n">
        <f aca="false">M142+N142</f>
        <v>0.4682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235.851990049751</v>
      </c>
      <c r="B143" s="38" t="n">
        <f aca="false">IF(A111="YES", B95, 0)</f>
        <v>65</v>
      </c>
      <c r="C143" s="316"/>
      <c r="D143" s="38" t="n">
        <f aca="false">B97</f>
        <v>300.851990049751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309</v>
      </c>
      <c r="H144" s="316" t="s">
        <v>310</v>
      </c>
      <c r="I144" s="316"/>
      <c r="J144" s="316" t="s">
        <v>311</v>
      </c>
      <c r="K144" s="317"/>
      <c r="L144" s="387"/>
      <c r="M144" s="315" t="s">
        <v>139</v>
      </c>
      <c r="N144" s="316" t="s">
        <v>310</v>
      </c>
      <c r="O144" s="316"/>
      <c r="P144" s="316" t="s">
        <v>311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387"/>
      <c r="G145" s="107" t="n">
        <f aca="false">G108</f>
        <v>239.988</v>
      </c>
      <c r="H145" s="38" t="n">
        <f aca="false">H73/1.2</f>
        <v>241.1875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241.1875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313</v>
      </c>
      <c r="H147" s="316" t="s">
        <v>314</v>
      </c>
      <c r="I147" s="316"/>
      <c r="J147" s="316" t="s">
        <v>315</v>
      </c>
      <c r="K147" s="317"/>
      <c r="L147" s="387"/>
      <c r="M147" s="315" t="s">
        <v>313</v>
      </c>
      <c r="N147" s="316" t="s">
        <v>314</v>
      </c>
      <c r="O147" s="316"/>
      <c r="P147" s="316" t="s">
        <v>315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2901.1755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2861.1775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317</v>
      </c>
      <c r="H150" s="316" t="s">
        <v>318</v>
      </c>
      <c r="I150" s="316"/>
      <c r="J150" s="316"/>
      <c r="K150" s="317"/>
      <c r="L150" s="387"/>
      <c r="M150" s="315" t="s">
        <v>317</v>
      </c>
      <c r="N150" s="316" t="s">
        <v>318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578.85</v>
      </c>
      <c r="B154" s="99" t="n">
        <f aca="false">B108</f>
        <v>400</v>
      </c>
      <c r="C154" s="38"/>
      <c r="D154" s="38" t="n">
        <f aca="false">IF(A111="YES", (A44/100*B111)*B131, 0)*0.1</f>
        <v>18</v>
      </c>
      <c r="E154" s="101"/>
      <c r="F154" s="387"/>
      <c r="G154" s="347" t="s">
        <v>323</v>
      </c>
      <c r="H154" s="316"/>
      <c r="I154" s="316"/>
      <c r="J154" s="348"/>
      <c r="K154" s="349"/>
      <c r="L154" s="387"/>
      <c r="M154" s="424" t="n">
        <f aca="false">H40</f>
        <v>9647.5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7"/>
      <c r="G156" s="246" t="s">
        <v>82</v>
      </c>
      <c r="H156" s="247" t="s">
        <v>83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1096.84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323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82</v>
      </c>
      <c r="N159" s="247" t="s">
        <v>83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300.851990049751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426" t="n">
        <f aca="false">ISNUMBER(B183)</f>
        <v>1</v>
      </c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235.851990049751</v>
      </c>
      <c r="B177" s="354" t="n">
        <f aca="false">IF(A111="YES", B95, 0)</f>
        <v>65</v>
      </c>
      <c r="C177" s="357"/>
      <c r="D177" s="354" t="n">
        <f aca="false">B91</f>
        <v>2806.45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2122.66791044776</v>
      </c>
      <c r="C180" s="352"/>
      <c r="D180" s="99" t="n">
        <f aca="false">IF(A111="YES", B95*B63, 0)</f>
        <v>585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2707.66791044776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235.851990049751</v>
      </c>
      <c r="B186" s="99" t="n">
        <f aca="false">IF(A111="YES", B95, 0)</f>
        <v>65</v>
      </c>
      <c r="C186" s="352"/>
      <c r="D186" s="99" t="n">
        <f aca="false">B97</f>
        <v>300.851990049751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400</v>
      </c>
      <c r="C197" s="99"/>
      <c r="D197" s="99" t="n">
        <f aca="false">IF(A111="YES", (A44/100*B111)*B131, 0)*0.1</f>
        <v>18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1096.84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D70</f>
        <v>4051.95</v>
      </c>
      <c r="E209" s="321"/>
      <c r="F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213</v>
      </c>
      <c r="B211" s="320" t="n">
        <f aca="false">B219</f>
        <v>578.85</v>
      </c>
      <c r="C211" s="319" t="s">
        <v>214</v>
      </c>
      <c r="D211" s="369" t="n">
        <f aca="false">B225+E221+B221+B223</f>
        <v>519.99</v>
      </c>
      <c r="E211" s="321"/>
      <c r="F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215</v>
      </c>
      <c r="B213" s="320" t="n">
        <f aca="false">E223</f>
        <v>3993.09</v>
      </c>
      <c r="C213" s="324"/>
      <c r="D213" s="320"/>
      <c r="E213" s="321"/>
      <c r="F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212</v>
      </c>
      <c r="B217" s="100" t="n">
        <f aca="false">D70</f>
        <v>4051.95</v>
      </c>
      <c r="C217" s="374" t="s">
        <v>218</v>
      </c>
      <c r="D217" s="316"/>
      <c r="E217" s="375" t="n">
        <f aca="false">B72</f>
        <v>0.01</v>
      </c>
      <c r="F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218</v>
      </c>
      <c r="B219" s="100" t="n">
        <f aca="false">B73</f>
        <v>578.85</v>
      </c>
      <c r="C219" s="335" t="s">
        <v>326</v>
      </c>
      <c r="D219" s="376"/>
      <c r="E219" s="255" t="n">
        <v>0.001</v>
      </c>
      <c r="F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3993.09</v>
      </c>
      <c r="F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328</v>
      </c>
      <c r="B225" s="340" t="n">
        <f aca="false">D197/0.1</f>
        <v>180</v>
      </c>
      <c r="C225" s="38"/>
      <c r="D225" s="340"/>
      <c r="E225" s="164"/>
      <c r="F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23.7738805970149</v>
      </c>
      <c r="F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355</v>
      </c>
      <c r="F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107"/>
      <c r="B244" s="38"/>
      <c r="C244" s="38"/>
      <c r="D244" s="38"/>
      <c r="E244" s="101"/>
      <c r="F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107"/>
      <c r="B247" s="38"/>
      <c r="C247" s="316"/>
      <c r="D247" s="316"/>
      <c r="E247" s="317"/>
      <c r="F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6" colorId="64" zoomScale="85" zoomScaleNormal="85" zoomScalePageLayoutView="100" workbookViewId="0">
      <selection pane="topLeft" activeCell="E180" activeCellId="0" sqref="E18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96" t="s">
        <v>379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46854.17</v>
      </c>
      <c r="C3" s="440"/>
      <c r="D3" s="440" t="n">
        <v>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</v>
      </c>
      <c r="C4" s="492"/>
      <c r="D4" s="493" t="n">
        <v>0</v>
      </c>
      <c r="E4" s="493"/>
      <c r="F4" s="493" t="n">
        <v>0</v>
      </c>
      <c r="G4" s="493"/>
      <c r="H4" s="125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/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/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46854.17</v>
      </c>
      <c r="C7" s="152"/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/>
      <c r="F9" s="149"/>
      <c r="G9" s="136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/>
      <c r="F10" s="151"/>
      <c r="G10" s="153"/>
      <c r="H10" s="441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3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3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/>
      <c r="F13" s="151"/>
      <c r="G13" s="153"/>
      <c r="H13" s="441" t="n">
        <v>585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/>
      <c r="F14" s="151"/>
      <c r="G14" s="153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3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/>
      <c r="F16" s="151"/>
      <c r="G16" s="153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39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39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39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246</v>
      </c>
      <c r="B34" s="32"/>
      <c r="C34" s="41" t="s">
        <v>43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48877.5</v>
      </c>
      <c r="B37" s="32"/>
      <c r="C37" s="41" t="s">
        <v>45</v>
      </c>
      <c r="D37" s="41"/>
      <c r="E37" s="32"/>
      <c r="F37" s="43" t="n">
        <f aca="false">A37-C37</f>
        <v>47877.5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32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H11</f>
        <v>9647.5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262.045454545455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237.954545454545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238.924242424242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238.924242424242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380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238.924242424242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57885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57885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57885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57885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50702.1248437457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50218.602484192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53575.5554919699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53575.5554919699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548.671875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4160.484375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542.671875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426.269521875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238.924242424242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238.924242424242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238.924242424242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47877.5</v>
      </c>
      <c r="C90" s="32"/>
      <c r="D90" s="32"/>
      <c r="E90" s="23"/>
      <c r="F90" s="23"/>
      <c r="G90" s="23"/>
      <c r="H90" s="33"/>
      <c r="J90" s="25" t="s">
        <v>105</v>
      </c>
      <c r="K90" s="27" t="n">
        <f aca="false">P167</f>
        <v>37655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45468.749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45468.749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23"/>
      <c r="G91" s="23"/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23"/>
      <c r="G92" s="23"/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23"/>
      <c r="G93" s="23"/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23"/>
      <c r="G94" s="23"/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4379.8532592462</v>
      </c>
      <c r="C95" s="32"/>
      <c r="D95" s="32"/>
      <c r="E95" s="23"/>
      <c r="F95" s="23"/>
      <c r="G95" s="23"/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23"/>
      <c r="G96" s="23"/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43497.6467407538</v>
      </c>
      <c r="C97" s="32"/>
      <c r="D97" s="32"/>
      <c r="E97" s="23"/>
      <c r="F97" s="23"/>
      <c r="G97" s="23"/>
      <c r="H97" s="33"/>
      <c r="J97" s="31" t="s">
        <v>112</v>
      </c>
      <c r="K97" s="33" t="n">
        <f aca="false">K90-K95</f>
        <v>37655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45460.1897086168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45460.1897086168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1584.81640136705</v>
      </c>
      <c r="C98" s="32"/>
      <c r="D98" s="32"/>
      <c r="E98" s="23"/>
      <c r="F98" s="23"/>
      <c r="G98" s="23"/>
      <c r="H98" s="33"/>
      <c r="J98" s="31" t="s">
        <v>113</v>
      </c>
      <c r="K98" s="33" t="n">
        <f aca="false">(K97/K96)</f>
        <v>1569.706327631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1674.61110912406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1674.61110912406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50714.1248437457</v>
      </c>
      <c r="C99" s="32"/>
      <c r="D99" s="32"/>
      <c r="E99" s="23"/>
      <c r="F99" s="23"/>
      <c r="G99" s="23"/>
      <c r="H99" s="33"/>
      <c r="J99" s="31" t="s">
        <v>114</v>
      </c>
      <c r="K99" s="33" t="n">
        <f aca="false">((K98*(K94))+K86)</f>
        <v>51800.308811823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53587.5554919699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53587.5554919699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50714.1248437457</v>
      </c>
      <c r="C101" s="32"/>
      <c r="D101" s="32"/>
      <c r="E101" s="23"/>
      <c r="F101" s="23"/>
      <c r="G101" s="23"/>
      <c r="H101" s="33"/>
      <c r="J101" s="56" t="s">
        <v>116</v>
      </c>
      <c r="K101" s="65" t="n">
        <f aca="false">(K99+K100)</f>
        <v>51800.308811823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53587.5554919699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53587.5554919699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0</v>
      </c>
      <c r="C103" s="32"/>
      <c r="D103" s="32"/>
      <c r="E103" s="23"/>
      <c r="F103" s="23"/>
      <c r="G103" s="23"/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118</v>
      </c>
      <c r="B104" s="92" t="n">
        <f aca="false">B101/(B94)</f>
        <v>1584.81640136705</v>
      </c>
      <c r="C104" s="32"/>
      <c r="D104" s="32"/>
      <c r="E104" s="23"/>
      <c r="F104" s="23"/>
      <c r="G104" s="23"/>
      <c r="H104" s="33"/>
      <c r="J104" s="91" t="s">
        <v>118</v>
      </c>
      <c r="K104" s="92" t="n">
        <f aca="false">K101/(K94)</f>
        <v>1569.706327631</v>
      </c>
      <c r="L104" s="32"/>
      <c r="M104" s="32"/>
      <c r="N104" s="23"/>
      <c r="O104" s="23"/>
      <c r="P104" s="23"/>
      <c r="Q104" s="33"/>
      <c r="S104" s="91" t="s">
        <v>118</v>
      </c>
      <c r="T104" s="92" t="n">
        <f aca="false">T101/(T94)</f>
        <v>1674.61110912406</v>
      </c>
      <c r="U104" s="32"/>
      <c r="V104" s="32"/>
      <c r="W104" s="23"/>
      <c r="X104" s="23"/>
      <c r="Y104" s="23"/>
      <c r="Z104" s="33"/>
      <c r="AB104" s="91" t="s">
        <v>118</v>
      </c>
      <c r="AC104" s="92" t="n">
        <f aca="false">AC101/(AC68)</f>
        <v>1674.61110912406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119</v>
      </c>
      <c r="B105" s="94" t="n">
        <f aca="false">B103+B104</f>
        <v>1584.81640136705</v>
      </c>
      <c r="C105" s="32"/>
      <c r="D105" s="32"/>
      <c r="E105" s="23" t="s">
        <v>18</v>
      </c>
      <c r="F105" s="23"/>
      <c r="G105" s="23"/>
      <c r="H105" s="33"/>
      <c r="J105" s="93" t="s">
        <v>119</v>
      </c>
      <c r="K105" s="94" t="n">
        <f aca="false">(K103+K104)</f>
        <v>1569.706327631</v>
      </c>
      <c r="L105" s="32"/>
      <c r="M105" s="32"/>
      <c r="N105" s="23"/>
      <c r="O105" s="23"/>
      <c r="P105" s="23"/>
      <c r="Q105" s="33"/>
      <c r="S105" s="93" t="s">
        <v>119</v>
      </c>
      <c r="T105" s="94" t="n">
        <f aca="false">T103+T104</f>
        <v>1674.61110912406</v>
      </c>
      <c r="U105" s="32"/>
      <c r="V105" s="32"/>
      <c r="W105" s="23"/>
      <c r="X105" s="23"/>
      <c r="Y105" s="23"/>
      <c r="Z105" s="33"/>
      <c r="AB105" s="93" t="s">
        <v>119</v>
      </c>
      <c r="AC105" s="94" t="n">
        <f aca="false">AC103+AC104</f>
        <v>1674.61110912406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232</v>
      </c>
      <c r="C108" s="23"/>
      <c r="D108" s="23"/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120</v>
      </c>
      <c r="B109" s="96"/>
      <c r="C109" s="96"/>
      <c r="D109" s="96"/>
      <c r="E109" s="96"/>
      <c r="F109" s="96"/>
      <c r="G109" s="96"/>
      <c r="H109" s="96"/>
      <c r="J109" s="24" t="s">
        <v>121</v>
      </c>
      <c r="K109" s="24"/>
      <c r="L109" s="24"/>
      <c r="M109" s="24"/>
      <c r="N109" s="24"/>
      <c r="O109" s="24"/>
      <c r="P109" s="24"/>
      <c r="Q109" s="24"/>
      <c r="S109" s="96" t="s">
        <v>122</v>
      </c>
      <c r="T109" s="96"/>
      <c r="U109" s="96"/>
      <c r="V109" s="96"/>
      <c r="W109" s="96"/>
      <c r="X109" s="96"/>
      <c r="Y109" s="96"/>
      <c r="Z109" s="96"/>
      <c r="AB109" s="96" t="s">
        <v>123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99"/>
      <c r="C114" s="99"/>
      <c r="D114" s="99"/>
      <c r="E114" s="100" t="s">
        <v>19</v>
      </c>
      <c r="F114" s="100"/>
      <c r="G114" s="100"/>
      <c r="H114" s="98"/>
      <c r="J114" s="36" t="s">
        <v>127</v>
      </c>
      <c r="K114" s="101" t="s">
        <v>128</v>
      </c>
      <c r="L114" s="101"/>
      <c r="M114" s="101"/>
      <c r="N114" s="100" t="s">
        <v>18</v>
      </c>
      <c r="O114" s="100"/>
      <c r="P114" s="100"/>
      <c r="Q114" s="98"/>
      <c r="S114" s="36" t="s">
        <v>127</v>
      </c>
      <c r="T114" s="99" t="s">
        <v>128</v>
      </c>
      <c r="U114" s="99"/>
      <c r="V114" s="99"/>
      <c r="W114" s="100" t="s">
        <v>18</v>
      </c>
      <c r="X114" s="100"/>
      <c r="Y114" s="100"/>
      <c r="Z114" s="98"/>
      <c r="AB114" s="36" t="s">
        <v>127</v>
      </c>
      <c r="AC114" s="99" t="s">
        <v>128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98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98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98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132</v>
      </c>
      <c r="C117" s="103"/>
      <c r="D117" s="103"/>
      <c r="E117" s="104" t="n">
        <f aca="false">B92</f>
        <v>0.115</v>
      </c>
      <c r="F117" s="104"/>
      <c r="G117" s="104"/>
      <c r="H117" s="47"/>
      <c r="J117" s="102" t="n">
        <v>0.3</v>
      </c>
      <c r="K117" s="103" t="s">
        <v>132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133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133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98"/>
      <c r="J122" s="106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98"/>
      <c r="S122" s="106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98"/>
      <c r="AB122" s="106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233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23"/>
      <c r="C127" s="23"/>
      <c r="D127" s="23"/>
      <c r="E127" s="23"/>
      <c r="F127" s="23"/>
      <c r="G127" s="23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143</v>
      </c>
      <c r="C128" s="110"/>
      <c r="D128" s="110" t="s">
        <v>144</v>
      </c>
      <c r="E128" s="110"/>
      <c r="F128" s="110" t="s">
        <v>145</v>
      </c>
      <c r="G128" s="110"/>
      <c r="H128" s="111" t="s">
        <v>146</v>
      </c>
      <c r="J128" s="78"/>
      <c r="K128" s="110" t="s">
        <v>143</v>
      </c>
      <c r="L128" s="110"/>
      <c r="M128" s="110" t="s">
        <v>144</v>
      </c>
      <c r="N128" s="110"/>
      <c r="O128" s="110" t="s">
        <v>145</v>
      </c>
      <c r="P128" s="110"/>
      <c r="Q128" s="111" t="s">
        <v>146</v>
      </c>
      <c r="S128" s="78"/>
      <c r="T128" s="110" t="s">
        <v>143</v>
      </c>
      <c r="U128" s="110"/>
      <c r="V128" s="110" t="s">
        <v>144</v>
      </c>
      <c r="W128" s="110"/>
      <c r="X128" s="110" t="s">
        <v>145</v>
      </c>
      <c r="Y128" s="110"/>
      <c r="Z128" s="111" t="s">
        <v>146</v>
      </c>
      <c r="AB128" s="78"/>
      <c r="AC128" s="110" t="s">
        <v>143</v>
      </c>
      <c r="AD128" s="110"/>
      <c r="AE128" s="110" t="s">
        <v>144</v>
      </c>
      <c r="AF128" s="110"/>
      <c r="AG128" s="110" t="s">
        <v>145</v>
      </c>
      <c r="AH128" s="110"/>
      <c r="AI128" s="111" t="s">
        <v>146</v>
      </c>
    </row>
    <row r="129" customFormat="false" ht="19.7" hidden="false" customHeight="false" outlineLevel="0" collapsed="false">
      <c r="A129" s="80"/>
      <c r="B129" s="112" t="s">
        <v>147</v>
      </c>
      <c r="C129" s="113" t="s">
        <v>148</v>
      </c>
      <c r="D129" s="112" t="s">
        <v>147</v>
      </c>
      <c r="E129" s="114" t="s">
        <v>148</v>
      </c>
      <c r="F129" s="112" t="s">
        <v>147</v>
      </c>
      <c r="G129" s="114" t="s">
        <v>148</v>
      </c>
      <c r="H129" s="115"/>
      <c r="J129" s="80"/>
      <c r="K129" s="112" t="s">
        <v>147</v>
      </c>
      <c r="L129" s="113" t="s">
        <v>148</v>
      </c>
      <c r="M129" s="112" t="s">
        <v>147</v>
      </c>
      <c r="N129" s="114" t="s">
        <v>148</v>
      </c>
      <c r="O129" s="112" t="s">
        <v>147</v>
      </c>
      <c r="P129" s="114" t="s">
        <v>148</v>
      </c>
      <c r="Q129" s="115"/>
      <c r="S129" s="80"/>
      <c r="T129" s="112" t="s">
        <v>147</v>
      </c>
      <c r="U129" s="113" t="s">
        <v>148</v>
      </c>
      <c r="V129" s="112" t="s">
        <v>147</v>
      </c>
      <c r="W129" s="114" t="s">
        <v>148</v>
      </c>
      <c r="X129" s="112" t="s">
        <v>147</v>
      </c>
      <c r="Y129" s="114" t="s">
        <v>148</v>
      </c>
      <c r="Z129" s="115"/>
      <c r="AB129" s="80"/>
      <c r="AC129" s="112" t="s">
        <v>147</v>
      </c>
      <c r="AD129" s="113" t="s">
        <v>148</v>
      </c>
      <c r="AE129" s="112" t="s">
        <v>147</v>
      </c>
      <c r="AF129" s="114" t="s">
        <v>148</v>
      </c>
      <c r="AG129" s="112" t="s">
        <v>147</v>
      </c>
      <c r="AH129" s="114" t="s">
        <v>148</v>
      </c>
      <c r="AI129" s="115"/>
    </row>
    <row r="130" customFormat="false" ht="17.35" hidden="false" customHeight="false" outlineLevel="0" collapsed="false">
      <c r="A130" s="25" t="s">
        <v>149</v>
      </c>
      <c r="B130" s="25" t="n">
        <f aca="false">B3</f>
        <v>46854.17</v>
      </c>
      <c r="C130" s="40" t="n">
        <f aca="false">B130</f>
        <v>46854.17</v>
      </c>
      <c r="D130" s="25" t="n">
        <f aca="false">D3</f>
        <v>0</v>
      </c>
      <c r="E130" s="40" t="n">
        <f aca="false">D130</f>
        <v>0</v>
      </c>
      <c r="F130" s="25" t="n">
        <f aca="false">F3</f>
        <v>833.33</v>
      </c>
      <c r="G130" s="40" t="n">
        <f aca="false">F130</f>
        <v>833.33</v>
      </c>
      <c r="H130" s="118" t="n">
        <f aca="false">H3</f>
        <v>0</v>
      </c>
      <c r="J130" s="25" t="s">
        <v>149</v>
      </c>
      <c r="K130" s="25" t="n">
        <f aca="false">B3</f>
        <v>46854.17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833.33</v>
      </c>
      <c r="P130" s="40" t="n">
        <f aca="false">O130</f>
        <v>833.33</v>
      </c>
      <c r="Q130" s="118" t="n">
        <f aca="false">H3</f>
        <v>0</v>
      </c>
      <c r="S130" s="25" t="s">
        <v>149</v>
      </c>
      <c r="T130" s="25" t="n">
        <f aca="false">B3</f>
        <v>46854.17</v>
      </c>
      <c r="U130" s="40" t="n">
        <f aca="false">T130</f>
        <v>46854.17</v>
      </c>
      <c r="V130" s="25" t="n">
        <f aca="false">D3</f>
        <v>0</v>
      </c>
      <c r="W130" s="40" t="n">
        <f aca="false">V130</f>
        <v>0</v>
      </c>
      <c r="X130" s="25" t="n">
        <f aca="false">F3</f>
        <v>833.33</v>
      </c>
      <c r="Y130" s="40" t="n">
        <f aca="false">X130</f>
        <v>833.33</v>
      </c>
      <c r="Z130" s="118" t="n">
        <f aca="false">H3</f>
        <v>0</v>
      </c>
      <c r="AB130" s="25" t="s">
        <v>149</v>
      </c>
      <c r="AC130" s="25" t="n">
        <f aca="false">B3</f>
        <v>46854.17</v>
      </c>
      <c r="AD130" s="40" t="n">
        <f aca="false">AC130</f>
        <v>46854.17</v>
      </c>
      <c r="AE130" s="25" t="n">
        <f aca="false">D3</f>
        <v>0</v>
      </c>
      <c r="AF130" s="40" t="n">
        <f aca="false">AE130</f>
        <v>0</v>
      </c>
      <c r="AG130" s="25" t="n">
        <f aca="false">F3</f>
        <v>833.33</v>
      </c>
      <c r="AH130" s="40" t="n">
        <f aca="false">AG130</f>
        <v>833.33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f aca="false">B4</f>
        <v>0</v>
      </c>
      <c r="C131" s="496" t="n">
        <f aca="false">B131</f>
        <v>0</v>
      </c>
      <c r="D131" s="123" t="n">
        <f aca="false">D4</f>
        <v>0</v>
      </c>
      <c r="E131" s="124" t="n">
        <f aca="false">D131</f>
        <v>0</v>
      </c>
      <c r="F131" s="123" t="n">
        <f aca="false">F4</f>
        <v>0</v>
      </c>
      <c r="G131" s="124" t="n">
        <f aca="false">F131</f>
        <v>0</v>
      </c>
      <c r="H131" s="125"/>
      <c r="J131" s="31" t="s">
        <v>150</v>
      </c>
      <c r="K131" s="123" t="n">
        <f aca="false">B4</f>
        <v>0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n">
        <f aca="false">F4</f>
        <v>0</v>
      </c>
      <c r="P131" s="124" t="n">
        <f aca="false">O131</f>
        <v>0</v>
      </c>
      <c r="Q131" s="125"/>
      <c r="S131" s="31" t="s">
        <v>150</v>
      </c>
      <c r="T131" s="123" t="n">
        <f aca="false">B4</f>
        <v>0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n">
        <f aca="false">F4</f>
        <v>0</v>
      </c>
      <c r="Y131" s="124" t="n">
        <f aca="false">X131</f>
        <v>0</v>
      </c>
      <c r="Z131" s="125"/>
      <c r="AB131" s="31" t="s">
        <v>150</v>
      </c>
      <c r="AC131" s="123" t="n">
        <f aca="false">B4</f>
        <v>0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n">
        <f aca="false">F4</f>
        <v>0</v>
      </c>
      <c r="AH131" s="124" t="n">
        <f aca="false">AG131</f>
        <v>0</v>
      </c>
      <c r="AI131" s="125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11713.5425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11713.5425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46854.17</v>
      </c>
      <c r="C134" s="65" t="n">
        <f aca="false">C130-C133</f>
        <v>46854.17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833.33</v>
      </c>
      <c r="G134" s="65" t="n">
        <f aca="false">G130-G133</f>
        <v>833.33</v>
      </c>
      <c r="H134" s="65"/>
      <c r="J134" s="56" t="s">
        <v>153</v>
      </c>
      <c r="K134" s="56" t="n">
        <f aca="false">K130-K133</f>
        <v>46854.17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833.33</v>
      </c>
      <c r="P134" s="65" t="n">
        <f aca="false">P130-P133</f>
        <v>833.33</v>
      </c>
      <c r="Q134" s="65"/>
      <c r="S134" s="56" t="s">
        <v>153</v>
      </c>
      <c r="T134" s="56" t="n">
        <f aca="false">T130-T133</f>
        <v>46854.17</v>
      </c>
      <c r="U134" s="65" t="n">
        <f aca="false">U130-U133</f>
        <v>35140.6275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833.33</v>
      </c>
      <c r="Y134" s="65" t="n">
        <f aca="false">Y130-Y133</f>
        <v>833.33</v>
      </c>
      <c r="Z134" s="65"/>
      <c r="AB134" s="56" t="s">
        <v>153</v>
      </c>
      <c r="AC134" s="56" t="n">
        <f aca="false">AC130-AC133</f>
        <v>46854.17</v>
      </c>
      <c r="AD134" s="65" t="n">
        <f aca="false">AD130-AD133</f>
        <v>35140.6275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833.33</v>
      </c>
      <c r="AH134" s="65" t="n">
        <f aca="false">AH130-AH133</f>
        <v>833.33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5"/>
      <c r="C136" s="135"/>
      <c r="D136" s="135"/>
      <c r="E136" s="135"/>
      <c r="F136" s="135"/>
      <c r="G136" s="136" t="s">
        <v>147</v>
      </c>
      <c r="H136" s="134" t="s">
        <v>148</v>
      </c>
      <c r="J136" s="131"/>
      <c r="K136" s="135"/>
      <c r="L136" s="135"/>
      <c r="M136" s="135"/>
      <c r="N136" s="135"/>
      <c r="O136" s="135"/>
      <c r="P136" s="136" t="s">
        <v>147</v>
      </c>
      <c r="Q136" s="134" t="s">
        <v>148</v>
      </c>
      <c r="S136" s="131"/>
      <c r="T136" s="135"/>
      <c r="U136" s="135"/>
      <c r="V136" s="135"/>
      <c r="W136" s="135"/>
      <c r="X136" s="135"/>
      <c r="Y136" s="136" t="s">
        <v>147</v>
      </c>
      <c r="Z136" s="134" t="s">
        <v>148</v>
      </c>
      <c r="AB136" s="131"/>
      <c r="AC136" s="135"/>
      <c r="AD136" s="135"/>
      <c r="AE136" s="135"/>
      <c r="AF136" s="135"/>
      <c r="AG136" s="135"/>
      <c r="AH136" s="136" t="s">
        <v>147</v>
      </c>
      <c r="AI136" s="134" t="s">
        <v>148</v>
      </c>
    </row>
    <row r="137" customFormat="false" ht="17.35" hidden="false" customHeight="false" outlineLevel="0" collapsed="false">
      <c r="A137" s="137" t="s">
        <v>154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154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154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154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3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155</v>
      </c>
      <c r="B139" s="141" t="s">
        <v>156</v>
      </c>
      <c r="C139" s="141"/>
      <c r="D139" s="141" t="s">
        <v>157</v>
      </c>
      <c r="E139" s="141"/>
      <c r="F139" s="141" t="s">
        <v>151</v>
      </c>
      <c r="G139" s="141"/>
      <c r="H139" s="142" t="s">
        <v>148</v>
      </c>
      <c r="J139" s="144" t="s">
        <v>155</v>
      </c>
      <c r="K139" s="145" t="s">
        <v>156</v>
      </c>
      <c r="L139" s="145"/>
      <c r="M139" s="141" t="s">
        <v>157</v>
      </c>
      <c r="N139" s="141"/>
      <c r="O139" s="141" t="s">
        <v>151</v>
      </c>
      <c r="P139" s="141"/>
      <c r="Q139" s="142" t="s">
        <v>148</v>
      </c>
      <c r="S139" s="144" t="s">
        <v>155</v>
      </c>
      <c r="T139" s="141" t="s">
        <v>156</v>
      </c>
      <c r="U139" s="141"/>
      <c r="V139" s="141" t="s">
        <v>157</v>
      </c>
      <c r="W139" s="141"/>
      <c r="X139" s="141" t="s">
        <v>151</v>
      </c>
      <c r="Y139" s="141"/>
      <c r="Z139" s="142" t="s">
        <v>148</v>
      </c>
      <c r="AB139" s="144" t="s">
        <v>155</v>
      </c>
      <c r="AC139" s="141" t="s">
        <v>156</v>
      </c>
      <c r="AD139" s="141"/>
      <c r="AE139" s="141" t="s">
        <v>157</v>
      </c>
      <c r="AF139" s="141"/>
      <c r="AG139" s="141" t="s">
        <v>151</v>
      </c>
      <c r="AH139" s="141"/>
      <c r="AI139" s="142" t="s">
        <v>148</v>
      </c>
    </row>
    <row r="140" customFormat="false" ht="17.35" hidden="false" customHeight="false" outlineLevel="0" collapsed="false">
      <c r="A140" s="31" t="s">
        <v>158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158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158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158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159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159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159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160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160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160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3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161</v>
      </c>
      <c r="B144" s="149"/>
      <c r="C144" s="149"/>
      <c r="D144" s="149"/>
      <c r="E144" s="149"/>
      <c r="F144" s="149"/>
      <c r="G144" s="136" t="n">
        <f aca="false">H9</f>
        <v>47687.5</v>
      </c>
      <c r="H144" s="150" t="n">
        <f aca="false">C134+E134+G134+H137</f>
        <v>47687.5</v>
      </c>
      <c r="J144" s="149" t="s">
        <v>161</v>
      </c>
      <c r="K144" s="149"/>
      <c r="L144" s="149"/>
      <c r="M144" s="149"/>
      <c r="N144" s="149"/>
      <c r="O144" s="149"/>
      <c r="P144" s="136" t="n">
        <f aca="false">H9</f>
        <v>47687.5</v>
      </c>
      <c r="Q144" s="150" t="n">
        <f aca="false">L134+N134+P134+Q137</f>
        <v>29462.5</v>
      </c>
      <c r="S144" s="149" t="s">
        <v>161</v>
      </c>
      <c r="T144" s="149"/>
      <c r="U144" s="149"/>
      <c r="V144" s="149"/>
      <c r="W144" s="149"/>
      <c r="X144" s="149"/>
      <c r="Y144" s="136" t="n">
        <f aca="false">H9</f>
        <v>47687.5</v>
      </c>
      <c r="Z144" s="150" t="n">
        <f aca="false">U134+W134+Y134+Z137</f>
        <v>35973.9575</v>
      </c>
      <c r="AB144" s="149" t="s">
        <v>161</v>
      </c>
      <c r="AC144" s="149"/>
      <c r="AD144" s="149"/>
      <c r="AE144" s="149"/>
      <c r="AF144" s="149"/>
      <c r="AG144" s="149"/>
      <c r="AH144" s="136" t="n">
        <f aca="false">H9</f>
        <v>47687.5</v>
      </c>
      <c r="AI144" s="150" t="n">
        <f aca="false">AD134+AF134+AH134+AI137</f>
        <v>35973.9575</v>
      </c>
    </row>
    <row r="145" customFormat="false" ht="17.35" hidden="false" customHeight="false" outlineLevel="0" collapsed="false">
      <c r="A145" s="151" t="s">
        <v>162</v>
      </c>
      <c r="B145" s="151"/>
      <c r="C145" s="151"/>
      <c r="D145" s="151"/>
      <c r="E145" s="151"/>
      <c r="F145" s="151"/>
      <c r="G145" s="153" t="n">
        <f aca="false">H10</f>
        <v>550</v>
      </c>
      <c r="H145" s="33" t="n">
        <f aca="false">G145</f>
        <v>550</v>
      </c>
      <c r="J145" s="151" t="s">
        <v>162</v>
      </c>
      <c r="K145" s="151"/>
      <c r="L145" s="151"/>
      <c r="M145" s="151"/>
      <c r="N145" s="151"/>
      <c r="O145" s="151"/>
      <c r="P145" s="153" t="n">
        <f aca="false">H10</f>
        <v>550</v>
      </c>
      <c r="Q145" s="33" t="n">
        <f aca="false">P145</f>
        <v>550</v>
      </c>
      <c r="S145" s="151" t="s">
        <v>162</v>
      </c>
      <c r="T145" s="151"/>
      <c r="U145" s="151"/>
      <c r="V145" s="151"/>
      <c r="W145" s="151"/>
      <c r="X145" s="151"/>
      <c r="Y145" s="153" t="n">
        <f aca="false">H10</f>
        <v>550</v>
      </c>
      <c r="Z145" s="33" t="n">
        <f aca="false">Y145</f>
        <v>550</v>
      </c>
      <c r="AB145" s="151" t="s">
        <v>162</v>
      </c>
      <c r="AC145" s="151"/>
      <c r="AD145" s="151"/>
      <c r="AE145" s="151"/>
      <c r="AF145" s="151"/>
      <c r="AG145" s="151"/>
      <c r="AH145" s="153" t="n">
        <f aca="false">H10</f>
        <v>550</v>
      </c>
      <c r="AI145" s="33" t="n">
        <f aca="false">AH145</f>
        <v>550</v>
      </c>
    </row>
    <row r="146" customFormat="false" ht="17.35" hidden="false" customHeight="false" outlineLevel="0" collapsed="false">
      <c r="A146" s="151" t="s">
        <v>163</v>
      </c>
      <c r="B146" s="151"/>
      <c r="C146" s="151"/>
      <c r="D146" s="151"/>
      <c r="E146" s="151"/>
      <c r="F146" s="151"/>
      <c r="G146" s="153" t="n">
        <f aca="false">H11</f>
        <v>9647.5</v>
      </c>
      <c r="H146" s="33" t="n">
        <f aca="false">(H144+H145)*20%</f>
        <v>9647.5</v>
      </c>
      <c r="J146" s="151" t="s">
        <v>163</v>
      </c>
      <c r="K146" s="151"/>
      <c r="L146" s="151"/>
      <c r="M146" s="151"/>
      <c r="N146" s="151"/>
      <c r="O146" s="151"/>
      <c r="P146" s="153" t="n">
        <f aca="false">H11</f>
        <v>9647.5</v>
      </c>
      <c r="Q146" s="33" t="n">
        <f aca="false">(Q144+Q145)*20%</f>
        <v>6002.5</v>
      </c>
      <c r="S146" s="151" t="s">
        <v>163</v>
      </c>
      <c r="T146" s="151"/>
      <c r="U146" s="151"/>
      <c r="V146" s="151"/>
      <c r="W146" s="151"/>
      <c r="X146" s="151"/>
      <c r="Y146" s="153" t="n">
        <f aca="false">H11</f>
        <v>9647.5</v>
      </c>
      <c r="Z146" s="33" t="n">
        <f aca="false">(Z144+Z145)*20%</f>
        <v>7304.7915</v>
      </c>
      <c r="AB146" s="151" t="s">
        <v>163</v>
      </c>
      <c r="AC146" s="151"/>
      <c r="AD146" s="151"/>
      <c r="AE146" s="151"/>
      <c r="AF146" s="151"/>
      <c r="AG146" s="151"/>
      <c r="AH146" s="153" t="n">
        <f aca="false">H11</f>
        <v>9647.5</v>
      </c>
      <c r="AI146" s="33" t="n">
        <f aca="false">(AI144+AI145)*20%</f>
        <v>7304.7915</v>
      </c>
    </row>
    <row r="147" customFormat="false" ht="17.35" hidden="false" customHeight="false" outlineLevel="0" collapsed="false">
      <c r="A147" s="151" t="s">
        <v>164</v>
      </c>
      <c r="B147" s="151"/>
      <c r="C147" s="151"/>
      <c r="D147" s="151"/>
      <c r="E147" s="151"/>
      <c r="F147" s="151"/>
      <c r="G147" s="153" t="n">
        <f aca="false">H12</f>
        <v>0</v>
      </c>
      <c r="H147" s="33" t="n">
        <v>0</v>
      </c>
      <c r="J147" s="151" t="s">
        <v>164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164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164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165</v>
      </c>
      <c r="B148" s="151"/>
      <c r="C148" s="151"/>
      <c r="D148" s="151"/>
      <c r="E148" s="151"/>
      <c r="F148" s="151"/>
      <c r="G148" s="153" t="n">
        <f aca="false">H13</f>
        <v>585</v>
      </c>
      <c r="H148" s="33" t="n">
        <f aca="false">G148</f>
        <v>585</v>
      </c>
      <c r="J148" s="151" t="s">
        <v>165</v>
      </c>
      <c r="K148" s="151"/>
      <c r="L148" s="151"/>
      <c r="M148" s="151"/>
      <c r="N148" s="151"/>
      <c r="O148" s="151"/>
      <c r="P148" s="153" t="n">
        <f aca="false">H13</f>
        <v>585</v>
      </c>
      <c r="Q148" s="33" t="n">
        <f aca="false">P148</f>
        <v>585</v>
      </c>
      <c r="S148" s="151" t="s">
        <v>165</v>
      </c>
      <c r="T148" s="151"/>
      <c r="U148" s="151"/>
      <c r="V148" s="151"/>
      <c r="W148" s="151"/>
      <c r="X148" s="151"/>
      <c r="Y148" s="153" t="n">
        <f aca="false">H13</f>
        <v>585</v>
      </c>
      <c r="Z148" s="33" t="n">
        <f aca="false">Y148</f>
        <v>585</v>
      </c>
      <c r="AB148" s="151" t="s">
        <v>165</v>
      </c>
      <c r="AC148" s="151"/>
      <c r="AD148" s="151"/>
      <c r="AE148" s="151"/>
      <c r="AF148" s="151"/>
      <c r="AG148" s="151"/>
      <c r="AH148" s="153" t="n">
        <f aca="false">H13</f>
        <v>585</v>
      </c>
      <c r="AI148" s="33" t="n">
        <f aca="false">AH148</f>
        <v>585</v>
      </c>
    </row>
    <row r="149" customFormat="false" ht="17.35" hidden="false" customHeight="false" outlineLevel="0" collapsed="false">
      <c r="A149" s="151" t="s">
        <v>166</v>
      </c>
      <c r="B149" s="151"/>
      <c r="C149" s="151"/>
      <c r="D149" s="151"/>
      <c r="E149" s="151"/>
      <c r="F149" s="151"/>
      <c r="G149" s="153" t="n">
        <f aca="false">H14</f>
        <v>55</v>
      </c>
      <c r="H149" s="33" t="n">
        <v>55</v>
      </c>
      <c r="J149" s="151" t="s">
        <v>166</v>
      </c>
      <c r="K149" s="151"/>
      <c r="L149" s="151"/>
      <c r="M149" s="151"/>
      <c r="N149" s="151"/>
      <c r="O149" s="151"/>
      <c r="P149" s="153" t="n">
        <f aca="false">H14</f>
        <v>55</v>
      </c>
      <c r="Q149" s="33" t="n">
        <v>55</v>
      </c>
      <c r="S149" s="151" t="s">
        <v>166</v>
      </c>
      <c r="T149" s="151"/>
      <c r="U149" s="151"/>
      <c r="V149" s="151"/>
      <c r="W149" s="151"/>
      <c r="X149" s="151"/>
      <c r="Y149" s="153" t="n">
        <f aca="false">H14</f>
        <v>55</v>
      </c>
      <c r="Z149" s="33" t="n">
        <v>55</v>
      </c>
      <c r="AB149" s="151" t="s">
        <v>166</v>
      </c>
      <c r="AC149" s="151"/>
      <c r="AD149" s="151"/>
      <c r="AE149" s="151"/>
      <c r="AF149" s="151"/>
      <c r="AG149" s="151"/>
      <c r="AH149" s="153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1" t="s">
        <v>167</v>
      </c>
      <c r="B150" s="151"/>
      <c r="C150" s="151"/>
      <c r="D150" s="151"/>
      <c r="E150" s="151"/>
      <c r="F150" s="151"/>
      <c r="G150" s="155" t="n">
        <f aca="false">H15</f>
        <v>58525</v>
      </c>
      <c r="H150" s="154" t="n">
        <f aca="false">(H144+H145+H148+H149+H146)-H147</f>
        <v>58525</v>
      </c>
      <c r="J150" s="151" t="s">
        <v>167</v>
      </c>
      <c r="K150" s="151"/>
      <c r="L150" s="151"/>
      <c r="M150" s="151"/>
      <c r="N150" s="151"/>
      <c r="O150" s="151"/>
      <c r="P150" s="155" t="n">
        <f aca="false">H15</f>
        <v>58525</v>
      </c>
      <c r="Q150" s="154" t="n">
        <f aca="false">(Q144+Q145+Q148+Q149+Q146)-Q147</f>
        <v>36655</v>
      </c>
      <c r="S150" s="151" t="s">
        <v>167</v>
      </c>
      <c r="T150" s="151"/>
      <c r="U150" s="151"/>
      <c r="V150" s="151"/>
      <c r="W150" s="151"/>
      <c r="X150" s="151"/>
      <c r="Y150" s="155" t="n">
        <f aca="false">H15</f>
        <v>58525</v>
      </c>
      <c r="Z150" s="154" t="n">
        <f aca="false">(Z144+Z145+Z148+Z149+Z146)-Z147</f>
        <v>44468.749</v>
      </c>
      <c r="AB150" s="151" t="s">
        <v>167</v>
      </c>
      <c r="AC150" s="151"/>
      <c r="AD150" s="151"/>
      <c r="AE150" s="151"/>
      <c r="AF150" s="151"/>
      <c r="AG150" s="151"/>
      <c r="AH150" s="155" t="n">
        <f aca="false">H15</f>
        <v>58525</v>
      </c>
      <c r="AI150" s="154" t="n">
        <f aca="false">(AI144+AI145+AI148+AI149+AI146)-AI147</f>
        <v>44468.749</v>
      </c>
    </row>
    <row r="151" customFormat="false" ht="17.35" hidden="false" customHeight="false" outlineLevel="0" collapsed="false">
      <c r="A151" s="151" t="s">
        <v>168</v>
      </c>
      <c r="B151" s="151"/>
      <c r="C151" s="151"/>
      <c r="D151" s="151"/>
      <c r="E151" s="151"/>
      <c r="F151" s="151"/>
      <c r="G151" s="153" t="n">
        <f aca="false">H16</f>
        <v>0</v>
      </c>
      <c r="H151" s="40" t="n">
        <f aca="false">G151</f>
        <v>0</v>
      </c>
      <c r="J151" s="151" t="s">
        <v>168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168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168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169</v>
      </c>
      <c r="B152" s="107"/>
      <c r="C152" s="107"/>
      <c r="D152" s="107"/>
      <c r="E152" s="107" t="n">
        <v>0</v>
      </c>
      <c r="F152" s="107"/>
      <c r="G152" s="38" t="n">
        <v>0</v>
      </c>
      <c r="H152" s="33"/>
      <c r="J152" s="156" t="s">
        <v>169</v>
      </c>
      <c r="K152" s="156"/>
      <c r="L152" s="156"/>
      <c r="M152" s="156"/>
      <c r="N152" s="156"/>
      <c r="O152" s="156"/>
      <c r="P152" s="38"/>
      <c r="Q152" s="33"/>
      <c r="S152" s="107" t="s">
        <v>169</v>
      </c>
      <c r="T152" s="107"/>
      <c r="U152" s="107"/>
      <c r="V152" s="107"/>
      <c r="W152" s="107"/>
      <c r="X152" s="107"/>
      <c r="Y152" s="38"/>
      <c r="Z152" s="33"/>
      <c r="AB152" s="107" t="s">
        <v>169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s">
        <v>170</v>
      </c>
      <c r="C153" s="158"/>
      <c r="D153" s="158"/>
      <c r="E153" s="158"/>
      <c r="F153" s="158"/>
      <c r="G153" s="153" t="n">
        <f aca="false">H18</f>
        <v>0</v>
      </c>
      <c r="H153" s="40" t="n">
        <f aca="false">G153</f>
        <v>0</v>
      </c>
      <c r="J153" s="157" t="s">
        <v>13</v>
      </c>
      <c r="K153" s="158" t="s">
        <v>170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170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170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170</v>
      </c>
      <c r="C154" s="158"/>
      <c r="D154" s="158"/>
      <c r="E154" s="158"/>
      <c r="F154" s="158"/>
      <c r="G154" s="153" t="n">
        <f aca="false">H19</f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170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170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170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170</v>
      </c>
      <c r="C155" s="160"/>
      <c r="D155" s="160"/>
      <c r="E155" s="160"/>
      <c r="F155" s="160"/>
      <c r="G155" s="153" t="n">
        <f aca="false">H20</f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170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170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170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171</v>
      </c>
      <c r="B156" s="151"/>
      <c r="C156" s="151"/>
      <c r="D156" s="151"/>
      <c r="E156" s="151"/>
      <c r="F156" s="151"/>
      <c r="G156" s="155" t="n">
        <f aca="false">G150-((G153*1.2)+(G154*1.2)+(G155*1.2)+(G151*1.2))</f>
        <v>58525</v>
      </c>
      <c r="H156" s="161" t="n">
        <f aca="false">H150-((H153*1.2)+(H154*1.2)+(H155*1.2)+(H151*1.2))</f>
        <v>58525</v>
      </c>
      <c r="J156" s="162" t="s">
        <v>171</v>
      </c>
      <c r="K156" s="162"/>
      <c r="L156" s="162"/>
      <c r="M156" s="162"/>
      <c r="N156" s="162"/>
      <c r="O156" s="162"/>
      <c r="P156" s="155" t="n">
        <f aca="false">P150-((P153*1.2)+(P154*1.2)+(P155*1.2)+(P151*1.2))</f>
        <v>58525</v>
      </c>
      <c r="Q156" s="161" t="n">
        <f aca="false">Q150-((Q153*1.2)+(Q154*1.2)+(Q155*1.2)+(Q151*1.2))</f>
        <v>36655</v>
      </c>
      <c r="S156" s="151" t="s">
        <v>171</v>
      </c>
      <c r="T156" s="151"/>
      <c r="U156" s="151"/>
      <c r="V156" s="151"/>
      <c r="W156" s="151"/>
      <c r="X156" s="151"/>
      <c r="Y156" s="155" t="n">
        <f aca="false">Y150-((Y153*1.2)+(Y154*1.2)+(Y155*1.2)+(Y151*1.2))</f>
        <v>58525</v>
      </c>
      <c r="Z156" s="161" t="n">
        <f aca="false">Z150-((Z153*1.2)+(Z154*1.2)+(Z155*1.2)+(Z151*1.2))</f>
        <v>44468.749</v>
      </c>
      <c r="AB156" s="151" t="s">
        <v>171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58525</v>
      </c>
      <c r="AI156" s="161" t="n">
        <f aca="false">AI150-((AI153*1.2)+(AI154*1.2)+(AI155*1.2)+(AI151*1.2))</f>
        <v>44468.749</v>
      </c>
    </row>
    <row r="157" customFormat="false" ht="17.35" hidden="false" customHeight="false" outlineLevel="0" collapsed="false">
      <c r="A157" s="151" t="s">
        <v>172</v>
      </c>
      <c r="B157" s="151"/>
      <c r="C157" s="151"/>
      <c r="D157" s="151"/>
      <c r="E157" s="151"/>
      <c r="F157" s="151"/>
      <c r="G157" s="153"/>
      <c r="H157" s="40" t="n">
        <f aca="false">((H156-G156)-(H146-G146))+((I155-I154)*0.2)</f>
        <v>0</v>
      </c>
      <c r="I157" s="1" t="n">
        <f aca="false">(H157-G90)/1.2</f>
        <v>0</v>
      </c>
      <c r="J157" s="151" t="s">
        <v>172</v>
      </c>
      <c r="K157" s="151"/>
      <c r="L157" s="151"/>
      <c r="M157" s="151"/>
      <c r="N157" s="151"/>
      <c r="O157" s="151"/>
      <c r="P157" s="153"/>
      <c r="Q157" s="40" t="n">
        <f aca="false">Q156-P156</f>
        <v>-21870</v>
      </c>
      <c r="S157" s="151" t="s">
        <v>172</v>
      </c>
      <c r="T157" s="151"/>
      <c r="U157" s="151"/>
      <c r="V157" s="151"/>
      <c r="W157" s="151"/>
      <c r="X157" s="151"/>
      <c r="Y157" s="153"/>
      <c r="Z157" s="40" t="n">
        <f aca="false">Z156-Y156</f>
        <v>-14056.251</v>
      </c>
      <c r="AB157" s="151" t="s">
        <v>172</v>
      </c>
      <c r="AC157" s="151"/>
      <c r="AD157" s="151"/>
      <c r="AE157" s="151"/>
      <c r="AF157" s="151"/>
      <c r="AG157" s="151"/>
      <c r="AH157" s="153"/>
      <c r="AI157" s="40" t="n">
        <f aca="false">AI156-AH156</f>
        <v>-14056.251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174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174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174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175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175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175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176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176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176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177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177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177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178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178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178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179</v>
      </c>
      <c r="B167" s="32"/>
      <c r="C167" s="32"/>
      <c r="D167" s="23"/>
      <c r="E167" s="32"/>
      <c r="F167" s="23"/>
      <c r="G167" s="167" t="n">
        <f aca="false">H156-G163-G166</f>
        <v>58525</v>
      </c>
      <c r="H167" s="167"/>
      <c r="J167" s="166" t="s">
        <v>179</v>
      </c>
      <c r="K167" s="32"/>
      <c r="L167" s="32"/>
      <c r="M167" s="23"/>
      <c r="N167" s="32"/>
      <c r="O167" s="23"/>
      <c r="P167" s="167" t="n">
        <f aca="false">Q156-P163-P166</f>
        <v>37655</v>
      </c>
      <c r="Q167" s="167"/>
      <c r="S167" s="166" t="s">
        <v>179</v>
      </c>
      <c r="T167" s="32"/>
      <c r="U167" s="32"/>
      <c r="V167" s="23"/>
      <c r="W167" s="32"/>
      <c r="X167" s="23"/>
      <c r="Y167" s="167" t="n">
        <f aca="false">Z156-Y163-Y166</f>
        <v>45468.749</v>
      </c>
      <c r="Z167" s="167"/>
      <c r="AB167" s="166" t="s">
        <v>179</v>
      </c>
      <c r="AC167" s="32"/>
      <c r="AD167" s="32"/>
      <c r="AE167" s="23"/>
      <c r="AF167" s="32"/>
      <c r="AG167" s="23"/>
      <c r="AH167" s="167" t="n">
        <f aca="false">AI156-AH163-AH166</f>
        <v>45468.749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199.99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181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181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181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182</v>
      </c>
      <c r="B175" s="171" t="s">
        <v>183</v>
      </c>
      <c r="C175" s="171"/>
      <c r="D175" s="171"/>
      <c r="E175" s="171" t="s">
        <v>184</v>
      </c>
      <c r="F175" s="23"/>
      <c r="G175" s="23"/>
      <c r="H175" s="33"/>
      <c r="J175" s="170" t="s">
        <v>182</v>
      </c>
      <c r="K175" s="172" t="s">
        <v>183</v>
      </c>
      <c r="L175" s="172"/>
      <c r="M175" s="172"/>
      <c r="N175" s="172" t="s">
        <v>184</v>
      </c>
      <c r="O175" s="23"/>
      <c r="P175" s="23"/>
      <c r="Q175" s="33"/>
      <c r="S175" s="170" t="s">
        <v>182</v>
      </c>
      <c r="T175" s="172" t="s">
        <v>183</v>
      </c>
      <c r="U175" s="172"/>
      <c r="V175" s="172"/>
      <c r="W175" s="172" t="s">
        <v>184</v>
      </c>
      <c r="X175" s="23"/>
      <c r="Y175" s="23"/>
      <c r="Z175" s="33"/>
      <c r="AB175" s="170" t="s">
        <v>182</v>
      </c>
      <c r="AC175" s="172" t="s">
        <v>183</v>
      </c>
      <c r="AD175" s="172"/>
      <c r="AE175" s="172"/>
      <c r="AF175" s="172" t="s">
        <v>184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1584.81640136705</v>
      </c>
      <c r="B176" s="174" t="n">
        <f aca="false">B103</f>
        <v>0</v>
      </c>
      <c r="C176" s="171"/>
      <c r="D176" s="171"/>
      <c r="E176" s="174" t="n">
        <f aca="false">B105</f>
        <v>1584.81640136705</v>
      </c>
      <c r="F176" s="23"/>
      <c r="G176" s="23"/>
      <c r="H176" s="33"/>
      <c r="J176" s="173" t="n">
        <f aca="false">K104</f>
        <v>1569.706327631</v>
      </c>
      <c r="K176" s="175" t="n">
        <f aca="false">K103</f>
        <v>0</v>
      </c>
      <c r="L176" s="172"/>
      <c r="M176" s="172"/>
      <c r="N176" s="175" t="n">
        <f aca="false">K105</f>
        <v>1569.706327631</v>
      </c>
      <c r="O176" s="23"/>
      <c r="P176" s="23"/>
      <c r="Q176" s="33"/>
      <c r="S176" s="173" t="n">
        <f aca="false">T104</f>
        <v>1674.61110912406</v>
      </c>
      <c r="T176" s="175" t="n">
        <f aca="false">T103</f>
        <v>0</v>
      </c>
      <c r="U176" s="172"/>
      <c r="V176" s="172"/>
      <c r="W176" s="175" t="n">
        <f aca="false">T105</f>
        <v>1674.61110912406</v>
      </c>
      <c r="X176" s="23"/>
      <c r="Y176" s="23"/>
      <c r="Z176" s="33"/>
      <c r="AB176" s="173" t="n">
        <f aca="false">AC104</f>
        <v>1674.61110912406</v>
      </c>
      <c r="AC176" s="175" t="n">
        <f aca="false">AC103</f>
        <v>0</v>
      </c>
      <c r="AD176" s="172"/>
      <c r="AE176" s="172"/>
      <c r="AF176" s="175" t="n">
        <f aca="false">AC105</f>
        <v>1674.61110912406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130" t="s">
        <v>83</v>
      </c>
      <c r="C178" s="130"/>
      <c r="D178" s="23"/>
      <c r="E178" s="130" t="s">
        <v>185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185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185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185</v>
      </c>
      <c r="AG178" s="23"/>
      <c r="AH178" s="23"/>
      <c r="AI178" s="33"/>
    </row>
    <row r="179" customFormat="false" ht="17.35" hidden="false" customHeight="false" outlineLevel="0" collapsed="false">
      <c r="A179" s="176" t="str">
        <f aca="false">K29</f>
        <v>33</v>
      </c>
      <c r="B179" s="177" t="str">
        <f aca="false">K30</f>
        <v>5000</v>
      </c>
      <c r="C179" s="178"/>
      <c r="D179" s="23"/>
      <c r="E179" s="179" t="n">
        <f aca="false">B91</f>
        <v>6000</v>
      </c>
      <c r="F179" s="23"/>
      <c r="G179" s="23"/>
      <c r="H179" s="33"/>
      <c r="J179" s="176" t="str">
        <f aca="false">K29</f>
        <v>33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33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33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186</v>
      </c>
      <c r="B181" s="130" t="s">
        <v>187</v>
      </c>
      <c r="C181" s="130"/>
      <c r="D181" s="23"/>
      <c r="E181" s="130" t="s">
        <v>188</v>
      </c>
      <c r="F181" s="23"/>
      <c r="G181" s="23"/>
      <c r="H181" s="33"/>
      <c r="J181" s="31" t="s">
        <v>186</v>
      </c>
      <c r="K181" s="32" t="s">
        <v>187</v>
      </c>
      <c r="L181" s="32"/>
      <c r="M181" s="23"/>
      <c r="N181" s="32" t="s">
        <v>188</v>
      </c>
      <c r="O181" s="23"/>
      <c r="P181" s="23"/>
      <c r="Q181" s="33"/>
      <c r="S181" s="31" t="s">
        <v>186</v>
      </c>
      <c r="T181" s="32" t="s">
        <v>187</v>
      </c>
      <c r="U181" s="32"/>
      <c r="V181" s="23"/>
      <c r="W181" s="32" t="s">
        <v>188</v>
      </c>
      <c r="X181" s="23"/>
      <c r="Y181" s="23"/>
      <c r="Z181" s="33"/>
      <c r="AB181" s="31" t="s">
        <v>186</v>
      </c>
      <c r="AC181" s="32" t="s">
        <v>187</v>
      </c>
      <c r="AD181" s="32"/>
      <c r="AE181" s="23"/>
      <c r="AF181" s="32" t="s">
        <v>188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48237.5</v>
      </c>
      <c r="B182" s="99" t="n">
        <f aca="false">H146</f>
        <v>9647.5</v>
      </c>
      <c r="C182" s="183"/>
      <c r="D182" s="23"/>
      <c r="E182" s="179" t="n">
        <f aca="false">H148+H149</f>
        <v>640</v>
      </c>
      <c r="F182" s="23"/>
      <c r="G182" s="23"/>
      <c r="H182" s="33"/>
      <c r="J182" s="182" t="n">
        <f aca="false">Q150-Q146-Q148-Q149</f>
        <v>30012.5</v>
      </c>
      <c r="K182" s="38" t="n">
        <f aca="false">Q146</f>
        <v>6002.5</v>
      </c>
      <c r="L182" s="43"/>
      <c r="M182" s="23"/>
      <c r="N182" s="181" t="n">
        <f aca="false">Q148+Q149</f>
        <v>640</v>
      </c>
      <c r="O182" s="23"/>
      <c r="P182" s="23"/>
      <c r="Q182" s="33"/>
      <c r="S182" s="182" t="n">
        <f aca="false">Z150-Z146-Z148-Z149</f>
        <v>36523.9575</v>
      </c>
      <c r="T182" s="38" t="n">
        <f aca="false">Z146</f>
        <v>7304.7915</v>
      </c>
      <c r="U182" s="43"/>
      <c r="V182" s="23"/>
      <c r="W182" s="181" t="n">
        <f aca="false">Z148+Z149</f>
        <v>640</v>
      </c>
      <c r="X182" s="23"/>
      <c r="Y182" s="23"/>
      <c r="Z182" s="33"/>
      <c r="AB182" s="182" t="n">
        <f aca="false">AI150-AI146-AI148-AI149</f>
        <v>36523.9575</v>
      </c>
      <c r="AC182" s="38" t="n">
        <f aca="false">AI146</f>
        <v>7304.7915</v>
      </c>
      <c r="AD182" s="43"/>
      <c r="AE182" s="23"/>
      <c r="AF182" s="181" t="n">
        <f aca="false">AI148+AI149</f>
        <v>640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189</v>
      </c>
      <c r="B184" s="130" t="s">
        <v>136</v>
      </c>
      <c r="C184" s="130"/>
      <c r="D184" s="23"/>
      <c r="E184" s="130" t="s">
        <v>137</v>
      </c>
      <c r="F184" s="23"/>
      <c r="G184" s="23"/>
      <c r="H184" s="33"/>
      <c r="J184" s="31" t="s">
        <v>189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189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189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58525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n">
        <f aca="false">Q150</f>
        <v>36655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n">
        <f aca="false">Z150</f>
        <v>44468.749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n">
        <f aca="false">AI150</f>
        <v>44468.749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130" t="s">
        <v>174</v>
      </c>
      <c r="C187" s="130"/>
      <c r="D187" s="23"/>
      <c r="E187" s="130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58525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37655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45468.749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45468.749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190</v>
      </c>
      <c r="B190" s="130" t="s">
        <v>53</v>
      </c>
      <c r="C190" s="130"/>
      <c r="D190" s="23"/>
      <c r="E190" s="130" t="s">
        <v>191</v>
      </c>
      <c r="F190" s="23"/>
      <c r="G190" s="23"/>
      <c r="H190" s="33"/>
      <c r="J190" s="31" t="s">
        <v>190</v>
      </c>
      <c r="K190" s="32" t="s">
        <v>53</v>
      </c>
      <c r="L190" s="32"/>
      <c r="M190" s="23"/>
      <c r="N190" s="32" t="s">
        <v>191</v>
      </c>
      <c r="O190" s="23"/>
      <c r="P190" s="23"/>
      <c r="Q190" s="33"/>
      <c r="S190" s="31" t="s">
        <v>190</v>
      </c>
      <c r="T190" s="32" t="s">
        <v>53</v>
      </c>
      <c r="U190" s="32"/>
      <c r="V190" s="23"/>
      <c r="W190" s="32" t="s">
        <v>191</v>
      </c>
      <c r="X190" s="23"/>
      <c r="Y190" s="23"/>
      <c r="Z190" s="33"/>
      <c r="AB190" s="31" t="s">
        <v>190</v>
      </c>
      <c r="AC190" s="32" t="s">
        <v>53</v>
      </c>
      <c r="AD190" s="32"/>
      <c r="AE190" s="23"/>
      <c r="AF190" s="32" t="s">
        <v>191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-1810.8751562543</v>
      </c>
      <c r="B191" s="99" t="str">
        <f aca="false">B123</f>
        <v>199.99</v>
      </c>
      <c r="C191" s="99"/>
      <c r="D191" s="23"/>
      <c r="E191" s="99" t="n">
        <f aca="false">E188+A191+B191+A194</f>
        <v>56924.1148437457</v>
      </c>
      <c r="F191" s="23"/>
      <c r="G191" s="23"/>
      <c r="H191" s="101"/>
      <c r="J191" s="107" t="n">
        <f aca="false">(J176*K68)+N194-N188-J194</f>
        <v>12587.602484192</v>
      </c>
      <c r="K191" s="38" t="n">
        <f aca="false">K123</f>
        <v>239.99</v>
      </c>
      <c r="L191" s="38"/>
      <c r="M191" s="23"/>
      <c r="N191" s="38" t="n">
        <f aca="false">N188+J191+K191+J194</f>
        <v>50502.592484192</v>
      </c>
      <c r="O191" s="23"/>
      <c r="P191" s="23"/>
      <c r="Q191" s="101"/>
      <c r="S191" s="107" t="n">
        <f aca="false">(S176*T68)+W194-W188-S194</f>
        <v>8130.80649196992</v>
      </c>
      <c r="T191" s="38" t="n">
        <f aca="false">T123</f>
        <v>199.99</v>
      </c>
      <c r="U191" s="38"/>
      <c r="V191" s="23"/>
      <c r="W191" s="38" t="n">
        <f aca="false">W188+S191+T191+S194</f>
        <v>53809.5454919699</v>
      </c>
      <c r="X191" s="23"/>
      <c r="Y191" s="23"/>
      <c r="Z191" s="101"/>
      <c r="AB191" s="107" t="n">
        <f aca="false">(AB176*AC68)+AF194-AF188-AB194</f>
        <v>8130.80649196992</v>
      </c>
      <c r="AC191" s="38" t="n">
        <f aca="false">AC123</f>
        <v>239.99</v>
      </c>
      <c r="AD191" s="38"/>
      <c r="AE191" s="23"/>
      <c r="AF191" s="38" t="n">
        <f aca="false">AF188+AB191+AC191+AB194</f>
        <v>53849.5454919699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192</v>
      </c>
      <c r="B193" s="130" t="s">
        <v>193</v>
      </c>
      <c r="C193" s="130"/>
      <c r="D193" s="23"/>
      <c r="E193" s="130" t="s">
        <v>194</v>
      </c>
      <c r="F193" s="23"/>
      <c r="G193" s="23"/>
      <c r="H193" s="33"/>
      <c r="J193" s="31" t="s">
        <v>192</v>
      </c>
      <c r="K193" s="32" t="s">
        <v>193</v>
      </c>
      <c r="L193" s="32"/>
      <c r="M193" s="23"/>
      <c r="N193" s="32" t="s">
        <v>194</v>
      </c>
      <c r="O193" s="23"/>
      <c r="P193" s="23"/>
      <c r="Q193" s="33"/>
      <c r="S193" s="31" t="s">
        <v>192</v>
      </c>
      <c r="T193" s="32" t="s">
        <v>193</v>
      </c>
      <c r="U193" s="32"/>
      <c r="V193" s="23"/>
      <c r="W193" s="32" t="s">
        <v>194</v>
      </c>
      <c r="X193" s="23"/>
      <c r="Y193" s="23"/>
      <c r="Z193" s="33"/>
      <c r="AB193" s="31" t="s">
        <v>192</v>
      </c>
      <c r="AC193" s="32" t="s">
        <v>193</v>
      </c>
      <c r="AD193" s="32"/>
      <c r="AE193" s="23"/>
      <c r="AF193" s="32" t="s">
        <v>194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A188+B191*1.2</f>
        <v>239.988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195</v>
      </c>
      <c r="B196" s="130" t="s">
        <v>196</v>
      </c>
      <c r="C196" s="130"/>
      <c r="D196" s="130"/>
      <c r="E196" s="163" t="s">
        <v>197</v>
      </c>
      <c r="F196" s="23"/>
      <c r="G196" s="23"/>
      <c r="H196" s="33"/>
      <c r="J196" s="31" t="s">
        <v>195</v>
      </c>
      <c r="K196" s="32" t="s">
        <v>196</v>
      </c>
      <c r="L196" s="32"/>
      <c r="M196" s="32"/>
      <c r="N196" s="39" t="s">
        <v>197</v>
      </c>
      <c r="O196" s="23"/>
      <c r="P196" s="23"/>
      <c r="Q196" s="33"/>
      <c r="S196" s="31" t="s">
        <v>195</v>
      </c>
      <c r="T196" s="32" t="s">
        <v>196</v>
      </c>
      <c r="U196" s="32"/>
      <c r="V196" s="32"/>
      <c r="W196" s="39" t="s">
        <v>197</v>
      </c>
      <c r="X196" s="32"/>
      <c r="Y196" s="32"/>
      <c r="Z196" s="33"/>
      <c r="AB196" s="31" t="s">
        <v>195</v>
      </c>
      <c r="AC196" s="32" t="s">
        <v>196</v>
      </c>
      <c r="AD196" s="32"/>
      <c r="AE196" s="32"/>
      <c r="AF196" s="39" t="s">
        <v>197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</f>
        <v>11.577</v>
      </c>
      <c r="B197" s="99" t="n">
        <f aca="false">(G167*B76)/1.2</f>
        <v>457.2265625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0.11705</v>
      </c>
      <c r="K197" s="38" t="n">
        <f aca="false">(P167*K76)/1.2</f>
        <v>2255.37760416667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n">
        <f aca="false">(Y167*T76)/1.2</f>
        <v>355.2246015625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n">
        <f aca="false">(AH167*AC76)/1.2</f>
        <v>355.2246015625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198</v>
      </c>
      <c r="B199" s="163" t="s">
        <v>199</v>
      </c>
      <c r="C199" s="130"/>
      <c r="D199" s="130"/>
      <c r="E199" s="163" t="s">
        <v>200</v>
      </c>
      <c r="F199" s="23"/>
      <c r="G199" s="23"/>
      <c r="H199" s="33"/>
      <c r="J199" s="60" t="s">
        <v>198</v>
      </c>
      <c r="K199" s="39" t="s">
        <v>199</v>
      </c>
      <c r="L199" s="32"/>
      <c r="M199" s="32"/>
      <c r="N199" s="39" t="s">
        <v>200</v>
      </c>
      <c r="O199" s="23"/>
      <c r="P199" s="23"/>
      <c r="Q199" s="33"/>
      <c r="S199" s="60" t="s">
        <v>198</v>
      </c>
      <c r="T199" s="39" t="s">
        <v>199</v>
      </c>
      <c r="U199" s="32"/>
      <c r="V199" s="32"/>
      <c r="W199" s="39" t="s">
        <v>200</v>
      </c>
      <c r="X199" s="32"/>
      <c r="Y199" s="32"/>
      <c r="Z199" s="33"/>
      <c r="AB199" s="60" t="s">
        <v>198</v>
      </c>
      <c r="AC199" s="39" t="s">
        <v>199</v>
      </c>
      <c r="AD199" s="32"/>
      <c r="AE199" s="32"/>
      <c r="AF199" s="39" t="s">
        <v>200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B191-100</f>
        <v>99.99</v>
      </c>
      <c r="B200" s="99" t="n">
        <f aca="false">B197+E197+A200</f>
        <v>557.2165625</v>
      </c>
      <c r="C200" s="130"/>
      <c r="D200" s="130"/>
      <c r="E200" s="99" t="n">
        <f aca="false">H157</f>
        <v>0</v>
      </c>
      <c r="F200" s="23"/>
      <c r="G200" s="23"/>
      <c r="H200" s="33"/>
      <c r="J200" s="107" t="n">
        <f aca="false">K194-100</f>
        <v>1139.99</v>
      </c>
      <c r="K200" s="38" t="n">
        <f aca="false">K197+N197+J200</f>
        <v>3395.36760416667</v>
      </c>
      <c r="L200" s="32"/>
      <c r="M200" s="32"/>
      <c r="N200" s="38" t="n">
        <f aca="false">Q157</f>
        <v>-21870</v>
      </c>
      <c r="O200" s="23"/>
      <c r="P200" s="23"/>
      <c r="Q200" s="33"/>
      <c r="S200" s="107" t="n">
        <f aca="false">T194-100</f>
        <v>1099.99</v>
      </c>
      <c r="T200" s="38" t="n">
        <f aca="false">T197+W197+S200</f>
        <v>1455.2146015625</v>
      </c>
      <c r="U200" s="32"/>
      <c r="V200" s="32"/>
      <c r="W200" s="38" t="n">
        <f aca="false">Z157</f>
        <v>-14056.251</v>
      </c>
      <c r="X200" s="32"/>
      <c r="Y200" s="32"/>
      <c r="Z200" s="33"/>
      <c r="AB200" s="107" t="n">
        <f aca="false">AC194-100</f>
        <v>1139.99</v>
      </c>
      <c r="AC200" s="38" t="n">
        <f aca="false">AC197+AF197+AB200</f>
        <v>1495.2146015625</v>
      </c>
      <c r="AD200" s="32"/>
      <c r="AE200" s="32"/>
      <c r="AF200" s="38" t="n">
        <f aca="false">AI157</f>
        <v>-14056.251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201</v>
      </c>
      <c r="B202" s="130"/>
      <c r="C202" s="130"/>
      <c r="D202" s="67"/>
      <c r="E202" s="67"/>
      <c r="F202" s="67"/>
      <c r="G202" s="67"/>
      <c r="H202" s="68"/>
      <c r="J202" s="66" t="s">
        <v>201</v>
      </c>
      <c r="K202" s="32"/>
      <c r="L202" s="32"/>
      <c r="M202" s="67"/>
      <c r="N202" s="67"/>
      <c r="O202" s="67"/>
      <c r="P202" s="67"/>
      <c r="Q202" s="68"/>
      <c r="S202" s="66" t="s">
        <v>201</v>
      </c>
      <c r="T202" s="32"/>
      <c r="U202" s="32"/>
      <c r="V202" s="67"/>
      <c r="W202" s="67"/>
      <c r="X202" s="67"/>
      <c r="Y202" s="67"/>
      <c r="Z202" s="68"/>
      <c r="AB202" s="66" t="s">
        <v>201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4" t="s">
        <v>82</v>
      </c>
      <c r="K204" s="185" t="s">
        <v>83</v>
      </c>
      <c r="L204" s="185"/>
      <c r="M204" s="185"/>
      <c r="N204" s="23"/>
      <c r="O204" s="23"/>
      <c r="P204" s="23"/>
      <c r="Q204" s="33"/>
      <c r="S204" s="184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4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1584.81640136705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1569.706327631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1674.61110912406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1674.61110912406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180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125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202</v>
      </c>
      <c r="B218" s="171" t="str">
        <f aca="false">A206</f>
        <v>33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182</v>
      </c>
      <c r="B220" s="189" t="s">
        <v>183</v>
      </c>
      <c r="C220" s="189"/>
      <c r="D220" s="189"/>
      <c r="E220" s="189" t="s">
        <v>184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1584.81640136705</v>
      </c>
      <c r="B221" s="174" t="n">
        <f aca="false">B176</f>
        <v>0</v>
      </c>
      <c r="C221" s="171"/>
      <c r="D221" s="171"/>
      <c r="E221" s="174" t="n">
        <f aca="false">E176</f>
        <v>1584.81640136705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186</v>
      </c>
      <c r="B223" s="130" t="s">
        <v>187</v>
      </c>
      <c r="C223" s="130"/>
      <c r="D223" s="109"/>
      <c r="E223" s="130" t="s">
        <v>188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48237.5</v>
      </c>
      <c r="B224" s="99" t="n">
        <f aca="false">B182</f>
        <v>9647.5</v>
      </c>
      <c r="C224" s="183"/>
      <c r="D224" s="109"/>
      <c r="E224" s="179" t="n">
        <f aca="false">E182</f>
        <v>640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189</v>
      </c>
      <c r="B226" s="130" t="s">
        <v>136</v>
      </c>
      <c r="C226" s="130"/>
      <c r="D226" s="109"/>
      <c r="E226" s="130" t="s">
        <v>137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58525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138</v>
      </c>
      <c r="B229" s="130" t="s">
        <v>174</v>
      </c>
      <c r="C229" s="130"/>
      <c r="D229" s="109"/>
      <c r="E229" s="130" t="s">
        <v>179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58525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190</v>
      </c>
      <c r="B232" s="130" t="s">
        <v>53</v>
      </c>
      <c r="C232" s="130"/>
      <c r="D232" s="109"/>
      <c r="E232" s="130" t="s">
        <v>191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-1810.8751562543</v>
      </c>
      <c r="B233" s="99" t="str">
        <f aca="false">B191</f>
        <v>199.99</v>
      </c>
      <c r="C233" s="99"/>
      <c r="D233" s="109"/>
      <c r="E233" s="99" t="n">
        <f aca="false">E191</f>
        <v>56924.1148437457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192</v>
      </c>
      <c r="B235" s="130" t="s">
        <v>193</v>
      </c>
      <c r="C235" s="130"/>
      <c r="D235" s="109"/>
      <c r="E235" s="130" t="s">
        <v>203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239.988</v>
      </c>
      <c r="C236" s="99"/>
      <c r="D236" s="109"/>
      <c r="E236" s="99" t="n">
        <f aca="false">B68</f>
        <v>32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182</v>
      </c>
      <c r="B238" s="130" t="s">
        <v>183</v>
      </c>
      <c r="C238" s="130"/>
      <c r="D238" s="130"/>
      <c r="E238" s="130" t="s">
        <v>184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1584.81640136705</v>
      </c>
      <c r="B239" s="99" t="n">
        <f aca="false">B176</f>
        <v>0</v>
      </c>
      <c r="C239" s="183"/>
      <c r="D239" s="183"/>
      <c r="E239" s="99" t="n">
        <f aca="false">E176</f>
        <v>1584.81640136705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204</v>
      </c>
      <c r="B241" s="130" t="s">
        <v>205</v>
      </c>
      <c r="C241" s="130"/>
      <c r="D241" s="130"/>
      <c r="E241" s="130" t="s">
        <v>67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</f>
        <v>34.731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206</v>
      </c>
      <c r="B244" s="163" t="s">
        <v>72</v>
      </c>
      <c r="C244" s="130"/>
      <c r="D244" s="130"/>
      <c r="E244" s="163" t="s">
        <v>130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11.577</v>
      </c>
      <c r="B245" s="99" t="n">
        <f aca="false">E242+A245</f>
        <v>46.308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207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208</v>
      </c>
      <c r="B248" s="130" t="s">
        <v>196</v>
      </c>
      <c r="C248" s="130"/>
      <c r="D248" s="130"/>
      <c r="E248" s="163" t="s">
        <v>197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0</v>
      </c>
      <c r="B249" s="99" t="n">
        <f aca="false">B197</f>
        <v>457.2265625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198</v>
      </c>
      <c r="B251" s="163" t="s">
        <v>199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</v>
      </c>
      <c r="B252" s="99" t="n">
        <f aca="false">B249+E249+A252+A249</f>
        <v>557.2165625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209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210</v>
      </c>
      <c r="B262" s="193" t="n">
        <f aca="false">B72</f>
        <v>0.065</v>
      </c>
      <c r="C262" s="194"/>
      <c r="D262" s="195" t="s">
        <v>211</v>
      </c>
      <c r="E262" s="195"/>
      <c r="F262" s="193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88" t="s">
        <v>212</v>
      </c>
      <c r="B263" s="196"/>
      <c r="C263" s="194"/>
      <c r="D263" s="195" t="s">
        <v>213</v>
      </c>
      <c r="E263" s="195"/>
      <c r="F263" s="196" t="n">
        <f aca="false">F270+F276+F278+B279+B280</f>
        <v>548.671875</v>
      </c>
      <c r="G263" s="23"/>
      <c r="H263" s="33"/>
    </row>
    <row r="264" customFormat="false" ht="17.35" hidden="false" customHeight="false" outlineLevel="0" collapsed="false">
      <c r="A264" s="188" t="s">
        <v>214</v>
      </c>
      <c r="B264" s="196" t="n">
        <f aca="false">F271+B272</f>
        <v>99.99</v>
      </c>
      <c r="C264" s="194"/>
      <c r="D264" s="195" t="s">
        <v>215</v>
      </c>
      <c r="E264" s="195"/>
      <c r="F264" s="196" t="n">
        <f aca="false">(B263-F263)+B264</f>
        <v>-448.681875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210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216</v>
      </c>
      <c r="B268" s="201" t="n">
        <f aca="false">B73</f>
        <v>0.05</v>
      </c>
      <c r="C268" s="32"/>
      <c r="D268" s="163" t="s">
        <v>217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211</v>
      </c>
      <c r="B269" s="205" t="n">
        <f aca="false">B92</f>
        <v>0.115</v>
      </c>
      <c r="C269" s="43"/>
      <c r="D269" s="163" t="s">
        <v>212</v>
      </c>
      <c r="E269" s="163"/>
      <c r="F269" s="143" t="n">
        <f aca="false">(B98*B68)-(C98*B68)</f>
        <v>50714.1248437457</v>
      </c>
      <c r="G269" s="23"/>
      <c r="H269" s="33"/>
    </row>
    <row r="270" customFormat="false" ht="17.35" hidden="false" customHeight="false" outlineLevel="0" collapsed="false">
      <c r="A270" s="31" t="s">
        <v>218</v>
      </c>
      <c r="B270" s="205" t="n">
        <f aca="false">B76</f>
        <v>0.009375</v>
      </c>
      <c r="C270" s="32"/>
      <c r="D270" s="163" t="s">
        <v>218</v>
      </c>
      <c r="E270" s="163"/>
      <c r="F270" s="148" t="n">
        <f aca="false">B77</f>
        <v>548.671875</v>
      </c>
      <c r="G270" s="23"/>
      <c r="H270" s="33"/>
    </row>
    <row r="271" customFormat="false" ht="17.35" hidden="false" customHeight="false" outlineLevel="0" collapsed="false">
      <c r="A271" s="31" t="s">
        <v>219</v>
      </c>
      <c r="B271" s="201" t="n">
        <f aca="false">A117</f>
        <v>0.2</v>
      </c>
      <c r="C271" s="32"/>
      <c r="D271" s="163" t="s">
        <v>219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220</v>
      </c>
      <c r="B272" s="143" t="n">
        <f aca="false">A252</f>
        <v>99.99</v>
      </c>
      <c r="C272" s="32"/>
      <c r="D272" s="39" t="s">
        <v>215</v>
      </c>
      <c r="E272" s="39"/>
      <c r="F272" s="143" t="n">
        <f aca="false">(B263-F263)+B264</f>
        <v>-448.681875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221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222</v>
      </c>
      <c r="B275" s="148" t="n">
        <v>0</v>
      </c>
      <c r="C275" s="32"/>
      <c r="D275" s="206" t="s">
        <v>223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224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225</v>
      </c>
      <c r="B277" s="207" t="s">
        <v>4</v>
      </c>
      <c r="C277" s="32"/>
      <c r="D277" s="163" t="s">
        <v>226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227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228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229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29" colorId="64" zoomScale="85" zoomScaleNormal="85" zoomScalePageLayoutView="100" workbookViewId="0">
      <selection pane="topLeft" activeCell="E180" activeCellId="0" sqref="E18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96" t="s">
        <v>379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46854.17</v>
      </c>
      <c r="C3" s="440"/>
      <c r="D3" s="440" t="n">
        <v>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</v>
      </c>
      <c r="C4" s="492"/>
      <c r="D4" s="493" t="n">
        <v>0</v>
      </c>
      <c r="E4" s="493"/>
      <c r="F4" s="493" t="n">
        <v>0</v>
      </c>
      <c r="G4" s="493"/>
      <c r="H4" s="125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/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/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46854.17</v>
      </c>
      <c r="C7" s="152"/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161</v>
      </c>
      <c r="B9" s="149" t="n">
        <v>23125</v>
      </c>
      <c r="C9" s="149"/>
      <c r="D9" s="149"/>
      <c r="E9" s="149"/>
      <c r="F9" s="149"/>
      <c r="G9" s="136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/>
      <c r="F10" s="151"/>
      <c r="G10" s="153"/>
      <c r="H10" s="441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163</v>
      </c>
      <c r="B11" s="151" t="n">
        <v>0</v>
      </c>
      <c r="C11" s="151"/>
      <c r="D11" s="151"/>
      <c r="E11" s="151"/>
      <c r="F11" s="151"/>
      <c r="G11" s="153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3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 t="n">
        <v>0</v>
      </c>
      <c r="C13" s="151"/>
      <c r="D13" s="151"/>
      <c r="E13" s="151"/>
      <c r="F13" s="151"/>
      <c r="G13" s="153"/>
      <c r="H13" s="441" t="n">
        <v>585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/>
      <c r="F14" s="151"/>
      <c r="G14" s="153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3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/>
      <c r="F16" s="151"/>
      <c r="G16" s="153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39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39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39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246</v>
      </c>
      <c r="B34" s="32"/>
      <c r="C34" s="41" t="s">
        <v>43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48877.5</v>
      </c>
      <c r="B37" s="32"/>
      <c r="C37" s="41" t="s">
        <v>45</v>
      </c>
      <c r="D37" s="41"/>
      <c r="E37" s="32"/>
      <c r="F37" s="43" t="n">
        <f aca="false">A37-C37</f>
        <v>47877.5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32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H11</f>
        <v>9647.5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262.045454545455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237.954545454545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238.924242424242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238.924242424242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380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238.924242424242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57885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57885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57885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57885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50702.1248437457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50218.602484192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53575.5554919699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53575.5554919699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548.671875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4160.484375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542.671875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426.269521875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238.924242424242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238.924242424242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238.924242424242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47877.5</v>
      </c>
      <c r="C90" s="32"/>
      <c r="D90" s="32"/>
      <c r="E90" s="23"/>
      <c r="F90" s="23"/>
      <c r="G90" s="23"/>
      <c r="H90" s="33"/>
      <c r="J90" s="25" t="s">
        <v>105</v>
      </c>
      <c r="K90" s="27" t="n">
        <f aca="false">P167</f>
        <v>37655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45468.749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45468.749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23"/>
      <c r="G91" s="23"/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23"/>
      <c r="G92" s="23"/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23"/>
      <c r="G93" s="23"/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23"/>
      <c r="G94" s="23"/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4379.8532592462</v>
      </c>
      <c r="C95" s="32"/>
      <c r="D95" s="32"/>
      <c r="E95" s="23"/>
      <c r="F95" s="23"/>
      <c r="G95" s="23"/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23"/>
      <c r="G96" s="23"/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43497.6467407538</v>
      </c>
      <c r="C97" s="32"/>
      <c r="D97" s="32"/>
      <c r="E97" s="23"/>
      <c r="F97" s="23"/>
      <c r="G97" s="23"/>
      <c r="H97" s="33"/>
      <c r="J97" s="31" t="s">
        <v>112</v>
      </c>
      <c r="K97" s="33" t="n">
        <f aca="false">K90-K95</f>
        <v>37655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45460.1897086168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45460.1897086168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1584.81640136705</v>
      </c>
      <c r="C98" s="32"/>
      <c r="D98" s="32"/>
      <c r="E98" s="23"/>
      <c r="F98" s="23"/>
      <c r="G98" s="23"/>
      <c r="H98" s="33"/>
      <c r="J98" s="31" t="s">
        <v>113</v>
      </c>
      <c r="K98" s="33" t="n">
        <f aca="false">(K97/K96)</f>
        <v>1569.706327631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1674.61110912406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1674.61110912406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50714.1248437457</v>
      </c>
      <c r="C99" s="32"/>
      <c r="D99" s="32"/>
      <c r="E99" s="23"/>
      <c r="F99" s="23"/>
      <c r="G99" s="23"/>
      <c r="H99" s="33"/>
      <c r="J99" s="31" t="s">
        <v>114</v>
      </c>
      <c r="K99" s="33" t="n">
        <f aca="false">((K98*(K94))+K86)</f>
        <v>51800.308811823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53587.5554919699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53587.5554919699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50714.1248437457</v>
      </c>
      <c r="C101" s="32"/>
      <c r="D101" s="32"/>
      <c r="E101" s="23"/>
      <c r="F101" s="23"/>
      <c r="G101" s="23"/>
      <c r="H101" s="33"/>
      <c r="J101" s="56" t="s">
        <v>116</v>
      </c>
      <c r="K101" s="65" t="n">
        <f aca="false">(K99+K100)</f>
        <v>51800.308811823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53587.5554919699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53587.5554919699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23"/>
      <c r="G103" s="23"/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118</v>
      </c>
      <c r="B104" s="92" t="n">
        <f aca="false">B101/(B94)</f>
        <v>1584.81640136705</v>
      </c>
      <c r="C104" s="32"/>
      <c r="D104" s="32"/>
      <c r="E104" s="23"/>
      <c r="F104" s="23"/>
      <c r="G104" s="23"/>
      <c r="H104" s="33"/>
      <c r="J104" s="91" t="s">
        <v>118</v>
      </c>
      <c r="K104" s="92" t="n">
        <f aca="false">K101/(K94)</f>
        <v>1569.706327631</v>
      </c>
      <c r="L104" s="32"/>
      <c r="M104" s="32"/>
      <c r="N104" s="23"/>
      <c r="O104" s="23"/>
      <c r="P104" s="23"/>
      <c r="Q104" s="33"/>
      <c r="S104" s="91" t="s">
        <v>118</v>
      </c>
      <c r="T104" s="92" t="n">
        <f aca="false">T101/(T94)</f>
        <v>1674.61110912406</v>
      </c>
      <c r="U104" s="32"/>
      <c r="V104" s="32"/>
      <c r="W104" s="23"/>
      <c r="X104" s="23"/>
      <c r="Y104" s="23"/>
      <c r="Z104" s="33"/>
      <c r="AB104" s="91" t="s">
        <v>118</v>
      </c>
      <c r="AC104" s="92" t="n">
        <f aca="false">AC101/(AC68)</f>
        <v>1674.61110912406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119</v>
      </c>
      <c r="B105" s="94" t="n">
        <f aca="false">B103+B104</f>
        <v>1584.81640136705</v>
      </c>
      <c r="C105" s="32"/>
      <c r="D105" s="32"/>
      <c r="E105" s="23" t="s">
        <v>19</v>
      </c>
      <c r="F105" s="23"/>
      <c r="G105" s="23"/>
      <c r="H105" s="33"/>
      <c r="J105" s="93" t="s">
        <v>119</v>
      </c>
      <c r="K105" s="94" t="n">
        <f aca="false">(K103+K104)</f>
        <v>1569.706327631</v>
      </c>
      <c r="L105" s="32"/>
      <c r="M105" s="32"/>
      <c r="N105" s="23"/>
      <c r="O105" s="23"/>
      <c r="P105" s="23"/>
      <c r="Q105" s="33"/>
      <c r="S105" s="93" t="s">
        <v>119</v>
      </c>
      <c r="T105" s="94" t="n">
        <f aca="false">T103+T104</f>
        <v>1674.61110912406</v>
      </c>
      <c r="U105" s="32"/>
      <c r="V105" s="32"/>
      <c r="W105" s="23"/>
      <c r="X105" s="23"/>
      <c r="Y105" s="23"/>
      <c r="Z105" s="33"/>
      <c r="AB105" s="93" t="s">
        <v>119</v>
      </c>
      <c r="AC105" s="94" t="n">
        <f aca="false">AC103+AC104</f>
        <v>1674.61110912406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120</v>
      </c>
      <c r="B109" s="96"/>
      <c r="C109" s="96"/>
      <c r="D109" s="96"/>
      <c r="E109" s="96"/>
      <c r="F109" s="96"/>
      <c r="G109" s="96"/>
      <c r="H109" s="96"/>
      <c r="J109" s="24" t="s">
        <v>121</v>
      </c>
      <c r="K109" s="24"/>
      <c r="L109" s="24"/>
      <c r="M109" s="24"/>
      <c r="N109" s="24"/>
      <c r="O109" s="24"/>
      <c r="P109" s="24"/>
      <c r="Q109" s="24"/>
      <c r="S109" s="96" t="s">
        <v>122</v>
      </c>
      <c r="T109" s="96"/>
      <c r="U109" s="96"/>
      <c r="V109" s="96"/>
      <c r="W109" s="96"/>
      <c r="X109" s="96"/>
      <c r="Y109" s="96"/>
      <c r="Z109" s="96"/>
      <c r="AB109" s="96" t="s">
        <v>123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99" t="s">
        <v>128</v>
      </c>
      <c r="C114" s="99"/>
      <c r="D114" s="99"/>
      <c r="E114" s="100" t="s">
        <v>19</v>
      </c>
      <c r="F114" s="100"/>
      <c r="G114" s="100"/>
      <c r="H114" s="98"/>
      <c r="J114" s="36" t="s">
        <v>127</v>
      </c>
      <c r="K114" s="101" t="s">
        <v>128</v>
      </c>
      <c r="L114" s="101"/>
      <c r="M114" s="101"/>
      <c r="N114" s="100" t="s">
        <v>18</v>
      </c>
      <c r="O114" s="100"/>
      <c r="P114" s="100"/>
      <c r="Q114" s="98"/>
      <c r="S114" s="36" t="s">
        <v>127</v>
      </c>
      <c r="T114" s="99" t="s">
        <v>128</v>
      </c>
      <c r="U114" s="99"/>
      <c r="V114" s="99"/>
      <c r="W114" s="100" t="s">
        <v>18</v>
      </c>
      <c r="X114" s="100"/>
      <c r="Y114" s="100"/>
      <c r="Z114" s="98"/>
      <c r="AB114" s="36" t="s">
        <v>127</v>
      </c>
      <c r="AC114" s="99" t="s">
        <v>128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98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98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98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132</v>
      </c>
      <c r="C117" s="103"/>
      <c r="D117" s="103"/>
      <c r="E117" s="104" t="n">
        <f aca="false">B92</f>
        <v>0.115</v>
      </c>
      <c r="F117" s="104"/>
      <c r="G117" s="104"/>
      <c r="H117" s="47"/>
      <c r="J117" s="102" t="n">
        <v>0.3</v>
      </c>
      <c r="K117" s="103" t="s">
        <v>132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133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133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98"/>
      <c r="J122" s="106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98"/>
      <c r="S122" s="106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98"/>
      <c r="AB122" s="106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141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23"/>
      <c r="C127" s="23"/>
      <c r="D127" s="23"/>
      <c r="E127" s="23"/>
      <c r="F127" s="23"/>
      <c r="G127" s="23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143</v>
      </c>
      <c r="C128" s="110"/>
      <c r="D128" s="110" t="s">
        <v>144</v>
      </c>
      <c r="E128" s="110"/>
      <c r="F128" s="110" t="s">
        <v>145</v>
      </c>
      <c r="G128" s="110"/>
      <c r="H128" s="111" t="s">
        <v>146</v>
      </c>
      <c r="J128" s="78"/>
      <c r="K128" s="110" t="s">
        <v>143</v>
      </c>
      <c r="L128" s="110"/>
      <c r="M128" s="110" t="s">
        <v>144</v>
      </c>
      <c r="N128" s="110"/>
      <c r="O128" s="110" t="s">
        <v>145</v>
      </c>
      <c r="P128" s="110"/>
      <c r="Q128" s="111" t="s">
        <v>146</v>
      </c>
      <c r="S128" s="78"/>
      <c r="T128" s="110" t="s">
        <v>143</v>
      </c>
      <c r="U128" s="110"/>
      <c r="V128" s="110" t="s">
        <v>144</v>
      </c>
      <c r="W128" s="110"/>
      <c r="X128" s="110" t="s">
        <v>145</v>
      </c>
      <c r="Y128" s="110"/>
      <c r="Z128" s="111" t="s">
        <v>146</v>
      </c>
      <c r="AB128" s="78"/>
      <c r="AC128" s="110" t="s">
        <v>143</v>
      </c>
      <c r="AD128" s="110"/>
      <c r="AE128" s="110" t="s">
        <v>144</v>
      </c>
      <c r="AF128" s="110"/>
      <c r="AG128" s="110" t="s">
        <v>145</v>
      </c>
      <c r="AH128" s="110"/>
      <c r="AI128" s="111" t="s">
        <v>146</v>
      </c>
    </row>
    <row r="129" customFormat="false" ht="19.7" hidden="false" customHeight="false" outlineLevel="0" collapsed="false">
      <c r="A129" s="80"/>
      <c r="B129" s="112" t="s">
        <v>147</v>
      </c>
      <c r="C129" s="113" t="s">
        <v>148</v>
      </c>
      <c r="D129" s="112" t="s">
        <v>147</v>
      </c>
      <c r="E129" s="114" t="s">
        <v>148</v>
      </c>
      <c r="F129" s="112" t="s">
        <v>147</v>
      </c>
      <c r="G129" s="114" t="s">
        <v>148</v>
      </c>
      <c r="H129" s="115"/>
      <c r="J129" s="80"/>
      <c r="K129" s="112" t="s">
        <v>147</v>
      </c>
      <c r="L129" s="113" t="s">
        <v>148</v>
      </c>
      <c r="M129" s="112" t="s">
        <v>147</v>
      </c>
      <c r="N129" s="114" t="s">
        <v>148</v>
      </c>
      <c r="O129" s="112" t="s">
        <v>147</v>
      </c>
      <c r="P129" s="114" t="s">
        <v>148</v>
      </c>
      <c r="Q129" s="115"/>
      <c r="S129" s="80"/>
      <c r="T129" s="112" t="s">
        <v>147</v>
      </c>
      <c r="U129" s="113" t="s">
        <v>148</v>
      </c>
      <c r="V129" s="112" t="s">
        <v>147</v>
      </c>
      <c r="W129" s="114" t="s">
        <v>148</v>
      </c>
      <c r="X129" s="112" t="s">
        <v>147</v>
      </c>
      <c r="Y129" s="114" t="s">
        <v>148</v>
      </c>
      <c r="Z129" s="115"/>
      <c r="AB129" s="80"/>
      <c r="AC129" s="112" t="s">
        <v>147</v>
      </c>
      <c r="AD129" s="113" t="s">
        <v>148</v>
      </c>
      <c r="AE129" s="112" t="s">
        <v>147</v>
      </c>
      <c r="AF129" s="114" t="s">
        <v>148</v>
      </c>
      <c r="AG129" s="112" t="s">
        <v>147</v>
      </c>
      <c r="AH129" s="114" t="s">
        <v>148</v>
      </c>
      <c r="AI129" s="115"/>
    </row>
    <row r="130" customFormat="false" ht="17.35" hidden="false" customHeight="false" outlineLevel="0" collapsed="false">
      <c r="A130" s="25" t="s">
        <v>149</v>
      </c>
      <c r="B130" s="25" t="n">
        <f aca="false">B3</f>
        <v>46854.17</v>
      </c>
      <c r="C130" s="40" t="n">
        <f aca="false">B130</f>
        <v>46854.17</v>
      </c>
      <c r="D130" s="25" t="n">
        <f aca="false">D3</f>
        <v>0</v>
      </c>
      <c r="E130" s="40" t="n">
        <f aca="false">D130</f>
        <v>0</v>
      </c>
      <c r="F130" s="25" t="n">
        <f aca="false">F3</f>
        <v>833.33</v>
      </c>
      <c r="G130" s="40" t="n">
        <f aca="false">F130</f>
        <v>833.33</v>
      </c>
      <c r="H130" s="118" t="n">
        <f aca="false">H3</f>
        <v>0</v>
      </c>
      <c r="J130" s="25" t="s">
        <v>149</v>
      </c>
      <c r="K130" s="25" t="n">
        <f aca="false">B3</f>
        <v>46854.17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833.33</v>
      </c>
      <c r="P130" s="40" t="n">
        <f aca="false">O130</f>
        <v>833.33</v>
      </c>
      <c r="Q130" s="118" t="n">
        <f aca="false">H3</f>
        <v>0</v>
      </c>
      <c r="S130" s="25" t="s">
        <v>149</v>
      </c>
      <c r="T130" s="25" t="n">
        <f aca="false">B3</f>
        <v>46854.17</v>
      </c>
      <c r="U130" s="40" t="n">
        <f aca="false">T130</f>
        <v>46854.17</v>
      </c>
      <c r="V130" s="25" t="n">
        <f aca="false">D3</f>
        <v>0</v>
      </c>
      <c r="W130" s="40" t="n">
        <f aca="false">V130</f>
        <v>0</v>
      </c>
      <c r="X130" s="25" t="n">
        <f aca="false">F3</f>
        <v>833.33</v>
      </c>
      <c r="Y130" s="40" t="n">
        <f aca="false">X130</f>
        <v>833.33</v>
      </c>
      <c r="Z130" s="118" t="n">
        <f aca="false">H3</f>
        <v>0</v>
      </c>
      <c r="AB130" s="25" t="s">
        <v>149</v>
      </c>
      <c r="AC130" s="25" t="n">
        <f aca="false">B3</f>
        <v>46854.17</v>
      </c>
      <c r="AD130" s="40" t="n">
        <f aca="false">AC130</f>
        <v>46854.17</v>
      </c>
      <c r="AE130" s="25" t="n">
        <f aca="false">D3</f>
        <v>0</v>
      </c>
      <c r="AF130" s="40" t="n">
        <f aca="false">AE130</f>
        <v>0</v>
      </c>
      <c r="AG130" s="25" t="n">
        <f aca="false">F3</f>
        <v>833.33</v>
      </c>
      <c r="AH130" s="40" t="n">
        <f aca="false">AG130</f>
        <v>833.33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f aca="false">B4</f>
        <v>0</v>
      </c>
      <c r="C131" s="496" t="n">
        <f aca="false">B131</f>
        <v>0</v>
      </c>
      <c r="D131" s="123" t="n">
        <f aca="false">D4</f>
        <v>0</v>
      </c>
      <c r="E131" s="124" t="n">
        <f aca="false">D131</f>
        <v>0</v>
      </c>
      <c r="F131" s="123" t="n">
        <f aca="false">F4</f>
        <v>0</v>
      </c>
      <c r="G131" s="124" t="n">
        <f aca="false">F131</f>
        <v>0</v>
      </c>
      <c r="H131" s="125"/>
      <c r="J131" s="31" t="s">
        <v>150</v>
      </c>
      <c r="K131" s="123" t="n">
        <f aca="false">B4</f>
        <v>0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n">
        <f aca="false">F4</f>
        <v>0</v>
      </c>
      <c r="P131" s="124" t="n">
        <f aca="false">O131</f>
        <v>0</v>
      </c>
      <c r="Q131" s="125"/>
      <c r="S131" s="31" t="s">
        <v>150</v>
      </c>
      <c r="T131" s="123" t="n">
        <f aca="false">B4</f>
        <v>0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n">
        <f aca="false">F4</f>
        <v>0</v>
      </c>
      <c r="Y131" s="124" t="n">
        <f aca="false">X131</f>
        <v>0</v>
      </c>
      <c r="Z131" s="125"/>
      <c r="AB131" s="31" t="s">
        <v>150</v>
      </c>
      <c r="AC131" s="123" t="n">
        <f aca="false">B4</f>
        <v>0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n">
        <f aca="false">F4</f>
        <v>0</v>
      </c>
      <c r="AH131" s="124" t="n">
        <f aca="false">AG131</f>
        <v>0</v>
      </c>
      <c r="AI131" s="125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11713.5425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11713.5425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46854.17</v>
      </c>
      <c r="C134" s="65" t="n">
        <f aca="false">C130-C133</f>
        <v>46854.17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833.33</v>
      </c>
      <c r="G134" s="65" t="n">
        <f aca="false">G130-G133</f>
        <v>833.33</v>
      </c>
      <c r="H134" s="65"/>
      <c r="J134" s="56" t="s">
        <v>153</v>
      </c>
      <c r="K134" s="56" t="n">
        <f aca="false">K130-K133</f>
        <v>46854.17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833.33</v>
      </c>
      <c r="P134" s="65" t="n">
        <f aca="false">P130-P133</f>
        <v>833.33</v>
      </c>
      <c r="Q134" s="65"/>
      <c r="S134" s="56" t="s">
        <v>153</v>
      </c>
      <c r="T134" s="56" t="n">
        <f aca="false">T130-T133</f>
        <v>46854.17</v>
      </c>
      <c r="U134" s="65" t="n">
        <f aca="false">U130-U133</f>
        <v>35140.6275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833.33</v>
      </c>
      <c r="Y134" s="65" t="n">
        <f aca="false">Y130-Y133</f>
        <v>833.33</v>
      </c>
      <c r="Z134" s="65"/>
      <c r="AB134" s="56" t="s">
        <v>153</v>
      </c>
      <c r="AC134" s="56" t="n">
        <f aca="false">AC130-AC133</f>
        <v>46854.17</v>
      </c>
      <c r="AD134" s="65" t="n">
        <f aca="false">AD130-AD133</f>
        <v>35140.6275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833.33</v>
      </c>
      <c r="AH134" s="65" t="n">
        <f aca="false">AH130-AH133</f>
        <v>833.33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5"/>
      <c r="C136" s="135"/>
      <c r="D136" s="135"/>
      <c r="E136" s="135"/>
      <c r="F136" s="135"/>
      <c r="G136" s="136" t="s">
        <v>147</v>
      </c>
      <c r="H136" s="134" t="s">
        <v>148</v>
      </c>
      <c r="J136" s="131"/>
      <c r="K136" s="135"/>
      <c r="L136" s="135"/>
      <c r="M136" s="135"/>
      <c r="N136" s="135"/>
      <c r="O136" s="135"/>
      <c r="P136" s="136" t="s">
        <v>147</v>
      </c>
      <c r="Q136" s="134" t="s">
        <v>148</v>
      </c>
      <c r="S136" s="131"/>
      <c r="T136" s="135"/>
      <c r="U136" s="135"/>
      <c r="V136" s="135"/>
      <c r="W136" s="135"/>
      <c r="X136" s="135"/>
      <c r="Y136" s="136" t="s">
        <v>147</v>
      </c>
      <c r="Z136" s="134" t="s">
        <v>148</v>
      </c>
      <c r="AB136" s="131"/>
      <c r="AC136" s="135"/>
      <c r="AD136" s="135"/>
      <c r="AE136" s="135"/>
      <c r="AF136" s="135"/>
      <c r="AG136" s="135"/>
      <c r="AH136" s="136" t="s">
        <v>147</v>
      </c>
      <c r="AI136" s="134" t="s">
        <v>148</v>
      </c>
    </row>
    <row r="137" customFormat="false" ht="17.35" hidden="false" customHeight="false" outlineLevel="0" collapsed="false">
      <c r="A137" s="137" t="s">
        <v>154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154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154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154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3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155</v>
      </c>
      <c r="B139" s="141" t="s">
        <v>156</v>
      </c>
      <c r="C139" s="141"/>
      <c r="D139" s="141" t="s">
        <v>157</v>
      </c>
      <c r="E139" s="141"/>
      <c r="F139" s="141" t="s">
        <v>151</v>
      </c>
      <c r="G139" s="141"/>
      <c r="H139" s="142" t="s">
        <v>148</v>
      </c>
      <c r="J139" s="144" t="s">
        <v>155</v>
      </c>
      <c r="K139" s="145" t="s">
        <v>156</v>
      </c>
      <c r="L139" s="145"/>
      <c r="M139" s="141" t="s">
        <v>157</v>
      </c>
      <c r="N139" s="141"/>
      <c r="O139" s="141" t="s">
        <v>151</v>
      </c>
      <c r="P139" s="141"/>
      <c r="Q139" s="142" t="s">
        <v>148</v>
      </c>
      <c r="S139" s="144" t="s">
        <v>155</v>
      </c>
      <c r="T139" s="141" t="s">
        <v>156</v>
      </c>
      <c r="U139" s="141"/>
      <c r="V139" s="141" t="s">
        <v>157</v>
      </c>
      <c r="W139" s="141"/>
      <c r="X139" s="141" t="s">
        <v>151</v>
      </c>
      <c r="Y139" s="141"/>
      <c r="Z139" s="142" t="s">
        <v>148</v>
      </c>
      <c r="AB139" s="144" t="s">
        <v>155</v>
      </c>
      <c r="AC139" s="141" t="s">
        <v>156</v>
      </c>
      <c r="AD139" s="141"/>
      <c r="AE139" s="141" t="s">
        <v>157</v>
      </c>
      <c r="AF139" s="141"/>
      <c r="AG139" s="141" t="s">
        <v>151</v>
      </c>
      <c r="AH139" s="141"/>
      <c r="AI139" s="142" t="s">
        <v>148</v>
      </c>
    </row>
    <row r="140" customFormat="false" ht="17.35" hidden="false" customHeight="false" outlineLevel="0" collapsed="false">
      <c r="A140" s="31" t="s">
        <v>158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158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158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158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159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159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159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160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160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160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3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161</v>
      </c>
      <c r="B144" s="149"/>
      <c r="C144" s="149"/>
      <c r="D144" s="149"/>
      <c r="E144" s="149"/>
      <c r="F144" s="149"/>
      <c r="G144" s="136" t="n">
        <f aca="false">H9</f>
        <v>47687.5</v>
      </c>
      <c r="H144" s="150" t="n">
        <f aca="false">C134+E134+G134+H137</f>
        <v>47687.5</v>
      </c>
      <c r="J144" s="149" t="s">
        <v>161</v>
      </c>
      <c r="K144" s="149"/>
      <c r="L144" s="149"/>
      <c r="M144" s="149"/>
      <c r="N144" s="149"/>
      <c r="O144" s="149"/>
      <c r="P144" s="136" t="n">
        <f aca="false">H9</f>
        <v>47687.5</v>
      </c>
      <c r="Q144" s="150" t="n">
        <f aca="false">L134+N134+P134+Q137</f>
        <v>29462.5</v>
      </c>
      <c r="S144" s="149" t="s">
        <v>161</v>
      </c>
      <c r="T144" s="149"/>
      <c r="U144" s="149"/>
      <c r="V144" s="149"/>
      <c r="W144" s="149"/>
      <c r="X144" s="149"/>
      <c r="Y144" s="136" t="n">
        <f aca="false">H9</f>
        <v>47687.5</v>
      </c>
      <c r="Z144" s="150" t="n">
        <f aca="false">U134+W134+Y134+Z137</f>
        <v>35973.9575</v>
      </c>
      <c r="AB144" s="149" t="s">
        <v>161</v>
      </c>
      <c r="AC144" s="149"/>
      <c r="AD144" s="149"/>
      <c r="AE144" s="149"/>
      <c r="AF144" s="149"/>
      <c r="AG144" s="149"/>
      <c r="AH144" s="136" t="n">
        <f aca="false">H9</f>
        <v>47687.5</v>
      </c>
      <c r="AI144" s="150" t="n">
        <f aca="false">AD134+AF134+AH134+AI137</f>
        <v>35973.9575</v>
      </c>
    </row>
    <row r="145" customFormat="false" ht="17.35" hidden="false" customHeight="false" outlineLevel="0" collapsed="false">
      <c r="A145" s="151" t="s">
        <v>162</v>
      </c>
      <c r="B145" s="151"/>
      <c r="C145" s="151"/>
      <c r="D145" s="151"/>
      <c r="E145" s="151"/>
      <c r="F145" s="151"/>
      <c r="G145" s="153" t="n">
        <f aca="false">H10</f>
        <v>550</v>
      </c>
      <c r="H145" s="33" t="n">
        <f aca="false">G145</f>
        <v>550</v>
      </c>
      <c r="J145" s="151" t="s">
        <v>162</v>
      </c>
      <c r="K145" s="151"/>
      <c r="L145" s="151"/>
      <c r="M145" s="151"/>
      <c r="N145" s="151"/>
      <c r="O145" s="151"/>
      <c r="P145" s="153" t="n">
        <f aca="false">H10</f>
        <v>550</v>
      </c>
      <c r="Q145" s="33" t="n">
        <f aca="false">P145</f>
        <v>550</v>
      </c>
      <c r="S145" s="151" t="s">
        <v>162</v>
      </c>
      <c r="T145" s="151"/>
      <c r="U145" s="151"/>
      <c r="V145" s="151"/>
      <c r="W145" s="151"/>
      <c r="X145" s="151"/>
      <c r="Y145" s="153" t="n">
        <f aca="false">H10</f>
        <v>550</v>
      </c>
      <c r="Z145" s="33" t="n">
        <f aca="false">Y145</f>
        <v>550</v>
      </c>
      <c r="AB145" s="151" t="s">
        <v>162</v>
      </c>
      <c r="AC145" s="151"/>
      <c r="AD145" s="151"/>
      <c r="AE145" s="151"/>
      <c r="AF145" s="151"/>
      <c r="AG145" s="151"/>
      <c r="AH145" s="153" t="n">
        <f aca="false">H10</f>
        <v>550</v>
      </c>
      <c r="AI145" s="33" t="n">
        <f aca="false">AH145</f>
        <v>550</v>
      </c>
    </row>
    <row r="146" customFormat="false" ht="17.35" hidden="false" customHeight="false" outlineLevel="0" collapsed="false">
      <c r="A146" s="151" t="s">
        <v>163</v>
      </c>
      <c r="B146" s="151"/>
      <c r="C146" s="151"/>
      <c r="D146" s="151"/>
      <c r="E146" s="151"/>
      <c r="F146" s="151"/>
      <c r="G146" s="153" t="n">
        <f aca="false">H11</f>
        <v>9647.5</v>
      </c>
      <c r="H146" s="33" t="n">
        <f aca="false">(H144+H145)*20%</f>
        <v>9647.5</v>
      </c>
      <c r="J146" s="151" t="s">
        <v>163</v>
      </c>
      <c r="K146" s="151"/>
      <c r="L146" s="151"/>
      <c r="M146" s="151"/>
      <c r="N146" s="151"/>
      <c r="O146" s="151"/>
      <c r="P146" s="153" t="n">
        <f aca="false">H11</f>
        <v>9647.5</v>
      </c>
      <c r="Q146" s="33" t="n">
        <f aca="false">(Q144+Q145)*20%</f>
        <v>6002.5</v>
      </c>
      <c r="S146" s="151" t="s">
        <v>163</v>
      </c>
      <c r="T146" s="151"/>
      <c r="U146" s="151"/>
      <c r="V146" s="151"/>
      <c r="W146" s="151"/>
      <c r="X146" s="151"/>
      <c r="Y146" s="153" t="n">
        <f aca="false">H11</f>
        <v>9647.5</v>
      </c>
      <c r="Z146" s="33" t="n">
        <f aca="false">(Z144+Z145)*20%</f>
        <v>7304.7915</v>
      </c>
      <c r="AB146" s="151" t="s">
        <v>163</v>
      </c>
      <c r="AC146" s="151"/>
      <c r="AD146" s="151"/>
      <c r="AE146" s="151"/>
      <c r="AF146" s="151"/>
      <c r="AG146" s="151"/>
      <c r="AH146" s="153" t="n">
        <f aca="false">H11</f>
        <v>9647.5</v>
      </c>
      <c r="AI146" s="33" t="n">
        <f aca="false">(AI144+AI145)*20%</f>
        <v>7304.7915</v>
      </c>
    </row>
    <row r="147" customFormat="false" ht="17.35" hidden="false" customHeight="false" outlineLevel="0" collapsed="false">
      <c r="A147" s="151" t="s">
        <v>164</v>
      </c>
      <c r="B147" s="151"/>
      <c r="C147" s="151"/>
      <c r="D147" s="151"/>
      <c r="E147" s="151"/>
      <c r="F147" s="151"/>
      <c r="G147" s="153" t="n">
        <f aca="false">H12</f>
        <v>0</v>
      </c>
      <c r="H147" s="33" t="n">
        <v>0</v>
      </c>
      <c r="J147" s="151" t="s">
        <v>164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164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164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165</v>
      </c>
      <c r="B148" s="151"/>
      <c r="C148" s="151"/>
      <c r="D148" s="151"/>
      <c r="E148" s="151"/>
      <c r="F148" s="151"/>
      <c r="G148" s="153" t="n">
        <f aca="false">H13</f>
        <v>585</v>
      </c>
      <c r="H148" s="33" t="n">
        <f aca="false">G148</f>
        <v>585</v>
      </c>
      <c r="J148" s="151" t="s">
        <v>165</v>
      </c>
      <c r="K148" s="151"/>
      <c r="L148" s="151"/>
      <c r="M148" s="151"/>
      <c r="N148" s="151"/>
      <c r="O148" s="151"/>
      <c r="P148" s="153" t="n">
        <f aca="false">H13</f>
        <v>585</v>
      </c>
      <c r="Q148" s="33" t="n">
        <f aca="false">P148</f>
        <v>585</v>
      </c>
      <c r="S148" s="151" t="s">
        <v>165</v>
      </c>
      <c r="T148" s="151"/>
      <c r="U148" s="151"/>
      <c r="V148" s="151"/>
      <c r="W148" s="151"/>
      <c r="X148" s="151"/>
      <c r="Y148" s="153" t="n">
        <f aca="false">H13</f>
        <v>585</v>
      </c>
      <c r="Z148" s="33" t="n">
        <f aca="false">Y148</f>
        <v>585</v>
      </c>
      <c r="AB148" s="151" t="s">
        <v>165</v>
      </c>
      <c r="AC148" s="151"/>
      <c r="AD148" s="151"/>
      <c r="AE148" s="151"/>
      <c r="AF148" s="151"/>
      <c r="AG148" s="151"/>
      <c r="AH148" s="153" t="n">
        <f aca="false">H13</f>
        <v>585</v>
      </c>
      <c r="AI148" s="33" t="n">
        <f aca="false">AH148</f>
        <v>585</v>
      </c>
    </row>
    <row r="149" customFormat="false" ht="17.35" hidden="false" customHeight="false" outlineLevel="0" collapsed="false">
      <c r="A149" s="151" t="s">
        <v>166</v>
      </c>
      <c r="B149" s="151"/>
      <c r="C149" s="151"/>
      <c r="D149" s="151"/>
      <c r="E149" s="151"/>
      <c r="F149" s="151"/>
      <c r="G149" s="153" t="n">
        <f aca="false">H14</f>
        <v>55</v>
      </c>
      <c r="H149" s="33" t="n">
        <v>55</v>
      </c>
      <c r="J149" s="151" t="s">
        <v>166</v>
      </c>
      <c r="K149" s="151"/>
      <c r="L149" s="151"/>
      <c r="M149" s="151"/>
      <c r="N149" s="151"/>
      <c r="O149" s="151"/>
      <c r="P149" s="153" t="n">
        <f aca="false">H14</f>
        <v>55</v>
      </c>
      <c r="Q149" s="33" t="n">
        <v>55</v>
      </c>
      <c r="S149" s="151" t="s">
        <v>166</v>
      </c>
      <c r="T149" s="151"/>
      <c r="U149" s="151"/>
      <c r="V149" s="151"/>
      <c r="W149" s="151"/>
      <c r="X149" s="151"/>
      <c r="Y149" s="153" t="n">
        <f aca="false">H14</f>
        <v>55</v>
      </c>
      <c r="Z149" s="33" t="n">
        <v>55</v>
      </c>
      <c r="AB149" s="151" t="s">
        <v>166</v>
      </c>
      <c r="AC149" s="151"/>
      <c r="AD149" s="151"/>
      <c r="AE149" s="151"/>
      <c r="AF149" s="151"/>
      <c r="AG149" s="151"/>
      <c r="AH149" s="153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1" t="s">
        <v>167</v>
      </c>
      <c r="B150" s="151"/>
      <c r="C150" s="151"/>
      <c r="D150" s="151"/>
      <c r="E150" s="151"/>
      <c r="F150" s="151"/>
      <c r="G150" s="155" t="n">
        <f aca="false">H15</f>
        <v>58525</v>
      </c>
      <c r="H150" s="154" t="n">
        <f aca="false">(H144+H145+H148+H149+H146)-H147</f>
        <v>58525</v>
      </c>
      <c r="J150" s="151" t="s">
        <v>167</v>
      </c>
      <c r="K150" s="151"/>
      <c r="L150" s="151"/>
      <c r="M150" s="151"/>
      <c r="N150" s="151"/>
      <c r="O150" s="151"/>
      <c r="P150" s="155" t="n">
        <f aca="false">H15</f>
        <v>58525</v>
      </c>
      <c r="Q150" s="154" t="n">
        <f aca="false">(Q144+Q145+Q148+Q149+Q146)-Q147</f>
        <v>36655</v>
      </c>
      <c r="S150" s="151" t="s">
        <v>167</v>
      </c>
      <c r="T150" s="151"/>
      <c r="U150" s="151"/>
      <c r="V150" s="151"/>
      <c r="W150" s="151"/>
      <c r="X150" s="151"/>
      <c r="Y150" s="155" t="n">
        <f aca="false">H15</f>
        <v>58525</v>
      </c>
      <c r="Z150" s="154" t="n">
        <f aca="false">(Z144+Z145+Z148+Z149+Z146)-Z147</f>
        <v>44468.749</v>
      </c>
      <c r="AB150" s="151" t="s">
        <v>167</v>
      </c>
      <c r="AC150" s="151"/>
      <c r="AD150" s="151"/>
      <c r="AE150" s="151"/>
      <c r="AF150" s="151"/>
      <c r="AG150" s="151"/>
      <c r="AH150" s="155" t="n">
        <f aca="false">H15</f>
        <v>58525</v>
      </c>
      <c r="AI150" s="154" t="n">
        <f aca="false">(AI144+AI145+AI148+AI149+AI146)-AI147</f>
        <v>44468.749</v>
      </c>
    </row>
    <row r="151" customFormat="false" ht="17.35" hidden="false" customHeight="false" outlineLevel="0" collapsed="false">
      <c r="A151" s="151" t="s">
        <v>168</v>
      </c>
      <c r="B151" s="151"/>
      <c r="C151" s="151"/>
      <c r="D151" s="151"/>
      <c r="E151" s="151"/>
      <c r="F151" s="151"/>
      <c r="G151" s="153" t="n">
        <f aca="false">H16</f>
        <v>0</v>
      </c>
      <c r="H151" s="40" t="n">
        <f aca="false">G151</f>
        <v>0</v>
      </c>
      <c r="J151" s="151" t="s">
        <v>168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168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168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169</v>
      </c>
      <c r="B152" s="107"/>
      <c r="C152" s="107"/>
      <c r="D152" s="107"/>
      <c r="E152" s="107" t="n">
        <v>0</v>
      </c>
      <c r="F152" s="107"/>
      <c r="G152" s="38" t="n">
        <v>0</v>
      </c>
      <c r="H152" s="33"/>
      <c r="J152" s="156" t="s">
        <v>169</v>
      </c>
      <c r="K152" s="156"/>
      <c r="L152" s="156"/>
      <c r="M152" s="156"/>
      <c r="N152" s="156"/>
      <c r="O152" s="156"/>
      <c r="P152" s="38"/>
      <c r="Q152" s="33"/>
      <c r="S152" s="107" t="s">
        <v>169</v>
      </c>
      <c r="T152" s="107"/>
      <c r="U152" s="107"/>
      <c r="V152" s="107"/>
      <c r="W152" s="107"/>
      <c r="X152" s="107"/>
      <c r="Y152" s="38"/>
      <c r="Z152" s="33"/>
      <c r="AB152" s="107" t="s">
        <v>169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s">
        <v>170</v>
      </c>
      <c r="C153" s="158"/>
      <c r="D153" s="158"/>
      <c r="E153" s="158"/>
      <c r="F153" s="158"/>
      <c r="G153" s="153" t="n">
        <f aca="false">H18</f>
        <v>0</v>
      </c>
      <c r="H153" s="40" t="n">
        <f aca="false">G153</f>
        <v>0</v>
      </c>
      <c r="J153" s="157" t="s">
        <v>13</v>
      </c>
      <c r="K153" s="158" t="s">
        <v>170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170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170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170</v>
      </c>
      <c r="C154" s="158"/>
      <c r="D154" s="158"/>
      <c r="E154" s="158"/>
      <c r="F154" s="158"/>
      <c r="G154" s="153" t="n">
        <f aca="false">H19</f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170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170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170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170</v>
      </c>
      <c r="C155" s="160"/>
      <c r="D155" s="160"/>
      <c r="E155" s="160"/>
      <c r="F155" s="160"/>
      <c r="G155" s="153" t="n">
        <f aca="false">H20</f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170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170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170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171</v>
      </c>
      <c r="B156" s="151"/>
      <c r="C156" s="151"/>
      <c r="D156" s="151"/>
      <c r="E156" s="151"/>
      <c r="F156" s="151"/>
      <c r="G156" s="155" t="n">
        <f aca="false">G150-((G153*1.2)+(G154*1.2)+(G155*1.2)+(G151*1.2))</f>
        <v>58525</v>
      </c>
      <c r="H156" s="161" t="n">
        <f aca="false">H150-((H153*1.2)+(H154*1.2)+(H155*1.2)+(H151*1.2))</f>
        <v>58525</v>
      </c>
      <c r="J156" s="162" t="s">
        <v>171</v>
      </c>
      <c r="K156" s="162"/>
      <c r="L156" s="162"/>
      <c r="M156" s="162"/>
      <c r="N156" s="162"/>
      <c r="O156" s="162"/>
      <c r="P156" s="155" t="n">
        <f aca="false">P150-((P153*1.2)+(P154*1.2)+(P155*1.2)+(P151*1.2))</f>
        <v>58525</v>
      </c>
      <c r="Q156" s="161" t="n">
        <f aca="false">Q150-((Q153*1.2)+(Q154*1.2)+(Q155*1.2)+(Q151*1.2))</f>
        <v>36655</v>
      </c>
      <c r="S156" s="151" t="s">
        <v>171</v>
      </c>
      <c r="T156" s="151"/>
      <c r="U156" s="151"/>
      <c r="V156" s="151"/>
      <c r="W156" s="151"/>
      <c r="X156" s="151"/>
      <c r="Y156" s="155" t="n">
        <f aca="false">Y150-((Y153*1.2)+(Y154*1.2)+(Y155*1.2)+(Y151*1.2))</f>
        <v>58525</v>
      </c>
      <c r="Z156" s="161" t="n">
        <f aca="false">Z150-((Z153*1.2)+(Z154*1.2)+(Z155*1.2)+(Z151*1.2))</f>
        <v>44468.749</v>
      </c>
      <c r="AB156" s="151" t="s">
        <v>171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58525</v>
      </c>
      <c r="AI156" s="161" t="n">
        <f aca="false">AI150-((AI153*1.2)+(AI154*1.2)+(AI155*1.2)+(AI151*1.2))</f>
        <v>44468.749</v>
      </c>
    </row>
    <row r="157" customFormat="false" ht="17.35" hidden="false" customHeight="false" outlineLevel="0" collapsed="false">
      <c r="A157" s="151" t="s">
        <v>172</v>
      </c>
      <c r="B157" s="151"/>
      <c r="C157" s="151"/>
      <c r="D157" s="151"/>
      <c r="E157" s="151"/>
      <c r="F157" s="151"/>
      <c r="G157" s="153"/>
      <c r="H157" s="40" t="n">
        <f aca="false">((H156-G156)-(H146-G146))+((I155-I154)*0.2)</f>
        <v>0</v>
      </c>
      <c r="I157" s="1" t="n">
        <f aca="false">(H157-G90)/1.2</f>
        <v>0</v>
      </c>
      <c r="J157" s="151" t="s">
        <v>172</v>
      </c>
      <c r="K157" s="151"/>
      <c r="L157" s="151"/>
      <c r="M157" s="151"/>
      <c r="N157" s="151"/>
      <c r="O157" s="151"/>
      <c r="P157" s="153"/>
      <c r="Q157" s="40" t="n">
        <f aca="false">Q156-P156</f>
        <v>-21870</v>
      </c>
      <c r="S157" s="151" t="s">
        <v>172</v>
      </c>
      <c r="T157" s="151"/>
      <c r="U157" s="151"/>
      <c r="V157" s="151"/>
      <c r="W157" s="151"/>
      <c r="X157" s="151"/>
      <c r="Y157" s="153"/>
      <c r="Z157" s="40" t="n">
        <f aca="false">Z156-Y156</f>
        <v>-14056.251</v>
      </c>
      <c r="AB157" s="151" t="s">
        <v>172</v>
      </c>
      <c r="AC157" s="151"/>
      <c r="AD157" s="151"/>
      <c r="AE157" s="151"/>
      <c r="AF157" s="151"/>
      <c r="AG157" s="151"/>
      <c r="AH157" s="153"/>
      <c r="AI157" s="40" t="n">
        <f aca="false">AI156-AH156</f>
        <v>-14056.251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174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174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174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175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175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175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176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176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176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177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177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177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178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178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178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179</v>
      </c>
      <c r="B167" s="32"/>
      <c r="C167" s="32"/>
      <c r="D167" s="23"/>
      <c r="E167" s="32"/>
      <c r="F167" s="23"/>
      <c r="G167" s="167" t="n">
        <f aca="false">H156-G163-G166</f>
        <v>58525</v>
      </c>
      <c r="H167" s="167"/>
      <c r="J167" s="166" t="s">
        <v>179</v>
      </c>
      <c r="K167" s="32"/>
      <c r="L167" s="32"/>
      <c r="M167" s="23"/>
      <c r="N167" s="32"/>
      <c r="O167" s="23"/>
      <c r="P167" s="167" t="n">
        <f aca="false">Q156-P163-P166</f>
        <v>37655</v>
      </c>
      <c r="Q167" s="167"/>
      <c r="S167" s="166" t="s">
        <v>179</v>
      </c>
      <c r="T167" s="32"/>
      <c r="U167" s="32"/>
      <c r="V167" s="23"/>
      <c r="W167" s="32"/>
      <c r="X167" s="23"/>
      <c r="Y167" s="167" t="n">
        <f aca="false">Z156-Y163-Y166</f>
        <v>45468.749</v>
      </c>
      <c r="Z167" s="167"/>
      <c r="AB167" s="166" t="s">
        <v>179</v>
      </c>
      <c r="AC167" s="32"/>
      <c r="AD167" s="32"/>
      <c r="AE167" s="23"/>
      <c r="AF167" s="32"/>
      <c r="AG167" s="23"/>
      <c r="AH167" s="167" t="n">
        <f aca="false">AI156-AH163-AH166</f>
        <v>45468.749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239.99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181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181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181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182</v>
      </c>
      <c r="B175" s="171" t="s">
        <v>183</v>
      </c>
      <c r="C175" s="171"/>
      <c r="D175" s="171"/>
      <c r="E175" s="171" t="s">
        <v>184</v>
      </c>
      <c r="F175" s="23"/>
      <c r="G175" s="23"/>
      <c r="H175" s="33"/>
      <c r="J175" s="170" t="s">
        <v>182</v>
      </c>
      <c r="K175" s="172" t="s">
        <v>183</v>
      </c>
      <c r="L175" s="172"/>
      <c r="M175" s="172"/>
      <c r="N175" s="172" t="s">
        <v>184</v>
      </c>
      <c r="O175" s="23"/>
      <c r="P175" s="23"/>
      <c r="Q175" s="33"/>
      <c r="S175" s="170" t="s">
        <v>182</v>
      </c>
      <c r="T175" s="172" t="s">
        <v>183</v>
      </c>
      <c r="U175" s="172"/>
      <c r="V175" s="172"/>
      <c r="W175" s="172" t="s">
        <v>184</v>
      </c>
      <c r="X175" s="23"/>
      <c r="Y175" s="23"/>
      <c r="Z175" s="33"/>
      <c r="AB175" s="170" t="s">
        <v>182</v>
      </c>
      <c r="AC175" s="172" t="s">
        <v>183</v>
      </c>
      <c r="AD175" s="172"/>
      <c r="AE175" s="172"/>
      <c r="AF175" s="172" t="s">
        <v>184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1584.81640136705</v>
      </c>
      <c r="B176" s="174" t="n">
        <f aca="false">B103</f>
        <v>0</v>
      </c>
      <c r="C176" s="171"/>
      <c r="D176" s="171"/>
      <c r="E176" s="174" t="n">
        <f aca="false">B105</f>
        <v>1584.81640136705</v>
      </c>
      <c r="F176" s="23"/>
      <c r="G176" s="23"/>
      <c r="H176" s="33"/>
      <c r="J176" s="173" t="n">
        <f aca="false">K104</f>
        <v>1569.706327631</v>
      </c>
      <c r="K176" s="175" t="n">
        <f aca="false">K103</f>
        <v>0</v>
      </c>
      <c r="L176" s="172"/>
      <c r="M176" s="172"/>
      <c r="N176" s="175" t="n">
        <f aca="false">K105</f>
        <v>1569.706327631</v>
      </c>
      <c r="O176" s="23"/>
      <c r="P176" s="23"/>
      <c r="Q176" s="33"/>
      <c r="S176" s="173" t="n">
        <f aca="false">T104</f>
        <v>1674.61110912406</v>
      </c>
      <c r="T176" s="175" t="n">
        <f aca="false">T103</f>
        <v>0</v>
      </c>
      <c r="U176" s="172"/>
      <c r="V176" s="172"/>
      <c r="W176" s="175" t="n">
        <f aca="false">T105</f>
        <v>1674.61110912406</v>
      </c>
      <c r="X176" s="23"/>
      <c r="Y176" s="23"/>
      <c r="Z176" s="33"/>
      <c r="AB176" s="173" t="n">
        <f aca="false">AC104</f>
        <v>1674.61110912406</v>
      </c>
      <c r="AC176" s="175" t="n">
        <f aca="false">AC103</f>
        <v>0</v>
      </c>
      <c r="AD176" s="172"/>
      <c r="AE176" s="172"/>
      <c r="AF176" s="175" t="n">
        <f aca="false">AC105</f>
        <v>1674.61110912406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130" t="s">
        <v>83</v>
      </c>
      <c r="C178" s="130"/>
      <c r="D178" s="23"/>
      <c r="E178" s="130" t="s">
        <v>185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185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185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185</v>
      </c>
      <c r="AG178" s="23"/>
      <c r="AH178" s="23"/>
      <c r="AI178" s="33"/>
    </row>
    <row r="179" customFormat="false" ht="17.35" hidden="false" customHeight="false" outlineLevel="0" collapsed="false">
      <c r="A179" s="176" t="n">
        <f aca="false">B38</f>
        <v>0</v>
      </c>
      <c r="B179" s="177" t="n">
        <f aca="false">B39</f>
        <v>0</v>
      </c>
      <c r="C179" s="178"/>
      <c r="D179" s="23"/>
      <c r="E179" s="179" t="n">
        <f aca="false">B91</f>
        <v>6000</v>
      </c>
      <c r="F179" s="23"/>
      <c r="G179" s="23"/>
      <c r="H179" s="33"/>
      <c r="J179" s="176" t="str">
        <f aca="false">K29</f>
        <v>33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33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33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186</v>
      </c>
      <c r="B181" s="130" t="s">
        <v>187</v>
      </c>
      <c r="C181" s="130"/>
      <c r="D181" s="23"/>
      <c r="E181" s="130" t="s">
        <v>188</v>
      </c>
      <c r="F181" s="23"/>
      <c r="G181" s="23"/>
      <c r="H181" s="33"/>
      <c r="J181" s="31" t="s">
        <v>186</v>
      </c>
      <c r="K181" s="32" t="s">
        <v>187</v>
      </c>
      <c r="L181" s="32"/>
      <c r="M181" s="23"/>
      <c r="N181" s="32" t="s">
        <v>188</v>
      </c>
      <c r="O181" s="23"/>
      <c r="P181" s="23"/>
      <c r="Q181" s="33"/>
      <c r="S181" s="31" t="s">
        <v>186</v>
      </c>
      <c r="T181" s="32" t="s">
        <v>187</v>
      </c>
      <c r="U181" s="32"/>
      <c r="V181" s="23"/>
      <c r="W181" s="32" t="s">
        <v>188</v>
      </c>
      <c r="X181" s="23"/>
      <c r="Y181" s="23"/>
      <c r="Z181" s="33"/>
      <c r="AB181" s="31" t="s">
        <v>186</v>
      </c>
      <c r="AC181" s="32" t="s">
        <v>187</v>
      </c>
      <c r="AD181" s="32"/>
      <c r="AE181" s="23"/>
      <c r="AF181" s="32" t="s">
        <v>188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48237.5</v>
      </c>
      <c r="B182" s="99" t="n">
        <f aca="false">H146</f>
        <v>9647.5</v>
      </c>
      <c r="C182" s="183"/>
      <c r="D182" s="23"/>
      <c r="E182" s="179" t="n">
        <f aca="false">H148+H149</f>
        <v>640</v>
      </c>
      <c r="F182" s="23"/>
      <c r="G182" s="23"/>
      <c r="H182" s="33"/>
      <c r="J182" s="182" t="n">
        <f aca="false">Q150-Q146-Q148-Q149</f>
        <v>30012.5</v>
      </c>
      <c r="K182" s="38" t="n">
        <f aca="false">Q146</f>
        <v>6002.5</v>
      </c>
      <c r="L182" s="43"/>
      <c r="M182" s="23"/>
      <c r="N182" s="181" t="n">
        <f aca="false">Q148+Q149</f>
        <v>640</v>
      </c>
      <c r="O182" s="23"/>
      <c r="P182" s="23"/>
      <c r="Q182" s="33"/>
      <c r="S182" s="182" t="n">
        <f aca="false">Z150-Z146-Z148-Z149</f>
        <v>36523.9575</v>
      </c>
      <c r="T182" s="38" t="n">
        <f aca="false">Z146</f>
        <v>7304.7915</v>
      </c>
      <c r="U182" s="43"/>
      <c r="V182" s="23"/>
      <c r="W182" s="181" t="n">
        <f aca="false">Z148+Z149</f>
        <v>640</v>
      </c>
      <c r="X182" s="23"/>
      <c r="Y182" s="23"/>
      <c r="Z182" s="33"/>
      <c r="AB182" s="182" t="n">
        <f aca="false">AI150-AI146-AI148-AI149</f>
        <v>36523.9575</v>
      </c>
      <c r="AC182" s="38" t="n">
        <f aca="false">AI146</f>
        <v>7304.7915</v>
      </c>
      <c r="AD182" s="43"/>
      <c r="AE182" s="23"/>
      <c r="AF182" s="181" t="n">
        <f aca="false">AI148+AI149</f>
        <v>640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189</v>
      </c>
      <c r="B184" s="130" t="s">
        <v>136</v>
      </c>
      <c r="C184" s="130"/>
      <c r="D184" s="23"/>
      <c r="E184" s="130" t="s">
        <v>137</v>
      </c>
      <c r="F184" s="23"/>
      <c r="G184" s="23"/>
      <c r="H184" s="33"/>
      <c r="J184" s="31" t="s">
        <v>189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189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189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58525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n">
        <f aca="false">Q150</f>
        <v>36655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n">
        <f aca="false">Z150</f>
        <v>44468.749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n">
        <f aca="false">AI150</f>
        <v>44468.749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130" t="s">
        <v>174</v>
      </c>
      <c r="C187" s="130"/>
      <c r="D187" s="23"/>
      <c r="E187" s="130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58525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37655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45468.749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45468.749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190</v>
      </c>
      <c r="B190" s="130" t="s">
        <v>53</v>
      </c>
      <c r="C190" s="130"/>
      <c r="D190" s="23"/>
      <c r="E190" s="130" t="s">
        <v>191</v>
      </c>
      <c r="F190" s="23"/>
      <c r="G190" s="23"/>
      <c r="H190" s="33"/>
      <c r="J190" s="31" t="s">
        <v>190</v>
      </c>
      <c r="K190" s="32" t="s">
        <v>53</v>
      </c>
      <c r="L190" s="32"/>
      <c r="M190" s="23"/>
      <c r="N190" s="32" t="s">
        <v>191</v>
      </c>
      <c r="O190" s="23"/>
      <c r="P190" s="23"/>
      <c r="Q190" s="33"/>
      <c r="S190" s="31" t="s">
        <v>190</v>
      </c>
      <c r="T190" s="32" t="s">
        <v>53</v>
      </c>
      <c r="U190" s="32"/>
      <c r="V190" s="23"/>
      <c r="W190" s="32" t="s">
        <v>191</v>
      </c>
      <c r="X190" s="23"/>
      <c r="Y190" s="23"/>
      <c r="Z190" s="33"/>
      <c r="AB190" s="31" t="s">
        <v>190</v>
      </c>
      <c r="AC190" s="32" t="s">
        <v>53</v>
      </c>
      <c r="AD190" s="32"/>
      <c r="AE190" s="23"/>
      <c r="AF190" s="32" t="s">
        <v>191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-1810.8751562543</v>
      </c>
      <c r="B191" s="99" t="str">
        <f aca="false">B123</f>
        <v>239.99</v>
      </c>
      <c r="C191" s="99"/>
      <c r="D191" s="23"/>
      <c r="E191" s="99" t="n">
        <f aca="false">E188+A191+B191+A194</f>
        <v>56964.1148437457</v>
      </c>
      <c r="F191" s="23"/>
      <c r="G191" s="23"/>
      <c r="H191" s="101"/>
      <c r="J191" s="107" t="n">
        <f aca="false">(J176*K68)+N194-N188-J194</f>
        <v>12587.602484192</v>
      </c>
      <c r="K191" s="38" t="n">
        <f aca="false">K123</f>
        <v>239.99</v>
      </c>
      <c r="L191" s="38"/>
      <c r="M191" s="23"/>
      <c r="N191" s="38" t="n">
        <f aca="false">N188+J191+K191+J194</f>
        <v>50502.592484192</v>
      </c>
      <c r="O191" s="23"/>
      <c r="P191" s="23"/>
      <c r="Q191" s="101"/>
      <c r="S191" s="107" t="n">
        <f aca="false">(S176*T68)+W194-W188-S194</f>
        <v>8130.80649196992</v>
      </c>
      <c r="T191" s="38" t="n">
        <f aca="false">T123</f>
        <v>199.99</v>
      </c>
      <c r="U191" s="38"/>
      <c r="V191" s="23"/>
      <c r="W191" s="38" t="n">
        <f aca="false">W188+S191+T191+S194</f>
        <v>53809.5454919699</v>
      </c>
      <c r="X191" s="23"/>
      <c r="Y191" s="23"/>
      <c r="Z191" s="101"/>
      <c r="AB191" s="107" t="n">
        <f aca="false">(AB176*AC68)+AF194-AF188-AB194</f>
        <v>8130.80649196992</v>
      </c>
      <c r="AC191" s="38" t="n">
        <f aca="false">AC123</f>
        <v>239.99</v>
      </c>
      <c r="AD191" s="38"/>
      <c r="AE191" s="23"/>
      <c r="AF191" s="38" t="n">
        <f aca="false">AF188+AB191+AC191+AB194</f>
        <v>53849.5454919699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192</v>
      </c>
      <c r="B193" s="130" t="s">
        <v>193</v>
      </c>
      <c r="C193" s="130"/>
      <c r="D193" s="23"/>
      <c r="E193" s="130" t="s">
        <v>194</v>
      </c>
      <c r="F193" s="23"/>
      <c r="G193" s="23"/>
      <c r="H193" s="33"/>
      <c r="J193" s="31" t="s">
        <v>192</v>
      </c>
      <c r="K193" s="32" t="s">
        <v>193</v>
      </c>
      <c r="L193" s="32"/>
      <c r="M193" s="23"/>
      <c r="N193" s="32" t="s">
        <v>194</v>
      </c>
      <c r="O193" s="23"/>
      <c r="P193" s="23"/>
      <c r="Q193" s="33"/>
      <c r="S193" s="31" t="s">
        <v>192</v>
      </c>
      <c r="T193" s="32" t="s">
        <v>193</v>
      </c>
      <c r="U193" s="32"/>
      <c r="V193" s="23"/>
      <c r="W193" s="32" t="s">
        <v>194</v>
      </c>
      <c r="X193" s="23"/>
      <c r="Y193" s="23"/>
      <c r="Z193" s="33"/>
      <c r="AB193" s="31" t="s">
        <v>192</v>
      </c>
      <c r="AC193" s="32" t="s">
        <v>193</v>
      </c>
      <c r="AD193" s="32"/>
      <c r="AE193" s="23"/>
      <c r="AF193" s="32" t="s">
        <v>194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</f>
        <v>239.99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195</v>
      </c>
      <c r="B196" s="130" t="s">
        <v>196</v>
      </c>
      <c r="C196" s="130"/>
      <c r="D196" s="130"/>
      <c r="E196" s="163" t="s">
        <v>197</v>
      </c>
      <c r="F196" s="23"/>
      <c r="G196" s="23"/>
      <c r="H196" s="33"/>
      <c r="J196" s="31" t="s">
        <v>195</v>
      </c>
      <c r="K196" s="32" t="s">
        <v>196</v>
      </c>
      <c r="L196" s="32"/>
      <c r="M196" s="32"/>
      <c r="N196" s="39" t="s">
        <v>197</v>
      </c>
      <c r="O196" s="23"/>
      <c r="P196" s="23"/>
      <c r="Q196" s="33"/>
      <c r="S196" s="31" t="s">
        <v>195</v>
      </c>
      <c r="T196" s="32" t="s">
        <v>196</v>
      </c>
      <c r="U196" s="32"/>
      <c r="V196" s="32"/>
      <c r="W196" s="39" t="s">
        <v>197</v>
      </c>
      <c r="X196" s="32"/>
      <c r="Y196" s="32"/>
      <c r="Z196" s="33"/>
      <c r="AB196" s="31" t="s">
        <v>195</v>
      </c>
      <c r="AC196" s="32" t="s">
        <v>196</v>
      </c>
      <c r="AD196" s="32"/>
      <c r="AE196" s="32"/>
      <c r="AF196" s="39" t="s">
        <v>197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J18*0.000002*100*1.2</f>
        <v>13.8924</v>
      </c>
      <c r="B197" s="99" t="n">
        <f aca="false">(G167*B76)/1.2</f>
        <v>457.2265625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0.11705</v>
      </c>
      <c r="K197" s="38" t="n">
        <f aca="false">(P167*K76)/1.2</f>
        <v>2255.37760416667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n">
        <f aca="false">(Y167*T76)/1.2</f>
        <v>355.2246015625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n">
        <f aca="false">(AH167*AC76)/1.2</f>
        <v>355.2246015625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198</v>
      </c>
      <c r="B199" s="163" t="s">
        <v>199</v>
      </c>
      <c r="C199" s="130"/>
      <c r="D199" s="130"/>
      <c r="E199" s="163" t="s">
        <v>200</v>
      </c>
      <c r="F199" s="23"/>
      <c r="G199" s="23"/>
      <c r="H199" s="33"/>
      <c r="J199" s="60" t="s">
        <v>198</v>
      </c>
      <c r="K199" s="39" t="s">
        <v>199</v>
      </c>
      <c r="L199" s="32"/>
      <c r="M199" s="32"/>
      <c r="N199" s="39" t="s">
        <v>200</v>
      </c>
      <c r="O199" s="23"/>
      <c r="P199" s="23"/>
      <c r="Q199" s="33"/>
      <c r="S199" s="60" t="s">
        <v>198</v>
      </c>
      <c r="T199" s="39" t="s">
        <v>199</v>
      </c>
      <c r="U199" s="32"/>
      <c r="V199" s="32"/>
      <c r="W199" s="39" t="s">
        <v>200</v>
      </c>
      <c r="X199" s="32"/>
      <c r="Y199" s="32"/>
      <c r="Z199" s="33"/>
      <c r="AB199" s="60" t="s">
        <v>198</v>
      </c>
      <c r="AC199" s="39" t="s">
        <v>199</v>
      </c>
      <c r="AD199" s="32"/>
      <c r="AE199" s="32"/>
      <c r="AF199" s="39" t="s">
        <v>200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(B191/1.2)-100</f>
        <v>99.9916666666667</v>
      </c>
      <c r="B200" s="99" t="n">
        <f aca="false">B197+E197+A200</f>
        <v>557.218229166667</v>
      </c>
      <c r="C200" s="130"/>
      <c r="D200" s="130"/>
      <c r="E200" s="99" t="n">
        <f aca="false">H157</f>
        <v>0</v>
      </c>
      <c r="F200" s="23"/>
      <c r="G200" s="23"/>
      <c r="H200" s="33"/>
      <c r="J200" s="107" t="n">
        <f aca="false">K194-100</f>
        <v>1139.99</v>
      </c>
      <c r="K200" s="38" t="n">
        <f aca="false">K197+N197+J200</f>
        <v>3395.36760416667</v>
      </c>
      <c r="L200" s="32"/>
      <c r="M200" s="32"/>
      <c r="N200" s="38" t="n">
        <f aca="false">Q157</f>
        <v>-21870</v>
      </c>
      <c r="O200" s="23"/>
      <c r="P200" s="23"/>
      <c r="Q200" s="33"/>
      <c r="S200" s="107" t="n">
        <f aca="false">T194-100</f>
        <v>1099.99</v>
      </c>
      <c r="T200" s="38" t="n">
        <f aca="false">T197+W197+S200</f>
        <v>1455.2146015625</v>
      </c>
      <c r="U200" s="32"/>
      <c r="V200" s="32"/>
      <c r="W200" s="38" t="n">
        <f aca="false">Z157</f>
        <v>-14056.251</v>
      </c>
      <c r="X200" s="32"/>
      <c r="Y200" s="32"/>
      <c r="Z200" s="33"/>
      <c r="AB200" s="107" t="n">
        <f aca="false">AC194-100</f>
        <v>1139.99</v>
      </c>
      <c r="AC200" s="38" t="n">
        <f aca="false">AC197+AF197+AB200</f>
        <v>1495.2146015625</v>
      </c>
      <c r="AD200" s="32"/>
      <c r="AE200" s="32"/>
      <c r="AF200" s="38" t="n">
        <f aca="false">AI157</f>
        <v>-14056.251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201</v>
      </c>
      <c r="B202" s="130"/>
      <c r="C202" s="130"/>
      <c r="D202" s="67"/>
      <c r="E202" s="67"/>
      <c r="F202" s="67"/>
      <c r="G202" s="67"/>
      <c r="H202" s="68"/>
      <c r="J202" s="66" t="s">
        <v>201</v>
      </c>
      <c r="K202" s="32"/>
      <c r="L202" s="32"/>
      <c r="M202" s="67"/>
      <c r="N202" s="67"/>
      <c r="O202" s="67"/>
      <c r="P202" s="67"/>
      <c r="Q202" s="68"/>
      <c r="S202" s="66" t="s">
        <v>201</v>
      </c>
      <c r="T202" s="32"/>
      <c r="U202" s="32"/>
      <c r="V202" s="67"/>
      <c r="W202" s="67"/>
      <c r="X202" s="67"/>
      <c r="Y202" s="67"/>
      <c r="Z202" s="68"/>
      <c r="AB202" s="66" t="s">
        <v>201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4" t="s">
        <v>82</v>
      </c>
      <c r="K204" s="185" t="s">
        <v>83</v>
      </c>
      <c r="L204" s="185"/>
      <c r="M204" s="185"/>
      <c r="N204" s="23"/>
      <c r="O204" s="23"/>
      <c r="P204" s="23"/>
      <c r="Q204" s="33"/>
      <c r="S204" s="184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4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1584.81640136705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1569.706327631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1674.61110912406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1674.61110912406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180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125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202</v>
      </c>
      <c r="B218" s="171" t="str">
        <f aca="false">A206</f>
        <v>33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182</v>
      </c>
      <c r="B220" s="189" t="s">
        <v>183</v>
      </c>
      <c r="C220" s="189"/>
      <c r="D220" s="189"/>
      <c r="E220" s="189" t="s">
        <v>184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1584.81640136705</v>
      </c>
      <c r="B221" s="174" t="n">
        <f aca="false">B176</f>
        <v>0</v>
      </c>
      <c r="C221" s="171"/>
      <c r="D221" s="171"/>
      <c r="E221" s="174" t="n">
        <f aca="false">E176</f>
        <v>1584.81640136705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186</v>
      </c>
      <c r="B223" s="130" t="s">
        <v>187</v>
      </c>
      <c r="C223" s="130"/>
      <c r="D223" s="109"/>
      <c r="E223" s="130" t="s">
        <v>188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48237.5</v>
      </c>
      <c r="B224" s="99" t="n">
        <f aca="false">B182</f>
        <v>9647.5</v>
      </c>
      <c r="C224" s="183"/>
      <c r="D224" s="109"/>
      <c r="E224" s="179" t="n">
        <f aca="false">E182</f>
        <v>640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189</v>
      </c>
      <c r="B226" s="130" t="s">
        <v>136</v>
      </c>
      <c r="C226" s="130"/>
      <c r="D226" s="109"/>
      <c r="E226" s="130" t="s">
        <v>137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58525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138</v>
      </c>
      <c r="B229" s="130" t="s">
        <v>174</v>
      </c>
      <c r="C229" s="130"/>
      <c r="D229" s="109"/>
      <c r="E229" s="130" t="s">
        <v>179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58525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190</v>
      </c>
      <c r="B232" s="130" t="s">
        <v>53</v>
      </c>
      <c r="C232" s="130"/>
      <c r="D232" s="109"/>
      <c r="E232" s="130" t="s">
        <v>191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-1810.8751562543</v>
      </c>
      <c r="B233" s="99" t="str">
        <f aca="false">B191</f>
        <v>239.99</v>
      </c>
      <c r="C233" s="99"/>
      <c r="D233" s="109"/>
      <c r="E233" s="99" t="n">
        <f aca="false">E191</f>
        <v>56964.1148437457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192</v>
      </c>
      <c r="B235" s="130" t="s">
        <v>193</v>
      </c>
      <c r="C235" s="130"/>
      <c r="D235" s="109"/>
      <c r="E235" s="130" t="s">
        <v>203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239.99</v>
      </c>
      <c r="C236" s="99"/>
      <c r="D236" s="109"/>
      <c r="E236" s="99" t="n">
        <f aca="false">B68</f>
        <v>32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182</v>
      </c>
      <c r="B238" s="130" t="s">
        <v>183</v>
      </c>
      <c r="C238" s="130"/>
      <c r="D238" s="130"/>
      <c r="E238" s="130" t="s">
        <v>184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1584.81640136705</v>
      </c>
      <c r="B239" s="99" t="n">
        <f aca="false">B176</f>
        <v>0</v>
      </c>
      <c r="C239" s="183"/>
      <c r="D239" s="183"/>
      <c r="E239" s="99" t="n">
        <f aca="false">E176</f>
        <v>1584.81640136705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204</v>
      </c>
      <c r="B241" s="130" t="s">
        <v>205</v>
      </c>
      <c r="C241" s="130"/>
      <c r="D241" s="130"/>
      <c r="E241" s="130" t="s">
        <v>67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J18*0.000006*100*1.2</f>
        <v>41.6772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206</v>
      </c>
      <c r="B244" s="163" t="s">
        <v>72</v>
      </c>
      <c r="C244" s="130"/>
      <c r="D244" s="130"/>
      <c r="E244" s="163" t="s">
        <v>130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13.8924</v>
      </c>
      <c r="B245" s="99" t="n">
        <f aca="false">E242+A245</f>
        <v>55.5696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207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208</v>
      </c>
      <c r="B248" s="130" t="s">
        <v>196</v>
      </c>
      <c r="C248" s="130"/>
      <c r="D248" s="130"/>
      <c r="E248" s="163" t="s">
        <v>197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0</v>
      </c>
      <c r="B249" s="99" t="n">
        <f aca="false">B197</f>
        <v>457.2265625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198</v>
      </c>
      <c r="B251" s="163" t="s">
        <v>199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99.9916666666667</v>
      </c>
      <c r="B252" s="99" t="n">
        <f aca="false">B249+E249+A252+A249</f>
        <v>557.218229166667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209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210</v>
      </c>
      <c r="B262" s="193" t="n">
        <f aca="false">B72</f>
        <v>0.065</v>
      </c>
      <c r="C262" s="194"/>
      <c r="D262" s="195" t="s">
        <v>211</v>
      </c>
      <c r="E262" s="195"/>
      <c r="F262" s="193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88" t="s">
        <v>212</v>
      </c>
      <c r="B263" s="196"/>
      <c r="C263" s="194"/>
      <c r="D263" s="195" t="s">
        <v>213</v>
      </c>
      <c r="E263" s="195"/>
      <c r="F263" s="196" t="n">
        <f aca="false">F270+F276+F278+B279+B280</f>
        <v>548.671875</v>
      </c>
      <c r="G263" s="23"/>
      <c r="H263" s="33"/>
    </row>
    <row r="264" customFormat="false" ht="17.35" hidden="false" customHeight="false" outlineLevel="0" collapsed="false">
      <c r="A264" s="188" t="s">
        <v>214</v>
      </c>
      <c r="B264" s="196" t="n">
        <f aca="false">F271+B272</f>
        <v>99.9916666666667</v>
      </c>
      <c r="C264" s="194"/>
      <c r="D264" s="195" t="s">
        <v>215</v>
      </c>
      <c r="E264" s="195"/>
      <c r="F264" s="196" t="n">
        <f aca="false">(B263-F263)+B264</f>
        <v>-448.680208333333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210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216</v>
      </c>
      <c r="B268" s="201" t="n">
        <f aca="false">B73</f>
        <v>0.05</v>
      </c>
      <c r="C268" s="32"/>
      <c r="D268" s="163" t="s">
        <v>217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211</v>
      </c>
      <c r="B269" s="205" t="n">
        <f aca="false">B92</f>
        <v>0.115</v>
      </c>
      <c r="C269" s="43"/>
      <c r="D269" s="163" t="s">
        <v>212</v>
      </c>
      <c r="E269" s="163"/>
      <c r="F269" s="143" t="n">
        <f aca="false">(B98*B68)-(C98*B68)</f>
        <v>50714.1248437457</v>
      </c>
      <c r="G269" s="23"/>
      <c r="H269" s="33"/>
    </row>
    <row r="270" customFormat="false" ht="17.35" hidden="false" customHeight="false" outlineLevel="0" collapsed="false">
      <c r="A270" s="31" t="s">
        <v>218</v>
      </c>
      <c r="B270" s="205" t="n">
        <f aca="false">B76</f>
        <v>0.009375</v>
      </c>
      <c r="C270" s="32"/>
      <c r="D270" s="163" t="s">
        <v>218</v>
      </c>
      <c r="E270" s="163"/>
      <c r="F270" s="148" t="n">
        <f aca="false">B77</f>
        <v>548.671875</v>
      </c>
      <c r="G270" s="23"/>
      <c r="H270" s="33"/>
    </row>
    <row r="271" customFormat="false" ht="17.35" hidden="false" customHeight="false" outlineLevel="0" collapsed="false">
      <c r="A271" s="31" t="s">
        <v>219</v>
      </c>
      <c r="B271" s="201" t="n">
        <f aca="false">A117</f>
        <v>0.2</v>
      </c>
      <c r="C271" s="32"/>
      <c r="D271" s="163" t="s">
        <v>219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220</v>
      </c>
      <c r="B272" s="143" t="n">
        <f aca="false">A252</f>
        <v>99.9916666666667</v>
      </c>
      <c r="C272" s="32"/>
      <c r="D272" s="39" t="s">
        <v>215</v>
      </c>
      <c r="E272" s="39"/>
      <c r="F272" s="143" t="n">
        <f aca="false">(B263-F263)+B264</f>
        <v>-448.680208333333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221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222</v>
      </c>
      <c r="B275" s="148" t="n">
        <v>0</v>
      </c>
      <c r="C275" s="32"/>
      <c r="D275" s="206" t="s">
        <v>223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224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225</v>
      </c>
      <c r="B277" s="207" t="s">
        <v>4</v>
      </c>
      <c r="C277" s="32"/>
      <c r="D277" s="163" t="s">
        <v>226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227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228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229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20" activeCellId="0" sqref="E120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60000</v>
      </c>
      <c r="C2" s="4" t="s">
        <v>2</v>
      </c>
      <c r="D2" s="5" t="n">
        <f aca="false">C9</f>
        <v>12000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72000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60000.0</v>
      </c>
      <c r="C9" s="14" t="n">
        <f aca="false">B9*0.2</f>
        <v>12000</v>
      </c>
      <c r="D9" s="270"/>
      <c r="E9" s="270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60000</v>
      </c>
      <c r="C15" s="14" t="n">
        <f aca="false">SUM(C9:C13)</f>
        <v>12000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72000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60000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349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386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7" t="n">
        <v>36.0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387</v>
      </c>
      <c r="C30" s="169"/>
      <c r="D30" s="211"/>
      <c r="E30" s="212"/>
      <c r="F30" s="63"/>
      <c r="G30" s="214" t="s">
        <v>32</v>
      </c>
      <c r="H30" s="457" t="n">
        <v>10000.0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66666.66666666667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8" t="s">
        <v>350</v>
      </c>
      <c r="E32" s="212"/>
      <c r="F32" s="63"/>
      <c r="G32" s="214" t="s">
        <v>36</v>
      </c>
      <c r="I32" s="448" t="n">
        <v>6000.0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36</v>
      </c>
      <c r="B33" s="225" t="n">
        <v>10000</v>
      </c>
      <c r="C33" s="226"/>
      <c r="D33" s="459" t="n">
        <f aca="false">H48</f>
        <v>1470.66688274653</v>
      </c>
      <c r="E33" s="212"/>
      <c r="F33" s="63"/>
      <c r="G33" s="215" t="s">
        <v>351</v>
      </c>
      <c r="H33" s="460" t="n">
        <f aca="false">E21-E11</f>
        <v>60000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370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352</v>
      </c>
      <c r="B35" s="211" t="s">
        <v>353</v>
      </c>
      <c r="C35" s="211"/>
      <c r="D35" s="211" t="s">
        <v>354</v>
      </c>
      <c r="E35" s="212"/>
      <c r="F35" s="63"/>
      <c r="G35" s="229" t="s">
        <v>46</v>
      </c>
      <c r="H35" s="230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1420.66688274653</v>
      </c>
      <c r="B36" s="99" t="n">
        <f aca="false">IF(B26="YES", H42, "")</f>
        <v>50</v>
      </c>
      <c r="C36" s="217"/>
      <c r="D36" s="181" t="n">
        <f aca="false">H31</f>
        <v>66666.6666666667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355</v>
      </c>
      <c r="B39" s="211" t="s">
        <v>356</v>
      </c>
      <c r="C39" s="211"/>
      <c r="D39" s="211" t="s">
        <v>357</v>
      </c>
      <c r="E39" s="212"/>
      <c r="F39" s="63"/>
      <c r="G39" s="63" t="s">
        <v>84</v>
      </c>
      <c r="H39" s="234" t="n">
        <f aca="false">H33</f>
        <v>60000</v>
      </c>
      <c r="I39" s="234" t="n">
        <f aca="false">(I48*H46)+H44</f>
        <v>57694.31707024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20000</v>
      </c>
      <c r="B40" s="103" t="n">
        <f aca="false">IF(B26="YES",H42,"0")</f>
        <v>50</v>
      </c>
      <c r="C40" s="103"/>
      <c r="D40" s="181" t="n">
        <f aca="false">I32</f>
        <v>6000</v>
      </c>
      <c r="E40" s="212"/>
      <c r="F40" s="63"/>
      <c r="G40" s="63" t="s">
        <v>106</v>
      </c>
      <c r="H40" s="234" t="n">
        <f aca="false">A40/1.2</f>
        <v>16666.6666666667</v>
      </c>
      <c r="I40" s="234" t="n">
        <f aca="false">H39-I39</f>
        <v>2305.68292975996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358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359</v>
      </c>
      <c r="H42" s="234" t="n">
        <f aca="false">(I32/H34)*(C45/100)</f>
        <v>50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360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1"/>
      <c r="C44" s="362" t="s">
        <v>77</v>
      </c>
      <c r="D44" s="362"/>
      <c r="E44" s="212"/>
      <c r="F44" s="63"/>
      <c r="G44" s="63" t="s">
        <v>371</v>
      </c>
      <c r="H44" s="234" t="n">
        <f aca="false">(H40/(1+H41)^(H34+1))</f>
        <v>13647.2071058677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30.0</v>
      </c>
      <c r="B45" s="211"/>
      <c r="C45" s="463" t="n">
        <v>30.0</v>
      </c>
      <c r="D45" s="463"/>
      <c r="E45" s="212"/>
      <c r="F45" s="63"/>
      <c r="G45" s="63" t="s">
        <v>372</v>
      </c>
      <c r="H45" s="234" t="n">
        <f aca="false">(H39-H44)</f>
        <v>46352.7928941323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373</v>
      </c>
      <c r="H46" s="234" t="n">
        <f aca="false">((1-(1/((1+H41)^H34)))/H41)</f>
        <v>32.627488862498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364</v>
      </c>
      <c r="H47" s="234" t="n">
        <f aca="false">H45/H46</f>
        <v>1420.66688274653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4" t="s">
        <v>365</v>
      </c>
      <c r="H48" s="234" t="n">
        <f aca="false">IF(B26="YES", H47+H42, H47)</f>
        <v>1470.66688274653</v>
      </c>
      <c r="I48" s="234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366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10000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36</v>
      </c>
      <c r="B52" s="74" t="n">
        <f aca="false">H48</f>
        <v>1470.66688274653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35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35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35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374</v>
      </c>
      <c r="B60" s="211" t="n">
        <f aca="false">E19</f>
        <v>72000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37405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0.105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0.105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0.105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C64</f>
        <v>7560</v>
      </c>
      <c r="C64" s="465" t="n">
        <v>10000.0</v>
      </c>
      <c r="D64" s="290" t="n">
        <f aca="false">B64</f>
        <v>7560</v>
      </c>
      <c r="E64" s="466" t="n">
        <f aca="false">D64/(B58+B57)</f>
        <v>210</v>
      </c>
      <c r="F64" s="63"/>
      <c r="G64" s="284" t="s">
        <v>90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90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0.02</v>
      </c>
      <c r="C66" s="467" t="s">
        <v>218</v>
      </c>
      <c r="D66" s="211"/>
      <c r="E66" s="212"/>
      <c r="F66" s="63"/>
      <c r="G66" s="210" t="s">
        <v>92</v>
      </c>
      <c r="H66" s="293" t="n">
        <f aca="false">H65+(H65*0.5*(H29/12-1))</f>
        <v>0.02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0.02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748.1</v>
      </c>
      <c r="C67" s="468" t="s">
        <v>218</v>
      </c>
      <c r="D67" s="469"/>
      <c r="E67" s="212"/>
      <c r="F67" s="63"/>
      <c r="G67" s="284" t="s">
        <v>93</v>
      </c>
      <c r="H67" s="129" t="n">
        <f aca="false">(H61*H66)/1.2</f>
        <v>0</v>
      </c>
      <c r="I67" s="211"/>
      <c r="J67" s="290"/>
      <c r="K67" s="212"/>
      <c r="L67" s="63"/>
      <c r="M67" s="284" t="s">
        <v>93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70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1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200.0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5.0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180</v>
      </c>
      <c r="C73" s="211"/>
      <c r="D73" s="472" t="n">
        <f aca="false">B73+B71</f>
        <v>380</v>
      </c>
      <c r="E73" s="212" t="s">
        <v>224</v>
      </c>
      <c r="F73" s="63"/>
      <c r="G73" s="284" t="s">
        <v>99</v>
      </c>
      <c r="H73" s="129" t="n">
        <f aca="false">H72*H29</f>
        <v>162</v>
      </c>
      <c r="I73" s="211"/>
      <c r="J73" s="290" t="n">
        <f aca="false">H73+H71</f>
        <v>322</v>
      </c>
      <c r="K73" s="212"/>
      <c r="L73" s="63"/>
      <c r="M73" s="284" t="s">
        <v>99</v>
      </c>
      <c r="N73" s="129" t="n">
        <f aca="false">N72*H29</f>
        <v>162</v>
      </c>
      <c r="O73" s="211"/>
      <c r="P73" s="290" t="n">
        <f aca="false">N73+N71</f>
        <v>322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165.0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0.0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508.75</v>
      </c>
      <c r="C76" s="211"/>
      <c r="D76" s="290" t="n">
        <f aca="false">B76</f>
        <v>508.75</v>
      </c>
      <c r="E76" s="212"/>
      <c r="F76" s="63"/>
      <c r="G76" s="284" t="s">
        <v>279</v>
      </c>
      <c r="H76" s="129" t="n">
        <f aca="false">((H74+H75)/12)*(H29-11)</f>
        <v>343.75</v>
      </c>
      <c r="I76" s="211"/>
      <c r="J76" s="290" t="n">
        <f aca="false">H76</f>
        <v>343.75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444.444444444444</v>
      </c>
      <c r="C77" s="473"/>
      <c r="D77" s="290" t="n">
        <f aca="false">B77</f>
        <v>444.444444444444</v>
      </c>
      <c r="E77" s="466" t="n">
        <f aca="false">D77/(B58+B57)</f>
        <v>12.3456790123457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473"/>
      <c r="D78" s="290" t="n">
        <f aca="false">B78</f>
        <v>222.222222222222</v>
      </c>
      <c r="E78" s="466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200.0</v>
      </c>
      <c r="C79" s="473"/>
      <c r="D79" s="290" t="n">
        <f aca="false">B79</f>
        <v>200</v>
      </c>
      <c r="E79" s="466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200.0</v>
      </c>
      <c r="C80" s="473"/>
      <c r="D80" s="290" t="n">
        <f aca="false">B80</f>
        <v>200</v>
      </c>
      <c r="E80" s="466" t="n">
        <f aca="false">(D73+D76+D79+D80)/(B58+B57)</f>
        <v>35.7986111111111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9515.41666666667</v>
      </c>
      <c r="C81" s="473"/>
      <c r="D81" s="474"/>
      <c r="E81" s="466"/>
      <c r="F81" s="63"/>
      <c r="G81" s="302" t="s">
        <v>102</v>
      </c>
      <c r="H81" s="303" t="n">
        <f aca="false">SUM(J64:J80)</f>
        <v>1065.75</v>
      </c>
      <c r="I81" s="211"/>
      <c r="J81" s="211"/>
      <c r="K81" s="212"/>
      <c r="L81" s="63"/>
      <c r="M81" s="302" t="s">
        <v>102</v>
      </c>
      <c r="N81" s="303" t="n">
        <f aca="false">SUM(P64:P80)</f>
        <v>722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264.31712962963</v>
      </c>
      <c r="C82" s="473"/>
      <c r="D82" s="211"/>
      <c r="E82" s="466"/>
      <c r="F82" s="63"/>
      <c r="G82" s="210" t="s">
        <v>103</v>
      </c>
      <c r="H82" s="299" t="n">
        <f aca="false">H81/H29</f>
        <v>29.6041666666667</v>
      </c>
      <c r="I82" s="211"/>
      <c r="J82" s="211"/>
      <c r="K82" s="212"/>
      <c r="L82" s="63"/>
      <c r="M82" s="210" t="s">
        <v>103</v>
      </c>
      <c r="N82" s="299" t="n">
        <f aca="false">N81/H29</f>
        <v>20.0555555555556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1420.66688274653</v>
      </c>
      <c r="C83" s="473"/>
      <c r="D83" s="211"/>
      <c r="E83" s="466" t="n">
        <f aca="false">B83+E80+E77+E64</f>
        <v>1678.81117286999</v>
      </c>
      <c r="F83" s="63"/>
      <c r="G83" s="304" t="s">
        <v>104</v>
      </c>
      <c r="H83" s="305" t="n">
        <f aca="false">H47</f>
        <v>1420.66688274653</v>
      </c>
      <c r="I83" s="211"/>
      <c r="J83" s="211"/>
      <c r="K83" s="212"/>
      <c r="L83" s="63"/>
      <c r="M83" s="304" t="s">
        <v>104</v>
      </c>
      <c r="N83" s="305" t="n">
        <f aca="false">H47</f>
        <v>1420.66688274653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3"/>
      <c r="D84" s="473"/>
      <c r="E84" s="466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</f>
        <v>60659.4244455419</v>
      </c>
      <c r="C85" s="473"/>
      <c r="D85" s="473"/>
      <c r="E85" s="466" t="n">
        <f aca="false">B85/(B58+B57)</f>
        <v>1684.98401237616</v>
      </c>
      <c r="F85" s="63"/>
      <c r="G85" s="287" t="s">
        <v>114</v>
      </c>
      <c r="H85" s="127" t="n">
        <f aca="false">((H83*H29)+H81)*1.2</f>
        <v>62651.7093346502</v>
      </c>
      <c r="I85" s="211"/>
      <c r="J85" s="211"/>
      <c r="K85" s="212"/>
      <c r="L85" s="63"/>
      <c r="M85" s="287" t="s">
        <v>114</v>
      </c>
      <c r="N85" s="127" t="n">
        <f aca="false">((N83*H29)+N81)</f>
        <v>51866.0077788752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513.855551979177</v>
      </c>
      <c r="C86" s="473" t="s">
        <v>227</v>
      </c>
      <c r="D86" s="211"/>
      <c r="E86" s="466" t="n">
        <f aca="false">B86/(B58+B57)</f>
        <v>14.2737653327549</v>
      </c>
      <c r="F86" s="63"/>
      <c r="G86" s="210" t="s">
        <v>115</v>
      </c>
      <c r="H86" s="299" t="n">
        <f aca="false">((((H83*H29)+H81))/(1-H70))*H70</f>
        <v>442.277092923106</v>
      </c>
      <c r="I86" s="211"/>
      <c r="J86" s="211"/>
      <c r="K86" s="212"/>
      <c r="L86" s="63"/>
      <c r="M86" s="210" t="s">
        <v>115</v>
      </c>
      <c r="N86" s="299" t="n">
        <f aca="false">(N85/(1-N70))*N70</f>
        <v>439.365132455175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61173.279997521</v>
      </c>
      <c r="C87" s="473"/>
      <c r="D87" s="475"/>
      <c r="E87" s="466" t="n">
        <f aca="false">E86+E85</f>
        <v>1699.25777770892</v>
      </c>
      <c r="F87" s="63"/>
      <c r="G87" s="284" t="s">
        <v>116</v>
      </c>
      <c r="H87" s="129" t="n">
        <f aca="false">IF(H110="YES",((H85+H86)-K114),(H85+H86))</f>
        <v>63093.9864275733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52305.3729113304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3"/>
      <c r="D88" s="211"/>
      <c r="E88" s="466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</f>
        <v>65</v>
      </c>
      <c r="C89" s="473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210.731707317073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175.609756097561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1699.25777770892</v>
      </c>
      <c r="C90" s="473"/>
      <c r="D90" s="211"/>
      <c r="E90" s="476"/>
      <c r="F90" s="63"/>
      <c r="G90" s="307" t="s">
        <v>118</v>
      </c>
      <c r="H90" s="308" t="n">
        <f aca="false">IF(H99=Y98, (H87-J105)/(H58), H87/(H57+H58))</f>
        <v>1538.87771774569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1275.74080271537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1764.25777770892</v>
      </c>
      <c r="C91" s="473"/>
      <c r="D91" s="477"/>
      <c r="E91" s="429"/>
      <c r="F91" s="63"/>
      <c r="G91" s="309" t="s">
        <v>119</v>
      </c>
      <c r="H91" s="310" t="n">
        <f aca="false">IF(G105="YES", H90+H89, H90)</f>
        <v>1749.60942506276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1451.35055881294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8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375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9"/>
      <c r="C97" s="479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261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1000.0</v>
      </c>
      <c r="E99" s="103"/>
      <c r="F99" s="63"/>
      <c r="G99" s="216" t="s">
        <v>284</v>
      </c>
      <c r="H99" s="311" t="s">
        <v>263</v>
      </c>
      <c r="I99" s="311"/>
      <c r="J99" s="103" t="n">
        <v>0</v>
      </c>
      <c r="K99" s="103"/>
      <c r="L99" s="63"/>
      <c r="M99" s="216" t="s">
        <v>284</v>
      </c>
      <c r="N99" s="311" t="s">
        <v>263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262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263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376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264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400.0</v>
      </c>
      <c r="C102" s="103"/>
      <c r="D102" s="103" t="n">
        <v>200.0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386</v>
      </c>
      <c r="B105" s="313" t="n">
        <v>0.3</v>
      </c>
      <c r="C105" s="313"/>
      <c r="D105" s="103" t="n">
        <v>200.0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390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0.0</v>
      </c>
      <c r="E112" s="103" t="n">
        <v>6000.0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2000.0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((E118*1.2)+E117)-E114</f>
        <v>-2760.012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0.0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250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1538.87771774569</v>
      </c>
      <c r="H127" s="174" t="n">
        <f aca="false">IF(G105="YES", H89*H57, 0)</f>
        <v>1264.39024390244</v>
      </c>
      <c r="I127" s="174"/>
      <c r="J127" s="333" t="n">
        <f aca="false">H91</f>
        <v>1749.60942506276</v>
      </c>
      <c r="K127" s="212"/>
      <c r="L127" s="63"/>
      <c r="M127" s="332" t="n">
        <f aca="false">N90</f>
        <v>1275.74080271537</v>
      </c>
      <c r="N127" s="174" t="n">
        <f aca="false">IF(M105="YES", N89*N57, 0)</f>
        <v>1053.65853658537</v>
      </c>
      <c r="O127" s="174"/>
      <c r="P127" s="174" t="n">
        <f aca="false">N91</f>
        <v>1451.35055881294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1699.25777770892</v>
      </c>
      <c r="B128" s="320" t="n">
        <f aca="false">IF(A105="YES", B89, 0)</f>
        <v>65</v>
      </c>
      <c r="C128" s="324"/>
      <c r="D128" s="320" t="n">
        <f aca="false">B91</f>
        <v>1764.25777770892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36</v>
      </c>
      <c r="H130" s="225" t="n">
        <f aca="false">B151</f>
        <v>0</v>
      </c>
      <c r="I130" s="226"/>
      <c r="J130" s="225" t="n">
        <f aca="false">B58</f>
        <v>35</v>
      </c>
      <c r="K130" s="212"/>
      <c r="L130" s="63"/>
      <c r="M130" s="224" t="n">
        <f aca="false">M155</f>
        <v>36</v>
      </c>
      <c r="N130" s="225" t="n">
        <f aca="false">B151</f>
        <v>0</v>
      </c>
      <c r="O130" s="226"/>
      <c r="P130" s="225" t="n">
        <f aca="false">B58</f>
        <v>35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1699.25777770892</v>
      </c>
      <c r="C131" s="316"/>
      <c r="D131" s="38" t="n">
        <f aca="false">IF(A105="YES", B89*B57, 0)</f>
        <v>65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239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9233.26630647415</v>
      </c>
      <c r="H133" s="99" t="n">
        <f aca="false">IF(G105="YES", H89*H57, 0)</f>
        <v>1264.39024390244</v>
      </c>
      <c r="I133" s="217"/>
      <c r="J133" s="181" t="n">
        <f aca="false">H91*H57</f>
        <v>10497.6565503766</v>
      </c>
      <c r="K133" s="212"/>
      <c r="L133" s="63"/>
      <c r="M133" s="182" t="n">
        <f aca="false">N90*N57</f>
        <v>7654.44481629225</v>
      </c>
      <c r="N133" s="99" t="n">
        <f aca="false">IF(M105="YES", N89*N57, 0)</f>
        <v>1053.65853658537</v>
      </c>
      <c r="O133" s="217"/>
      <c r="P133" s="181" t="n">
        <f aca="false">N91*N57</f>
        <v>8708.10335287761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1764.25777770892</v>
      </c>
      <c r="B134" s="38" t="n">
        <f aca="false">E114</f>
        <v>4000</v>
      </c>
      <c r="C134" s="316"/>
      <c r="D134" s="336" t="n">
        <f aca="false">B58</f>
        <v>35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252</v>
      </c>
      <c r="N135" s="211" t="s">
        <v>253</v>
      </c>
      <c r="O135" s="211"/>
      <c r="P135" s="211" t="s">
        <v>257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1699.25777770892</v>
      </c>
      <c r="B137" s="38" t="n">
        <f aca="false">IF(A105="YES", B89, 0)</f>
        <v>65</v>
      </c>
      <c r="C137" s="316"/>
      <c r="D137" s="38" t="n">
        <f aca="false">B91</f>
        <v>1764.25777770892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26.9316</v>
      </c>
      <c r="B140" s="342" t="n">
        <f aca="false">IF(A105="YES", B61*0.000002, 0)*1.2*100</f>
        <v>8.9772</v>
      </c>
      <c r="C140" s="316"/>
      <c r="D140" s="342" t="n">
        <f aca="false">A140+B140</f>
        <v>35.9088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36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36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748.1</v>
      </c>
      <c r="B148" s="99" t="n">
        <f aca="false">B102</f>
        <v>400</v>
      </c>
      <c r="C148" s="38"/>
      <c r="D148" s="38" t="n">
        <f aca="false">IF(A105="YES", (B40*B105)*B125, 0)*0.1</f>
        <v>54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1302.09</v>
      </c>
      <c r="E151" s="101"/>
      <c r="F151" s="63"/>
      <c r="G151" s="246"/>
      <c r="H151" s="248" t="n">
        <f aca="false">B51</f>
        <v>10000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36</v>
      </c>
      <c r="H152" s="74" t="n">
        <f aca="false">H91</f>
        <v>1749.60942506276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10000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36</v>
      </c>
      <c r="N155" s="74" t="n">
        <f aca="false">N91</f>
        <v>1451.35055881294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10000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36</v>
      </c>
      <c r="B161" s="74" t="n">
        <f aca="false">B91</f>
        <v>1764.25777770892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3"/>
      <c r="G174" s="386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1699.25777770892</v>
      </c>
      <c r="B177" s="354" t="n">
        <f aca="false">IF(A105="YES", B89, 0)</f>
        <v>65</v>
      </c>
      <c r="C177" s="356"/>
      <c r="D177" s="354" t="n">
        <f aca="false">B91</f>
        <v>1764.25777770892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1699.25777770892</v>
      </c>
      <c r="C180" s="352"/>
      <c r="D180" s="99" t="n">
        <f aca="false">IF(A105="YES", B89*B57, 0)</f>
        <v>65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1764.25777770892</v>
      </c>
      <c r="B183" s="99" t="n">
        <f aca="false">E114</f>
        <v>4000</v>
      </c>
      <c r="C183" s="352"/>
      <c r="D183" s="360" t="n">
        <f aca="false">B58</f>
        <v>35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1699.25777770892</v>
      </c>
      <c r="B186" s="99" t="n">
        <f aca="false">IF(A105="YES", B89, 0)</f>
        <v>65</v>
      </c>
      <c r="C186" s="352"/>
      <c r="D186" s="99" t="n">
        <f aca="false">B91</f>
        <v>1764.25777770892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26.9316</v>
      </c>
      <c r="B189" s="364" t="n">
        <f aca="false">B140</f>
        <v>8.9772</v>
      </c>
      <c r="C189" s="352"/>
      <c r="D189" s="364" t="n">
        <f aca="false">A189+B189</f>
        <v>35.9088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748.1</v>
      </c>
      <c r="B197" s="99" t="n">
        <f aca="false">B102</f>
        <v>400</v>
      </c>
      <c r="C197" s="99"/>
      <c r="D197" s="99" t="n">
        <f aca="false">IF(A105="YES", (B40*B105)*B125, 0)*0.1</f>
        <v>54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1302.09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7560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748.1</v>
      </c>
      <c r="C211" s="319" t="s">
        <v>214</v>
      </c>
      <c r="D211" s="369" t="n">
        <f aca="false">B225+E221+B221+B223</f>
        <v>879.99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7691.89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7560</v>
      </c>
      <c r="C217" s="374" t="s">
        <v>218</v>
      </c>
      <c r="D217" s="316"/>
      <c r="E217" s="375" t="n">
        <f aca="false">B66</f>
        <v>0.02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748.1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200</v>
      </c>
      <c r="C223" s="335" t="s">
        <v>215</v>
      </c>
      <c r="D223" s="316"/>
      <c r="E223" s="33" t="n">
        <f aca="false">(B217-B211+D211)</f>
        <v>7691.89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540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200</v>
      </c>
      <c r="C229" s="335" t="s">
        <v>223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513.855551979177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200</v>
      </c>
      <c r="C233" s="381" t="s">
        <v>330</v>
      </c>
      <c r="D233" s="382"/>
      <c r="E233" s="146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200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32" colorId="64" zoomScale="85" zoomScaleNormal="85" zoomScalePageLayoutView="100" workbookViewId="0">
      <selection pane="topLeft" activeCell="F261" activeCellId="0" sqref="F26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379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46854.17</v>
      </c>
      <c r="C3" s="440" t="n">
        <v>0</v>
      </c>
      <c r="D3" s="440" t="n">
        <v>0.0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0.0</v>
      </c>
      <c r="C4" s="120" t="n">
        <v>0</v>
      </c>
      <c r="D4" s="120" t="n">
        <v>0.0</v>
      </c>
      <c r="E4" s="120"/>
      <c r="F4" s="120" t="n">
        <v>0.0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0.0</v>
      </c>
      <c r="C5" s="440" t="n">
        <v>0</v>
      </c>
      <c r="D5" s="440" t="n">
        <v>0.0</v>
      </c>
      <c r="E5" s="440"/>
      <c r="F5" s="440" t="n">
        <v>0.0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161</v>
      </c>
      <c r="B9" s="149" t="n">
        <v>23125</v>
      </c>
      <c r="C9" s="149"/>
      <c r="D9" s="149"/>
      <c r="E9" s="149" t="n">
        <f aca="false">(B7+C7+D7+E3)</f>
        <v>46854.17</v>
      </c>
      <c r="F9" s="149"/>
      <c r="G9" s="133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50</v>
      </c>
      <c r="F10" s="151"/>
      <c r="G10" s="152"/>
      <c r="H10" s="441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163</v>
      </c>
      <c r="B11" s="151" t="n">
        <v>0</v>
      </c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 t="n">
        <v>0</v>
      </c>
      <c r="C13" s="151"/>
      <c r="D13" s="151"/>
      <c r="E13" s="151" t="n">
        <v>585</v>
      </c>
      <c r="F13" s="151"/>
      <c r="G13" s="152"/>
      <c r="H13" s="441" t="n">
        <v>585.0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55.0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120</v>
      </c>
      <c r="F16" s="151"/>
      <c r="G16" s="152"/>
      <c r="H16" s="441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45" t="s">
        <v>413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402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408</v>
      </c>
      <c r="C35" s="219"/>
      <c r="D35" s="219" t="s">
        <v>401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s">
        <v>414</v>
      </c>
      <c r="I36" s="0"/>
      <c r="J36" s="44" t="s">
        <v>51</v>
      </c>
      <c r="K36" s="52" t="n">
        <f aca="false">K32-K34</f>
        <v>47877.5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386</v>
      </c>
      <c r="C38" s="219"/>
      <c r="D38" s="100" t="s">
        <v>393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396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500.363636363636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49" t="s">
        <v>4</v>
      </c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500.363636363636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0.0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50213.7612073821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548.671875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0.0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0.0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47877.5</v>
      </c>
      <c r="C81" s="130"/>
      <c r="D81" s="130"/>
      <c r="E81" s="109"/>
      <c r="F81" s="25" t="s">
        <v>105</v>
      </c>
      <c r="G81" s="27" t="n">
        <f aca="false">G158</f>
        <v>58525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130"/>
      <c r="D85" s="130"/>
      <c r="E85" s="109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4379.8532592462</v>
      </c>
      <c r="C86" s="130" t="n">
        <f aca="false">(B82/((1+B84)^(B85+1)))</f>
        <v>4379.8532592462</v>
      </c>
      <c r="D86" s="130"/>
      <c r="E86" s="109"/>
      <c r="F86" s="31" t="s">
        <v>110</v>
      </c>
      <c r="G86" s="33" t="n">
        <f aca="false">(G82/((1+G84)^(G85+1)))</f>
        <v>6024.37295128565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130" t="n">
        <f aca="false">((1-(1/((1+B84)^B85)))/B84)</f>
        <v>27.4464895133802</v>
      </c>
      <c r="D87" s="130"/>
      <c r="E87" s="109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43497.6467407538</v>
      </c>
      <c r="C88" s="130" t="n">
        <f aca="false">B81-B86</f>
        <v>43497.6467407538</v>
      </c>
      <c r="D88" s="130"/>
      <c r="E88" s="109"/>
      <c r="F88" s="31" t="s">
        <v>112</v>
      </c>
      <c r="G88" s="33" t="n">
        <f aca="false">G81-G86</f>
        <v>52500.6270487144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1584.81640136705</v>
      </c>
      <c r="C89" s="130" t="n">
        <f aca="false">(B88/B87)</f>
        <v>1584.81640136705</v>
      </c>
      <c r="D89" s="130"/>
      <c r="E89" s="109"/>
      <c r="F89" s="31" t="s">
        <v>113</v>
      </c>
      <c r="G89" s="33" t="n">
        <f aca="false">(G88/G87)</f>
        <v>1791.36776953147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50714.1248437457</v>
      </c>
      <c r="C90" s="130"/>
      <c r="D90" s="130"/>
      <c r="E90" s="109"/>
      <c r="F90" s="31" t="s">
        <v>114</v>
      </c>
      <c r="G90" s="33" t="n">
        <f aca="false">((G89*(G85))+G77)</f>
        <v>57323.768625007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50714.1248437457</v>
      </c>
      <c r="C92" s="130"/>
      <c r="D92" s="130"/>
      <c r="E92" s="109"/>
      <c r="F92" s="56" t="s">
        <v>116</v>
      </c>
      <c r="G92" s="65" t="n">
        <f aca="false">(G90+G91)</f>
        <v>57323.768625007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IF(B38="YES",((H36/B85)*(1+A108)*1.2),"0")</f>
        <v>0</v>
      </c>
      <c r="C94" s="130"/>
      <c r="D94" s="130"/>
      <c r="E94" s="109"/>
      <c r="F94" s="88" t="s">
        <v>117</v>
      </c>
      <c r="G94" s="259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1584.81640136705</v>
      </c>
      <c r="C95" s="130"/>
      <c r="D95" s="130"/>
      <c r="E95" s="109"/>
      <c r="F95" s="91" t="s">
        <v>118</v>
      </c>
      <c r="G95" s="92" t="n">
        <f aca="false">G92/(G85)</f>
        <v>1791.36776953147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1584.81640136705</v>
      </c>
      <c r="C96" s="130"/>
      <c r="D96" s="130"/>
      <c r="E96" s="109"/>
      <c r="F96" s="93" t="s">
        <v>119</v>
      </c>
      <c r="G96" s="94" t="n">
        <f aca="false">G94+G95</f>
        <v>1791.36776953147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386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0.3</v>
      </c>
      <c r="B108" s="103" t="s">
        <v>404</v>
      </c>
      <c r="C108" s="103"/>
      <c r="D108" s="103" t="n">
        <v>0</v>
      </c>
      <c r="E108" s="104" t="n">
        <f aca="false">B83</f>
        <v>0.115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386</v>
      </c>
      <c r="B111" s="103" t="n">
        <v>0.0</v>
      </c>
      <c r="C111" s="103"/>
      <c r="D111" s="103"/>
      <c r="E111" s="103" t="n">
        <v>0.0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400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46854.17</v>
      </c>
      <c r="C125" s="129" t="n">
        <f aca="false">C121-C124</f>
        <v>46854.17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47687.5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9647.5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58525</v>
      </c>
      <c r="H141" s="154" t="n">
        <f aca="false">(H135+H136+H139+H140+H137)-H138</f>
        <v>58525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58525</v>
      </c>
      <c r="H147" s="161" t="n">
        <f aca="false">H141-((H144*1.2)+(H145*1.2)+(H146*1.2)+(H142*1.2))</f>
        <v>58525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-48770.8333333333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0.0</v>
      </c>
      <c r="F152" s="103"/>
      <c r="G152" s="103" t="n">
        <v>0.0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0.0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58525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367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1584.81640136705</v>
      </c>
      <c r="B167" s="174" t="str">
        <f aca="false">B94</f>
        <v>0</v>
      </c>
      <c r="C167" s="171"/>
      <c r="D167" s="171"/>
      <c r="E167" s="174" t="n">
        <f aca="false">B96</f>
        <v>1584.81640136705</v>
      </c>
      <c r="F167" s="23"/>
      <c r="G167" s="23" t="n">
        <f aca="false">ROUND(G95, 2)</f>
        <v>1791.37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n">
        <f aca="false">B29</f>
        <v>12345</v>
      </c>
      <c r="B170" s="177" t="n">
        <f aca="false">B30</f>
        <v>0</v>
      </c>
      <c r="C170" s="178"/>
      <c r="D170" s="23"/>
      <c r="E170" s="179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48237.5</v>
      </c>
      <c r="B173" s="99" t="n">
        <f aca="false">H137</f>
        <v>9647.5</v>
      </c>
      <c r="C173" s="183"/>
      <c r="D173" s="23"/>
      <c r="E173" s="179" t="n">
        <f aca="false">H139+H140</f>
        <v>640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58525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58525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-1810.8751562543</v>
      </c>
      <c r="B182" s="99" t="str">
        <f aca="false">B114</f>
        <v>239.99</v>
      </c>
      <c r="C182" s="99"/>
      <c r="D182" s="23"/>
      <c r="E182" s="99" t="n">
        <f aca="false">E179+A182+B182+A185</f>
        <v>56964.1148437457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13.8924</v>
      </c>
      <c r="B188" s="99" t="n">
        <f aca="false">(G158*B67)/1.2</f>
        <v>457.2265625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557.218229166667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1584.81640136705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368</v>
      </c>
      <c r="B200" s="130" t="s">
        <v>369</v>
      </c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4798.84</v>
      </c>
      <c r="B201" s="183" t="n">
        <f aca="false">E179+A201+B182+A185</f>
        <v>63573.83</v>
      </c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1584.81640136705</v>
      </c>
      <c r="B212" s="174" t="str">
        <f aca="false">B167</f>
        <v>0</v>
      </c>
      <c r="C212" s="171"/>
      <c r="D212" s="171"/>
      <c r="E212" s="174" t="n">
        <f aca="false">E167</f>
        <v>1584.81640136705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48237.5</v>
      </c>
      <c r="B215" s="99" t="n">
        <f aca="false">B173</f>
        <v>9647.5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58525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58525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-1810.8751562543</v>
      </c>
      <c r="B224" s="99" t="str">
        <f aca="false">B182</f>
        <v>239.99</v>
      </c>
      <c r="C224" s="99"/>
      <c r="D224" s="109"/>
      <c r="E224" s="99" t="n">
        <f aca="false">E182</f>
        <v>56964.1148437457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1584.81640136705</v>
      </c>
      <c r="B230" s="99" t="str">
        <f aca="false">B167</f>
        <v>0</v>
      </c>
      <c r="C230" s="183"/>
      <c r="D230" s="183"/>
      <c r="E230" s="99" t="n">
        <f aca="false">E167</f>
        <v>1584.81640136705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J18*0.000006*100*1.2</f>
        <v>41.6772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13.8924</v>
      </c>
      <c r="B236" s="99" t="n">
        <f aca="false">E233+A236</f>
        <v>55.5696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457.2265625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557.218229166667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453" t="n">
        <f aca="false">(E182-B182)-(B201-B182-A185)</f>
        <v>-6599.71515625429</v>
      </c>
      <c r="C254" s="194"/>
      <c r="D254" s="195" t="s">
        <v>213</v>
      </c>
      <c r="E254" s="195"/>
      <c r="F254" s="196" t="n">
        <f aca="false">F261+F267+F269+B270+B271</f>
        <v>548.671875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-7048.39536458763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B254</f>
        <v>-6599.71515625429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0.009375</v>
      </c>
      <c r="C261" s="32"/>
      <c r="D261" s="163" t="s">
        <v>218</v>
      </c>
      <c r="E261" s="163"/>
      <c r="F261" s="148" t="n">
        <f aca="false">B68</f>
        <v>548.671875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-7048.39536458763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4" colorId="64" zoomScale="85" zoomScaleNormal="85" zoomScalePageLayoutView="100" workbookViewId="0">
      <selection pane="topLeft" activeCell="F261" activeCellId="0" sqref="F26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379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46854.17</v>
      </c>
      <c r="C3" s="440" t="n">
        <v>0</v>
      </c>
      <c r="D3" s="440" t="n">
        <v>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46854.17</v>
      </c>
      <c r="F9" s="149"/>
      <c r="G9" s="133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50</v>
      </c>
      <c r="F10" s="151"/>
      <c r="G10" s="152"/>
      <c r="H10" s="441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585</v>
      </c>
      <c r="F13" s="151"/>
      <c r="G13" s="152"/>
      <c r="H13" s="441" t="n">
        <v>585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120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45" t="s">
        <v>381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246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47877.5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500.363636363636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500.363636363636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0.072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51975.9696614779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548.671875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47877.5</v>
      </c>
      <c r="C81" s="130"/>
      <c r="D81" s="130"/>
      <c r="E81" s="109"/>
      <c r="F81" s="25" t="s">
        <v>105</v>
      </c>
      <c r="G81" s="27" t="n">
        <f aca="false">G158</f>
        <v>58525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0.137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0.0114166666666667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130"/>
      <c r="D85" s="130"/>
      <c r="E85" s="109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4125.32107917265</v>
      </c>
      <c r="C86" s="130" t="n">
        <f aca="false">(B82/((1+B84)^(B85+1)))</f>
        <v>4125.32107917265</v>
      </c>
      <c r="D86" s="130"/>
      <c r="E86" s="109"/>
      <c r="F86" s="31" t="s">
        <v>110</v>
      </c>
      <c r="G86" s="33" t="n">
        <f aca="false">(G82/((1+G84)^(G85+1)))</f>
        <v>6024.37295128565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26.6800219733353</v>
      </c>
      <c r="C87" s="130" t="n">
        <f aca="false">((1-(1/((1+B84)^B85)))/B84)</f>
        <v>26.6800219733353</v>
      </c>
      <c r="D87" s="130"/>
      <c r="E87" s="109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43752.1789208274</v>
      </c>
      <c r="C88" s="130" t="n">
        <f aca="false">B81-B86</f>
        <v>43752.1789208274</v>
      </c>
      <c r="D88" s="130"/>
      <c r="E88" s="109"/>
      <c r="F88" s="31" t="s">
        <v>112</v>
      </c>
      <c r="G88" s="33" t="n">
        <f aca="false">G81-G86</f>
        <v>52500.6270487144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1639.88541555755</v>
      </c>
      <c r="C89" s="130" t="n">
        <f aca="false">(B88/B87)</f>
        <v>1639.88541555755</v>
      </c>
      <c r="D89" s="130"/>
      <c r="E89" s="109"/>
      <c r="F89" s="31" t="s">
        <v>113</v>
      </c>
      <c r="G89" s="33" t="n">
        <f aca="false">(G88/G87)</f>
        <v>1791.36776953147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52476.3332978415</v>
      </c>
      <c r="C90" s="130"/>
      <c r="D90" s="130"/>
      <c r="E90" s="109"/>
      <c r="F90" s="31" t="s">
        <v>114</v>
      </c>
      <c r="G90" s="33" t="n">
        <f aca="false">((G89*(G85))+G77)</f>
        <v>57323.768625007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52476.3332978415</v>
      </c>
      <c r="C92" s="130"/>
      <c r="D92" s="130"/>
      <c r="E92" s="109"/>
      <c r="F92" s="56" t="s">
        <v>116</v>
      </c>
      <c r="G92" s="65" t="n">
        <f aca="false">(G90+G91)</f>
        <v>57323.768625007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IF(B38="YES",((H36/B85)*(1+A108)),"0")</f>
        <v>0</v>
      </c>
      <c r="C94" s="130"/>
      <c r="D94" s="130"/>
      <c r="E94" s="109"/>
      <c r="F94" s="88" t="s">
        <v>117</v>
      </c>
      <c r="G94" s="259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1639.88541555755</v>
      </c>
      <c r="C95" s="130"/>
      <c r="D95" s="130"/>
      <c r="E95" s="109"/>
      <c r="F95" s="91" t="s">
        <v>118</v>
      </c>
      <c r="G95" s="92" t="n">
        <f aca="false">G92/(G85)</f>
        <v>1791.36776953147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1639.88541555755</v>
      </c>
      <c r="C96" s="130"/>
      <c r="D96" s="130"/>
      <c r="E96" s="109"/>
      <c r="F96" s="93" t="s">
        <v>119</v>
      </c>
      <c r="G96" s="94" t="n">
        <f aca="false">G94+G95</f>
        <v>1791.36776953147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232</v>
      </c>
      <c r="C108" s="103"/>
      <c r="D108" s="103"/>
      <c r="E108" s="104" t="n">
        <f aca="false">B83</f>
        <v>0.137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233</v>
      </c>
      <c r="C114" s="103"/>
      <c r="D114" s="103"/>
      <c r="E114" s="103" t="s">
        <v>18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 t="s">
        <v>18</v>
      </c>
      <c r="B120" s="112" t="n">
        <v>0</v>
      </c>
      <c r="C120" s="113" t="s">
        <v>148</v>
      </c>
      <c r="D120" s="112" t="s">
        <v>147</v>
      </c>
      <c r="E120" s="114" t="n">
        <v>0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46854.17</v>
      </c>
      <c r="C125" s="129" t="n">
        <f aca="false">C121-C124</f>
        <v>46854.17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47687.5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9647.5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58525</v>
      </c>
      <c r="H141" s="154" t="n">
        <f aca="false">(H135+H136+H139+H140+H137)-H138</f>
        <v>58525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58525</v>
      </c>
      <c r="H147" s="161" t="n">
        <f aca="false">H141-((H144*1.2)+(H145*1.2)+(H146*1.2)+(H142*1.2))</f>
        <v>58525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-48770.8333333333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58525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367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1639.88541555755</v>
      </c>
      <c r="B167" s="174" t="str">
        <f aca="false">B94</f>
        <v>0</v>
      </c>
      <c r="C167" s="171"/>
      <c r="D167" s="171"/>
      <c r="E167" s="174" t="n">
        <f aca="false">B96</f>
        <v>1639.88541555755</v>
      </c>
      <c r="F167" s="23"/>
      <c r="G167" s="23" t="n">
        <f aca="false">ROUND(G95, 2)</f>
        <v>1791.37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33</v>
      </c>
      <c r="B170" s="177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48237.5</v>
      </c>
      <c r="B173" s="99" t="n">
        <f aca="false">H137</f>
        <v>9647.5</v>
      </c>
      <c r="C173" s="183"/>
      <c r="D173" s="23"/>
      <c r="E173" s="179" t="n">
        <f aca="false">H139+H140</f>
        <v>640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58525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58525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-48.666702158509</v>
      </c>
      <c r="B182" s="99" t="str">
        <f aca="false">B114</f>
        <v>199.99</v>
      </c>
      <c r="C182" s="99"/>
      <c r="D182" s="23"/>
      <c r="E182" s="99" t="n">
        <f aca="false">E179+A182+(B182*1.2)+A185</f>
        <v>58726.3212978415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239.988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11.577</v>
      </c>
      <c r="B188" s="99" t="n">
        <f aca="false">(G158*B67)/1.2</f>
        <v>457.2265625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557.2165625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1639.88541555755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368</v>
      </c>
      <c r="B200" s="130" t="s">
        <v>369</v>
      </c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4798.84</v>
      </c>
      <c r="B201" s="183" t="n">
        <f aca="false">E179+A201+(B182*1.2)+A185</f>
        <v>63573.828</v>
      </c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1639.88541555755</v>
      </c>
      <c r="B212" s="174" t="str">
        <f aca="false">B167</f>
        <v>0</v>
      </c>
      <c r="C212" s="171"/>
      <c r="D212" s="171"/>
      <c r="E212" s="174" t="n">
        <f aca="false">E167</f>
        <v>1639.88541555755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48237.5</v>
      </c>
      <c r="B215" s="99" t="n">
        <f aca="false">B173</f>
        <v>9647.5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58525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58525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-48.666702158509</v>
      </c>
      <c r="B224" s="99" t="str">
        <f aca="false">B182</f>
        <v>199.99</v>
      </c>
      <c r="C224" s="99"/>
      <c r="D224" s="109"/>
      <c r="E224" s="99" t="n">
        <f aca="false">E182</f>
        <v>58726.3212978415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1639.88541555755</v>
      </c>
      <c r="B230" s="99" t="str">
        <f aca="false">B167</f>
        <v>0</v>
      </c>
      <c r="C230" s="183"/>
      <c r="D230" s="183"/>
      <c r="E230" s="99" t="n">
        <f aca="false">E167</f>
        <v>1639.88541555755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J18*0.000006*100</f>
        <v>34.731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11.577</v>
      </c>
      <c r="B236" s="99" t="n">
        <f aca="false">E233+A236</f>
        <v>46.308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457.2265625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557.2165625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 t="n">
        <f aca="false">(E182-B182)-(B201-B182-A185)</f>
        <v>-4837.50670215851</v>
      </c>
      <c r="C254" s="194"/>
      <c r="D254" s="195" t="s">
        <v>213</v>
      </c>
      <c r="E254" s="195"/>
      <c r="F254" s="196" t="n">
        <f aca="false">F261+F267+F269+B270+B271</f>
        <v>548.671875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-5286.18857715851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0.072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0.137</v>
      </c>
      <c r="C260" s="43"/>
      <c r="D260" s="163" t="s">
        <v>212</v>
      </c>
      <c r="E260" s="163"/>
      <c r="F260" s="143" t="n">
        <f aca="false">B254</f>
        <v>-4837.50670215851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0.009375</v>
      </c>
      <c r="C261" s="32"/>
      <c r="D261" s="163" t="s">
        <v>218</v>
      </c>
      <c r="E261" s="163"/>
      <c r="F261" s="148" t="n">
        <f aca="false">B68</f>
        <v>548.671875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-5286.18857715851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32" colorId="64" zoomScale="85" zoomScaleNormal="85" zoomScalePageLayoutView="100" workbookViewId="0">
      <selection pane="topLeft" activeCell="B254" activeCellId="0" sqref="B25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379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46854.17</v>
      </c>
      <c r="C3" s="440" t="n">
        <v>0</v>
      </c>
      <c r="D3" s="440" t="n">
        <v>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46854.17</v>
      </c>
      <c r="F9" s="149"/>
      <c r="G9" s="133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50</v>
      </c>
      <c r="F10" s="151"/>
      <c r="G10" s="152"/>
      <c r="H10" s="441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585</v>
      </c>
      <c r="F13" s="151"/>
      <c r="G13" s="152"/>
      <c r="H13" s="441" t="n">
        <v>585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120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45" t="s">
        <v>381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246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47877.5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500.363636363636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500.363636363636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50213.7612073821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548.671875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47877.5</v>
      </c>
      <c r="C81" s="130"/>
      <c r="D81" s="130"/>
      <c r="E81" s="109"/>
      <c r="F81" s="25" t="s">
        <v>105</v>
      </c>
      <c r="G81" s="27" t="n">
        <f aca="false">G158</f>
        <v>58525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130"/>
      <c r="D85" s="130"/>
      <c r="E85" s="109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4379.8532592462</v>
      </c>
      <c r="C86" s="130" t="n">
        <f aca="false">(B82/((1+B84)^(B85+1)))</f>
        <v>4379.8532592462</v>
      </c>
      <c r="D86" s="130"/>
      <c r="E86" s="109"/>
      <c r="F86" s="31" t="s">
        <v>110</v>
      </c>
      <c r="G86" s="33" t="n">
        <f aca="false">(G82/((1+G84)^(G85+1)))</f>
        <v>6024.37295128565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130" t="n">
        <f aca="false">((1-(1/((1+B84)^B85)))/B84)</f>
        <v>27.4464895133802</v>
      </c>
      <c r="D87" s="130"/>
      <c r="E87" s="109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43497.6467407538</v>
      </c>
      <c r="C88" s="130" t="n">
        <f aca="false">B81-B86</f>
        <v>43497.6467407538</v>
      </c>
      <c r="D88" s="130"/>
      <c r="E88" s="109"/>
      <c r="F88" s="31" t="s">
        <v>112</v>
      </c>
      <c r="G88" s="33" t="n">
        <f aca="false">G81-G86</f>
        <v>52500.6270487144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1584.81640136705</v>
      </c>
      <c r="C89" s="130" t="n">
        <f aca="false">(B88/B87)</f>
        <v>1584.81640136705</v>
      </c>
      <c r="D89" s="130"/>
      <c r="E89" s="109"/>
      <c r="F89" s="31" t="s">
        <v>113</v>
      </c>
      <c r="G89" s="33" t="n">
        <f aca="false">(G88/G87)</f>
        <v>1791.36776953147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50714.1248437457</v>
      </c>
      <c r="C90" s="130"/>
      <c r="D90" s="130"/>
      <c r="E90" s="109"/>
      <c r="F90" s="31" t="s">
        <v>114</v>
      </c>
      <c r="G90" s="33" t="n">
        <f aca="false">((G89*(G85))+G77)</f>
        <v>57323.768625007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50714.1248437457</v>
      </c>
      <c r="C92" s="130"/>
      <c r="D92" s="130"/>
      <c r="E92" s="109"/>
      <c r="F92" s="56" t="s">
        <v>116</v>
      </c>
      <c r="G92" s="65" t="n">
        <f aca="false">(G90+G91)</f>
        <v>57323.768625007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IF(B38="YES",((H36/B85)*(1+A108)*1.2),"0")</f>
        <v>0</v>
      </c>
      <c r="C94" s="130"/>
      <c r="D94" s="130"/>
      <c r="E94" s="109"/>
      <c r="F94" s="88" t="s">
        <v>117</v>
      </c>
      <c r="G94" s="259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1584.81640136705</v>
      </c>
      <c r="C95" s="130"/>
      <c r="D95" s="130"/>
      <c r="E95" s="109"/>
      <c r="F95" s="91" t="s">
        <v>118</v>
      </c>
      <c r="G95" s="92" t="n">
        <f aca="false">G92/(G85)</f>
        <v>1791.36776953147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1584.81640136705</v>
      </c>
      <c r="C96" s="130"/>
      <c r="D96" s="130"/>
      <c r="E96" s="109"/>
      <c r="F96" s="93" t="s">
        <v>119</v>
      </c>
      <c r="G96" s="94" t="n">
        <f aca="false">G94+G95</f>
        <v>1791.36776953147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269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270</v>
      </c>
      <c r="C108" s="103"/>
      <c r="D108" s="103"/>
      <c r="E108" s="104" t="n">
        <f aca="false">B83</f>
        <v>0.115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46854.17</v>
      </c>
      <c r="C125" s="129" t="n">
        <f aca="false">C121-C124</f>
        <v>46854.17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47687.5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9647.5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58525</v>
      </c>
      <c r="H141" s="154" t="n">
        <f aca="false">(H135+H136+H139+H140+H137)-H138</f>
        <v>58525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58525</v>
      </c>
      <c r="H147" s="161" t="n">
        <f aca="false">H141-((H144*1.2)+(H145*1.2)+(H146*1.2)+(H142*1.2))</f>
        <v>58525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-48770.8333333333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58525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367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1584.81640136705</v>
      </c>
      <c r="B167" s="174" t="str">
        <f aca="false">B94</f>
        <v>0</v>
      </c>
      <c r="C167" s="171"/>
      <c r="D167" s="171"/>
      <c r="E167" s="174" t="n">
        <f aca="false">B96</f>
        <v>1584.81640136705</v>
      </c>
      <c r="F167" s="23"/>
      <c r="G167" s="23" t="n">
        <f aca="false">ROUND(G95, 2)</f>
        <v>1791.37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33</v>
      </c>
      <c r="B170" s="225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48237.5</v>
      </c>
      <c r="B173" s="99" t="n">
        <f aca="false">H137</f>
        <v>9647.5</v>
      </c>
      <c r="C173" s="183"/>
      <c r="D173" s="23"/>
      <c r="E173" s="179" t="n">
        <f aca="false">H139+H140</f>
        <v>640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58525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58525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-1810.8751562543</v>
      </c>
      <c r="B182" s="99" t="str">
        <f aca="false">B114</f>
        <v>239.99</v>
      </c>
      <c r="C182" s="99"/>
      <c r="D182" s="23"/>
      <c r="E182" s="99" t="n">
        <f aca="false">E179+A182+B182+A185</f>
        <v>56964.1148437457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13.8924</v>
      </c>
      <c r="B188" s="99" t="n">
        <f aca="false">(G158*B67)/1.2</f>
        <v>457.2265625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557.218229166667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1584.81640136705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368</v>
      </c>
      <c r="B200" s="130" t="s">
        <v>369</v>
      </c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4798.84</v>
      </c>
      <c r="B201" s="183" t="n">
        <f aca="false">E179+A201+B182+A185</f>
        <v>63573.83</v>
      </c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1584.81640136705</v>
      </c>
      <c r="B212" s="174" t="str">
        <f aca="false">B167</f>
        <v>0</v>
      </c>
      <c r="C212" s="171"/>
      <c r="D212" s="171"/>
      <c r="E212" s="174" t="n">
        <f aca="false">E167</f>
        <v>1584.81640136705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48237.5</v>
      </c>
      <c r="B215" s="99" t="n">
        <f aca="false">B173</f>
        <v>9647.5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58525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58525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-1810.8751562543</v>
      </c>
      <c r="B224" s="99" t="str">
        <f aca="false">B182</f>
        <v>239.99</v>
      </c>
      <c r="C224" s="99"/>
      <c r="D224" s="109"/>
      <c r="E224" s="99" t="n">
        <f aca="false">E182</f>
        <v>56964.1148437457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1584.81640136705</v>
      </c>
      <c r="B230" s="99" t="str">
        <f aca="false">B167</f>
        <v>0</v>
      </c>
      <c r="C230" s="183"/>
      <c r="D230" s="183"/>
      <c r="E230" s="99" t="n">
        <f aca="false">E167</f>
        <v>1584.81640136705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A188</f>
        <v>13.8924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457.2265625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557.218229166667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453" t="n">
        <f aca="false">(E182-B182)-(B201-B182-A185)</f>
        <v>-6599.71515625429</v>
      </c>
      <c r="C254" s="194"/>
      <c r="D254" s="195" t="s">
        <v>213</v>
      </c>
      <c r="E254" s="195"/>
      <c r="F254" s="196" t="n">
        <f aca="false">F261+F267+F269+B270+B271</f>
        <v>548.671875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-7048.39536458763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B254</f>
        <v>-6599.71515625429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0.009375</v>
      </c>
      <c r="C261" s="32"/>
      <c r="D261" s="163" t="s">
        <v>218</v>
      </c>
      <c r="E261" s="163"/>
      <c r="F261" s="148" t="n">
        <f aca="false">B68</f>
        <v>548.671875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-7048.39536458763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500" t="n">
        <v>0</v>
      </c>
      <c r="C4" s="500" t="n">
        <v>0</v>
      </c>
      <c r="D4" s="500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</v>
      </c>
      <c r="C5" s="498" t="n">
        <v>0</v>
      </c>
      <c r="D5" s="498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5.28</v>
      </c>
      <c r="E32" s="222"/>
      <c r="F32" s="63"/>
      <c r="G32" s="223" t="s">
        <v>241</v>
      </c>
      <c r="H32" s="221" t="str">
        <f aca="false">A41</f>
        <v>5.28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505.28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382</v>
      </c>
      <c r="B41" s="237" t="n">
        <f aca="false">IF(B38="YES", D38+A41, D38)</f>
        <v>505.28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str">
        <f aca="false">H32</f>
        <v>5.28</v>
      </c>
      <c r="I44" s="393" t="n">
        <f aca="false">((A41*(B35-1))+D32)/B35</f>
        <v>5.28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506.28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506.28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4051.95</v>
      </c>
      <c r="C70" s="211" t="n">
        <v>10000</v>
      </c>
      <c r="D70" s="290" t="n">
        <f aca="false">B70-A149</f>
        <v>4051.95</v>
      </c>
      <c r="E70" s="212" t="n">
        <f aca="false">D70/12</f>
        <v>337.6625</v>
      </c>
      <c r="F70" s="63"/>
      <c r="G70" s="284" t="s">
        <v>90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90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578.85</v>
      </c>
      <c r="C73" s="211"/>
      <c r="D73" s="290"/>
      <c r="E73" s="212"/>
      <c r="F73" s="63"/>
      <c r="G73" s="284" t="s">
        <v>93</v>
      </c>
      <c r="H73" s="129" t="n">
        <f aca="false">H67*H72</f>
        <v>289.425</v>
      </c>
      <c r="I73" s="211"/>
      <c r="J73" s="290"/>
      <c r="K73" s="212"/>
      <c r="L73" s="63"/>
      <c r="M73" s="284" t="s">
        <v>93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277</v>
      </c>
      <c r="B80" s="431" t="n">
        <v>0</v>
      </c>
      <c r="C80" s="211"/>
      <c r="D80" s="211"/>
      <c r="E80" s="429" t="n">
        <f aca="false">E79+D82</f>
        <v>660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278</v>
      </c>
      <c r="B81" s="433" t="n">
        <v>0</v>
      </c>
      <c r="C81" s="211"/>
      <c r="D81" s="211"/>
      <c r="E81" s="212" t="n">
        <f aca="false">E80/12</f>
        <v>55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5378.61666666667</v>
      </c>
      <c r="C87" s="211"/>
      <c r="D87" s="211"/>
      <c r="E87" s="212"/>
      <c r="F87" s="63"/>
      <c r="G87" s="302" t="s">
        <v>102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102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448.218055555556</v>
      </c>
      <c r="C88" s="211"/>
      <c r="D88" s="211"/>
      <c r="E88" s="212"/>
      <c r="F88" s="63"/>
      <c r="G88" s="210" t="s">
        <v>103</v>
      </c>
      <c r="H88" s="299" t="n">
        <f aca="false">H87/H29</f>
        <v>600.461111111111</v>
      </c>
      <c r="I88" s="211"/>
      <c r="J88" s="211"/>
      <c r="K88" s="212"/>
      <c r="L88" s="63"/>
      <c r="M88" s="210" t="s">
        <v>103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11390.6166666667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114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96.4917103670835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115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11487.1083770338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6.864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957.259031419479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964.123031419479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340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1" t="n">
        <v>30</v>
      </c>
      <c r="C111" s="311"/>
      <c r="D111" s="103" t="s">
        <v>289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957.259031419479</v>
      </c>
      <c r="B134" s="320" t="n">
        <f aca="false">IF(A111="YES", B95, 0)</f>
        <v>6.864</v>
      </c>
      <c r="C134" s="325"/>
      <c r="D134" s="320" t="n">
        <f aca="false">B97</f>
        <v>964.123031419479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8615.33128277531</v>
      </c>
      <c r="C137" s="316"/>
      <c r="D137" s="38" t="n">
        <f aca="false">IF(A111="YES", B95*B63, 0)</f>
        <v>61.776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8677.10728277531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957.259031419479</v>
      </c>
      <c r="B143" s="38" t="n">
        <f aca="false">IF(A111="YES", B95, 0)</f>
        <v>6.864</v>
      </c>
      <c r="C143" s="316"/>
      <c r="D143" s="38" t="n">
        <f aca="false">B97</f>
        <v>964.123031419479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1.2672</v>
      </c>
      <c r="H148" s="99" t="n">
        <f aca="false">G108-100</f>
        <v>139.988</v>
      </c>
      <c r="I148" s="99"/>
      <c r="J148" s="99" t="n">
        <f aca="false">(H145+J145+G148+H148)-H151</f>
        <v>1462.4427</v>
      </c>
      <c r="K148" s="101"/>
      <c r="L148" s="63"/>
      <c r="M148" s="107" t="n">
        <f aca="false">IF(M111="YES", ((A41*N111)*0.1)*(M133), 0)</f>
        <v>1.2672</v>
      </c>
      <c r="N148" s="99" t="n">
        <f aca="false">M108-100</f>
        <v>99.99</v>
      </c>
      <c r="O148" s="99"/>
      <c r="P148" s="99" t="n">
        <f aca="false">(N145+P145+M148+N148)-N151</f>
        <v>1422.4447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1.9008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1080.7408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964.123031419479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957.259031419479</v>
      </c>
      <c r="B177" s="354" t="n">
        <f aca="false">IF(A111="YES", B95, 0)</f>
        <v>6.864</v>
      </c>
      <c r="C177" s="357"/>
      <c r="D177" s="354" t="n">
        <f aca="false">B91</f>
        <v>11390.6166666667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8615.33128277531</v>
      </c>
      <c r="C180" s="352"/>
      <c r="D180" s="99" t="n">
        <f aca="false">IF(A111="YES", B95*B63, 0)</f>
        <v>61.776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8677.10728277531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957.259031419479</v>
      </c>
      <c r="B186" s="99" t="n">
        <f aca="false">IF(A111="YES", B95, 0)</f>
        <v>6.864</v>
      </c>
      <c r="C186" s="352"/>
      <c r="D186" s="99" t="n">
        <f aca="false">B97</f>
        <v>964.123031419479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400</v>
      </c>
      <c r="C197" s="99"/>
      <c r="D197" s="99" t="n">
        <f aca="false">IF(A111="YES", (A41/100*B111)*B131, 0)*0.1</f>
        <v>1.9008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1080.7408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4051.95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578.85</v>
      </c>
      <c r="C211" s="319" t="s">
        <v>214</v>
      </c>
      <c r="D211" s="369" t="n">
        <f aca="false">B225+E221+B221+B223</f>
        <v>358.998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3832.098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4051.95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578.85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3832.098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19.008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96.4917103670835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500" t="n">
        <v>0</v>
      </c>
      <c r="C4" s="500" t="n">
        <v>0</v>
      </c>
      <c r="D4" s="500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</v>
      </c>
      <c r="C5" s="498" t="n">
        <v>0</v>
      </c>
      <c r="D5" s="498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5.28</v>
      </c>
      <c r="E32" s="222"/>
      <c r="F32" s="63"/>
      <c r="G32" s="223" t="s">
        <v>241</v>
      </c>
      <c r="H32" s="221" t="str">
        <f aca="false">A41</f>
        <v>5.28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505.28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382</v>
      </c>
      <c r="B41" s="237" t="n">
        <f aca="false">IF(B38="YES", D38+A41, D38)</f>
        <v>505.28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str">
        <f aca="false">H32</f>
        <v>5.28</v>
      </c>
      <c r="I44" s="393" t="n">
        <f aca="false">((A41*(B35-1))+D32)/B35</f>
        <v>5.28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506.28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506.28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4051.95</v>
      </c>
      <c r="C70" s="211" t="n">
        <v>10000</v>
      </c>
      <c r="D70" s="290" t="n">
        <f aca="false">B70-A149</f>
        <v>4051.95</v>
      </c>
      <c r="E70" s="212" t="n">
        <f aca="false">D70/12</f>
        <v>337.6625</v>
      </c>
      <c r="F70" s="63"/>
      <c r="G70" s="284" t="s">
        <v>90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90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578.85</v>
      </c>
      <c r="C73" s="211"/>
      <c r="D73" s="290"/>
      <c r="E73" s="212"/>
      <c r="F73" s="63"/>
      <c r="G73" s="284" t="s">
        <v>93</v>
      </c>
      <c r="H73" s="129" t="n">
        <f aca="false">H67*H72</f>
        <v>289.425</v>
      </c>
      <c r="I73" s="211"/>
      <c r="J73" s="290"/>
      <c r="K73" s="212"/>
      <c r="L73" s="63"/>
      <c r="M73" s="284" t="s">
        <v>93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165</v>
      </c>
      <c r="C80" s="211"/>
      <c r="D80" s="211"/>
      <c r="E80" s="429" t="n">
        <f aca="false">E79+D82</f>
        <v>703.333333333333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355</v>
      </c>
      <c r="C81" s="211"/>
      <c r="D81" s="211"/>
      <c r="E81" s="212" t="n">
        <f aca="false">E80/12</f>
        <v>58.6111111111111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43.3333333333333</v>
      </c>
      <c r="C82" s="211"/>
      <c r="D82" s="290" t="n">
        <f aca="false">IF(A50="YES", 0, B82)</f>
        <v>43.3333333333333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0</v>
      </c>
      <c r="C83" s="211"/>
      <c r="D83" s="290" t="n">
        <f aca="false">B83</f>
        <v>0</v>
      </c>
      <c r="E83" s="212" t="n">
        <f aca="false">D83/12</f>
        <v>0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0</v>
      </c>
      <c r="C84" s="211"/>
      <c r="D84" s="290" t="n">
        <f aca="false">B84</f>
        <v>0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4755.28333333333</v>
      </c>
      <c r="C87" s="211"/>
      <c r="D87" s="211"/>
      <c r="E87" s="212"/>
      <c r="F87" s="63"/>
      <c r="G87" s="302" t="s">
        <v>102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102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396.273611111111</v>
      </c>
      <c r="C88" s="211"/>
      <c r="D88" s="211"/>
      <c r="E88" s="212"/>
      <c r="F88" s="63"/>
      <c r="G88" s="210" t="s">
        <v>103</v>
      </c>
      <c r="H88" s="299" t="n">
        <f aca="false">H87/H29</f>
        <v>600.461111111111</v>
      </c>
      <c r="I88" s="211"/>
      <c r="J88" s="211"/>
      <c r="K88" s="212"/>
      <c r="L88" s="63"/>
      <c r="M88" s="210" t="s">
        <v>103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((B89*H29)+B87)*1.2</f>
        <v>12920.74</v>
      </c>
      <c r="C91" s="211"/>
      <c r="D91" s="211"/>
      <c r="E91" s="212"/>
      <c r="F91" s="63"/>
      <c r="G91" s="287" t="s">
        <v>114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114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91.211355385236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115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13011.9513553852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IF(B105=Z104,(((H44*B35)+(H44*B35)*(B111/100))/(B64)),(((H44*B35)+(H44*B35)*(B111/100))/(B63+B64)))*1.2</f>
        <v>6.336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1084.32927961544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1084.32927961544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239.99</v>
      </c>
      <c r="B108" s="103" t="n">
        <v>0</v>
      </c>
      <c r="C108" s="103"/>
      <c r="D108" s="103" t="n">
        <v>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s">
        <v>289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1084.32927961544</v>
      </c>
      <c r="B134" s="320" t="n">
        <f aca="false">IF(A111="YES", B95, 0)</f>
        <v>0</v>
      </c>
      <c r="C134" s="325"/>
      <c r="D134" s="320" t="n">
        <f aca="false">B97</f>
        <v>1084.32927961544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9758.96351653893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9758.96351653893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1084.32927961544</v>
      </c>
      <c r="B143" s="38" t="n">
        <f aca="false">IF(A111="YES", B95, 0)</f>
        <v>0</v>
      </c>
      <c r="C143" s="316"/>
      <c r="D143" s="38" t="n">
        <f aca="false">B97</f>
        <v>1084.32927961544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1.2672</v>
      </c>
      <c r="H148" s="99" t="n">
        <f aca="false">G108-100</f>
        <v>139.988</v>
      </c>
      <c r="I148" s="99"/>
      <c r="J148" s="99" t="n">
        <f aca="false">(H145+J145+G148+H148)-H151</f>
        <v>1462.4427</v>
      </c>
      <c r="K148" s="101"/>
      <c r="L148" s="63"/>
      <c r="M148" s="107" t="n">
        <f aca="false">IF(M111="YES", ((A41*N111)*0.1)*(M133), 0)</f>
        <v>1.2672</v>
      </c>
      <c r="N148" s="99" t="n">
        <f aca="false">M108-100</f>
        <v>99.99</v>
      </c>
      <c r="O148" s="99"/>
      <c r="P148" s="99" t="n">
        <f aca="false">(N145+P145+M148+N148)-N151</f>
        <v>1422.4447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578.85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678.841666666667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1084.32927961544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1084.32927961544</v>
      </c>
      <c r="B177" s="354" t="n">
        <f aca="false">IF(A111="YES", B95, 0)</f>
        <v>0</v>
      </c>
      <c r="C177" s="357"/>
      <c r="D177" s="354" t="n">
        <f aca="false">B91</f>
        <v>12920.74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9758.96351653893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9758.96351653893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1084.32927961544</v>
      </c>
      <c r="B186" s="99" t="n">
        <f aca="false">IF(A111="YES", B95, 0)</f>
        <v>0</v>
      </c>
      <c r="C186" s="352"/>
      <c r="D186" s="99" t="n">
        <f aca="false">B97</f>
        <v>1084.32927961544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678.841666666667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4051.95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578.85</v>
      </c>
      <c r="C211" s="319" t="s">
        <v>214</v>
      </c>
      <c r="D211" s="369" t="n">
        <f aca="false">B225+E221+B221+B223</f>
        <v>99.9916666666667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3573.09166666667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4051.95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578.85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0</v>
      </c>
      <c r="C223" s="335" t="s">
        <v>215</v>
      </c>
      <c r="D223" s="316"/>
      <c r="E223" s="33" t="n">
        <f aca="false">(B217-B211+D211)</f>
        <v>3573.09166666667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91.211355385236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500" t="n">
        <v>0.0</v>
      </c>
      <c r="C4" s="500" t="n">
        <v>0.0</v>
      </c>
      <c r="D4" s="500" t="n">
        <v>0.0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0.0</v>
      </c>
      <c r="C5" s="498" t="n">
        <v>0.0</v>
      </c>
      <c r="D5" s="498" t="n">
        <v>0.0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386</v>
      </c>
      <c r="C38" s="219"/>
      <c r="D38" s="100" t="s">
        <v>393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412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396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4051.95</v>
      </c>
      <c r="C70" s="211" t="n">
        <v>10000.0</v>
      </c>
      <c r="D70" s="290" t="n">
        <f aca="false">B70-A149</f>
        <v>4051.95</v>
      </c>
      <c r="E70" s="212" t="n">
        <f aca="false">D70/12</f>
        <v>337.6625</v>
      </c>
      <c r="F70" s="63"/>
      <c r="G70" s="284" t="s">
        <v>90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90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578.85</v>
      </c>
      <c r="C73" s="211"/>
      <c r="D73" s="290"/>
      <c r="E73" s="212"/>
      <c r="F73" s="63"/>
      <c r="G73" s="284" t="s">
        <v>93</v>
      </c>
      <c r="H73" s="129" t="n">
        <f aca="false">H67*H72</f>
        <v>289.425</v>
      </c>
      <c r="I73" s="211"/>
      <c r="J73" s="290"/>
      <c r="K73" s="212"/>
      <c r="L73" s="63"/>
      <c r="M73" s="284" t="s">
        <v>93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200.0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5.0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165.0</v>
      </c>
      <c r="C80" s="211"/>
      <c r="D80" s="211"/>
      <c r="E80" s="429" t="n">
        <f aca="false">E79+D82</f>
        <v>703.333333333333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355.0</v>
      </c>
      <c r="C81" s="211"/>
      <c r="D81" s="211"/>
      <c r="E81" s="212" t="n">
        <f aca="false">E80/12</f>
        <v>58.6111111111111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43.3333333333333</v>
      </c>
      <c r="C82" s="211"/>
      <c r="D82" s="290" t="n">
        <f aca="false">IF(A50="YES", 0, B82)</f>
        <v>43.3333333333333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200.0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200.0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5421.95</v>
      </c>
      <c r="C87" s="211"/>
      <c r="D87" s="211"/>
      <c r="E87" s="212"/>
      <c r="F87" s="63"/>
      <c r="G87" s="302" t="s">
        <v>102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102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451.829166666667</v>
      </c>
      <c r="C88" s="211"/>
      <c r="D88" s="211"/>
      <c r="E88" s="212"/>
      <c r="F88" s="63"/>
      <c r="G88" s="210" t="s">
        <v>103</v>
      </c>
      <c r="H88" s="299" t="n">
        <f aca="false">H87/H29</f>
        <v>600.461111111111</v>
      </c>
      <c r="I88" s="211"/>
      <c r="J88" s="211"/>
      <c r="K88" s="212"/>
      <c r="L88" s="63"/>
      <c r="M88" s="210" t="s">
        <v>103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11433.95</v>
      </c>
      <c r="C91" s="211"/>
      <c r="D91" s="211"/>
      <c r="E91" s="212"/>
      <c r="F91" s="63"/>
      <c r="G91" s="287" t="s">
        <v>114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114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96.8587938684954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115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11530.8087938685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960.900732822375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960.900732822375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1000.0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400.0</v>
      </c>
      <c r="C108" s="103"/>
      <c r="D108" s="103" t="n">
        <v>200.0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386</v>
      </c>
      <c r="B111" s="311" t="n">
        <v>30.0</v>
      </c>
      <c r="C111" s="311"/>
      <c r="D111" s="103" t="s">
        <v>410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390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0.0</v>
      </c>
      <c r="E118" s="103" t="n">
        <v>6000.0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2000.0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0.0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960.900732822375</v>
      </c>
      <c r="B134" s="320" t="n">
        <f aca="false">IF(A111="YES", B95, 0)</f>
        <v>0</v>
      </c>
      <c r="C134" s="325"/>
      <c r="D134" s="320" t="n">
        <f aca="false">B97</f>
        <v>960.900732822375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8648.10659540137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8648.10659540137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960.900732822375</v>
      </c>
      <c r="B143" s="38" t="n">
        <f aca="false">IF(A111="YES", B95, 0)</f>
        <v>0</v>
      </c>
      <c r="C143" s="316"/>
      <c r="D143" s="38" t="n">
        <f aca="false">B97</f>
        <v>960.900732822375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1461.1755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1421.1775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1078.84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960.900732822375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960.900732822375</v>
      </c>
      <c r="B177" s="354" t="n">
        <f aca="false">IF(A111="YES", B95, 0)</f>
        <v>0</v>
      </c>
      <c r="C177" s="357"/>
      <c r="D177" s="354" t="n">
        <f aca="false">B91</f>
        <v>11433.95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8648.10659540137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8648.10659540137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960.900732822375</v>
      </c>
      <c r="B186" s="99" t="n">
        <f aca="false">IF(A111="YES", B95, 0)</f>
        <v>0</v>
      </c>
      <c r="C186" s="352"/>
      <c r="D186" s="99" t="n">
        <f aca="false">B97</f>
        <v>960.900732822375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1078.84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4051.95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578.85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3813.09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4051.95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578.85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3813.09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96.8587938684954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87" colorId="64" zoomScale="85" zoomScaleNormal="85" zoomScalePageLayoutView="100" workbookViewId="0">
      <selection pane="topLeft" activeCell="B201" activeCellId="0" sqref="B20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379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46854.17</v>
      </c>
      <c r="C3" s="440" t="n">
        <v>0</v>
      </c>
      <c r="D3" s="440" t="n">
        <v>0.0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0.0</v>
      </c>
      <c r="C4" s="120" t="n">
        <v>0</v>
      </c>
      <c r="D4" s="120" t="n">
        <v>0.0</v>
      </c>
      <c r="E4" s="120"/>
      <c r="F4" s="120" t="n">
        <v>0.0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0.0</v>
      </c>
      <c r="C5" s="440" t="n">
        <v>0</v>
      </c>
      <c r="D5" s="440" t="n">
        <v>0.0</v>
      </c>
      <c r="E5" s="440"/>
      <c r="F5" s="440" t="n">
        <v>0.0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46854.17</v>
      </c>
      <c r="F9" s="149"/>
      <c r="G9" s="133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50</v>
      </c>
      <c r="F10" s="151"/>
      <c r="G10" s="152"/>
      <c r="H10" s="441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585</v>
      </c>
      <c r="F13" s="151"/>
      <c r="G13" s="152"/>
      <c r="H13" s="441" t="n">
        <v>585.0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55.0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120</v>
      </c>
      <c r="F16" s="151"/>
      <c r="G16" s="152"/>
      <c r="H16" s="441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262" t="s">
        <v>413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402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408</v>
      </c>
      <c r="C35" s="219"/>
      <c r="D35" s="219" t="s">
        <v>401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s">
        <v>414</v>
      </c>
      <c r="I36" s="0"/>
      <c r="J36" s="44" t="s">
        <v>51</v>
      </c>
      <c r="K36" s="52" t="n">
        <f aca="false">K32-K34</f>
        <v>47877.5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386</v>
      </c>
      <c r="C38" s="219"/>
      <c r="D38" s="100" t="s">
        <v>393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396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500.363636363636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500.363636363636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263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0.0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50213.7612073821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548.671875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0.0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0.0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47877.5</v>
      </c>
      <c r="C81" s="130"/>
      <c r="D81" s="130"/>
      <c r="E81" s="109"/>
      <c r="F81" s="25" t="s">
        <v>105</v>
      </c>
      <c r="G81" s="27" t="n">
        <f aca="false">G158</f>
        <v>58525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130"/>
      <c r="D85" s="130"/>
      <c r="E85" s="109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4379.8532592462</v>
      </c>
      <c r="C86" s="130" t="n">
        <f aca="false">(B82/((1+B84)^(B85+1)))</f>
        <v>4379.8532592462</v>
      </c>
      <c r="D86" s="130"/>
      <c r="E86" s="109"/>
      <c r="F86" s="31" t="s">
        <v>110</v>
      </c>
      <c r="G86" s="33" t="n">
        <f aca="false">(G82/((1+G84)^(G85+1)))</f>
        <v>6024.37295128565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130" t="n">
        <f aca="false">((1-(1/((1+B84)^B85)))/B84)</f>
        <v>27.4464895133802</v>
      </c>
      <c r="D87" s="130"/>
      <c r="E87" s="109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43497.6467407538</v>
      </c>
      <c r="C88" s="130" t="n">
        <f aca="false">B81-B86</f>
        <v>43497.6467407538</v>
      </c>
      <c r="D88" s="130"/>
      <c r="E88" s="109"/>
      <c r="F88" s="31" t="s">
        <v>112</v>
      </c>
      <c r="G88" s="33" t="n">
        <f aca="false">G81-G86</f>
        <v>52500.6270487144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1584.81640136705</v>
      </c>
      <c r="C89" s="130" t="n">
        <f aca="false">(B88/B87)</f>
        <v>1584.81640136705</v>
      </c>
      <c r="D89" s="130"/>
      <c r="E89" s="109"/>
      <c r="F89" s="31" t="s">
        <v>113</v>
      </c>
      <c r="G89" s="33" t="n">
        <f aca="false">(G88/G87)</f>
        <v>1791.36776953147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50714.1248437457</v>
      </c>
      <c r="C90" s="130"/>
      <c r="D90" s="130"/>
      <c r="E90" s="109"/>
      <c r="F90" s="31" t="s">
        <v>114</v>
      </c>
      <c r="G90" s="33" t="n">
        <f aca="false">((G89*(G85))+G77)</f>
        <v>57323.768625007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50714.1248437457</v>
      </c>
      <c r="C92" s="130"/>
      <c r="D92" s="130"/>
      <c r="E92" s="109"/>
      <c r="F92" s="56" t="s">
        <v>116</v>
      </c>
      <c r="G92" s="65" t="n">
        <f aca="false">(G90+G91)</f>
        <v>57323.768625007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IF(B38="YES",((H36/B85)*(1+A108)),"0")</f>
        <v>0</v>
      </c>
      <c r="C94" s="130"/>
      <c r="D94" s="130"/>
      <c r="E94" s="109"/>
      <c r="F94" s="88" t="s">
        <v>117</v>
      </c>
      <c r="G94" s="259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1584.81640136705</v>
      </c>
      <c r="C95" s="130"/>
      <c r="D95" s="130"/>
      <c r="E95" s="109"/>
      <c r="F95" s="91" t="s">
        <v>118</v>
      </c>
      <c r="G95" s="92" t="n">
        <f aca="false">G92/(G85)</f>
        <v>1791.36776953147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1584.81640136705</v>
      </c>
      <c r="C96" s="130"/>
      <c r="D96" s="130"/>
      <c r="E96" s="109"/>
      <c r="F96" s="93" t="s">
        <v>119</v>
      </c>
      <c r="G96" s="94" t="n">
        <f aca="false">G94+G95</f>
        <v>1791.36776953147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386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0.3</v>
      </c>
      <c r="B108" s="103" t="s">
        <v>404</v>
      </c>
      <c r="C108" s="103"/>
      <c r="D108" s="103"/>
      <c r="E108" s="104" t="n">
        <f aca="false">B83</f>
        <v>0.115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386</v>
      </c>
      <c r="B111" s="103" t="n">
        <v>0.0</v>
      </c>
      <c r="C111" s="103"/>
      <c r="D111" s="103"/>
      <c r="E111" s="103" t="n">
        <v>0.0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406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46854.17</v>
      </c>
      <c r="C125" s="129" t="n">
        <f aca="false">C121-C124</f>
        <v>46854.17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47687.5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9647.5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58525</v>
      </c>
      <c r="H141" s="154" t="n">
        <f aca="false">(H135+H136+H139+H140+H137)-H138</f>
        <v>58525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58525</v>
      </c>
      <c r="H147" s="161" t="n">
        <f aca="false">H141-((H144*1.2)+(H145*1.2)+(H146*1.2)+(H142*1.2))</f>
        <v>58525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-48770.8333333333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0.0</v>
      </c>
      <c r="F152" s="103"/>
      <c r="G152" s="103" t="n">
        <v>0.0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0.0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58525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367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1584.81640136705</v>
      </c>
      <c r="B167" s="174" t="str">
        <f aca="false">B94</f>
        <v>0</v>
      </c>
      <c r="C167" s="171"/>
      <c r="D167" s="171"/>
      <c r="E167" s="174" t="n">
        <f aca="false">B96</f>
        <v>1584.81640136705</v>
      </c>
      <c r="F167" s="23"/>
      <c r="G167" s="23" t="n">
        <f aca="false">ROUND(G95, 2)</f>
        <v>1791.37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33</v>
      </c>
      <c r="B170" s="225" t="str">
        <f aca="false">H30</f>
        <v>5000</v>
      </c>
      <c r="C170" s="178"/>
      <c r="D170" s="23"/>
      <c r="E170" s="179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48237.5</v>
      </c>
      <c r="B173" s="99" t="n">
        <f aca="false">H137</f>
        <v>9647.5</v>
      </c>
      <c r="C173" s="183"/>
      <c r="D173" s="23"/>
      <c r="E173" s="179" t="n">
        <f aca="false">H139+H140</f>
        <v>640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58525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58525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-1810.8751562543</v>
      </c>
      <c r="B182" s="99" t="str">
        <f aca="false">B114</f>
        <v>199.99</v>
      </c>
      <c r="C182" s="99"/>
      <c r="D182" s="23"/>
      <c r="E182" s="99" t="n">
        <f aca="false">E179+A182+(B182*1.2)+A185</f>
        <v>56964.1128437457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11.577</v>
      </c>
      <c r="B188" s="99" t="n">
        <f aca="false">(G158*B67)/1.2</f>
        <v>457.2265625</v>
      </c>
      <c r="C188" s="130"/>
      <c r="D188" s="130"/>
      <c r="E188" s="99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557.2165625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1584.81640136705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368</v>
      </c>
      <c r="B200" s="130" t="s">
        <v>369</v>
      </c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4798.84</v>
      </c>
      <c r="B201" s="183" t="n">
        <f aca="false">E179+A201+(B182*1.2)+A185</f>
        <v>63573.828</v>
      </c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1584.81640136705</v>
      </c>
      <c r="B212" s="174" t="str">
        <f aca="false">B167</f>
        <v>0</v>
      </c>
      <c r="C212" s="171"/>
      <c r="D212" s="171"/>
      <c r="E212" s="174" t="n">
        <f aca="false">E167</f>
        <v>1584.81640136705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48237.5</v>
      </c>
      <c r="B215" s="99" t="n">
        <f aca="false">B173</f>
        <v>9647.5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58525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58525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-1810.8751562543</v>
      </c>
      <c r="B224" s="99" t="str">
        <f aca="false">B182</f>
        <v>199.99</v>
      </c>
      <c r="C224" s="99"/>
      <c r="D224" s="109"/>
      <c r="E224" s="99" t="n">
        <f aca="false">E182</f>
        <v>56964.1128437457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1584.81640136705</v>
      </c>
      <c r="B230" s="99" t="str">
        <f aca="false">B167</f>
        <v>0</v>
      </c>
      <c r="C230" s="183"/>
      <c r="D230" s="183"/>
      <c r="E230" s="99" t="n">
        <f aca="false">E167</f>
        <v>1584.81640136705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A188</f>
        <v>11.577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457.2265625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557.2165625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 t="n">
        <f aca="false">(E182-B182)-(B201-B182-A185)</f>
        <v>-6599.71515625429</v>
      </c>
      <c r="C254" s="194"/>
      <c r="D254" s="195" t="s">
        <v>213</v>
      </c>
      <c r="E254" s="195"/>
      <c r="F254" s="196" t="n">
        <f aca="false">F261+F267+F269+B270+B271</f>
        <v>548.671875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-7048.39703125429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B254</f>
        <v>-6599.71515625429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0.009375</v>
      </c>
      <c r="C261" s="32"/>
      <c r="D261" s="163" t="s">
        <v>218</v>
      </c>
      <c r="E261" s="163"/>
      <c r="F261" s="148" t="n">
        <f aca="false">B68</f>
        <v>548.671875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-7048.39703125429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500" t="n">
        <v>0.0</v>
      </c>
      <c r="C4" s="500" t="n">
        <v>0.0</v>
      </c>
      <c r="D4" s="500" t="n">
        <v>0.0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0.0</v>
      </c>
      <c r="C5" s="498" t="n">
        <v>0.0</v>
      </c>
      <c r="D5" s="498" t="n">
        <v>0.0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60</v>
      </c>
      <c r="E32" s="222"/>
      <c r="F32" s="63"/>
      <c r="G32" s="223" t="s">
        <v>241</v>
      </c>
      <c r="H32" s="221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560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386</v>
      </c>
      <c r="C38" s="219"/>
      <c r="D38" s="100" t="s">
        <v>393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394</v>
      </c>
      <c r="B41" s="237" t="n">
        <f aca="false">IF(B38="YES", D38+A41, D38)</f>
        <v>560</v>
      </c>
      <c r="C41" s="237"/>
      <c r="D41" s="100" t="s">
        <v>395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396</v>
      </c>
      <c r="B44" s="100" t="s">
        <v>397</v>
      </c>
      <c r="C44" s="100"/>
      <c r="D44" s="100" t="s">
        <v>398</v>
      </c>
      <c r="E44" s="100"/>
      <c r="F44" s="63"/>
      <c r="G44" s="63" t="s">
        <v>255</v>
      </c>
      <c r="H44" s="234" t="str">
        <f aca="false">H32</f>
        <v>60</v>
      </c>
      <c r="I44" s="393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561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399</v>
      </c>
      <c r="C47" s="428"/>
      <c r="D47" s="100" t="s">
        <v>399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561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337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4051.95</v>
      </c>
      <c r="C70" s="211" t="n">
        <v>10000</v>
      </c>
      <c r="D70" s="290" t="n">
        <f aca="false">B70-A149</f>
        <v>4051.95</v>
      </c>
      <c r="E70" s="212" t="n">
        <f aca="false">D70/12</f>
        <v>337.6625</v>
      </c>
      <c r="F70" s="63"/>
      <c r="G70" s="284" t="s">
        <v>90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90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578.85</v>
      </c>
      <c r="C73" s="211"/>
      <c r="D73" s="290"/>
      <c r="E73" s="212"/>
      <c r="F73" s="63"/>
      <c r="G73" s="284" t="s">
        <v>93</v>
      </c>
      <c r="H73" s="129" t="n">
        <f aca="false">H67*H72</f>
        <v>289.425</v>
      </c>
      <c r="I73" s="211"/>
      <c r="J73" s="290"/>
      <c r="K73" s="212"/>
      <c r="L73" s="63"/>
      <c r="M73" s="284" t="s">
        <v>93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200.0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5.0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277</v>
      </c>
      <c r="B80" s="431" t="n">
        <v>0.0</v>
      </c>
      <c r="C80" s="211"/>
      <c r="D80" s="211"/>
      <c r="E80" s="429" t="n">
        <f aca="false">E79+D82</f>
        <v>660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278</v>
      </c>
      <c r="B81" s="433" t="n">
        <v>0.0</v>
      </c>
      <c r="C81" s="211"/>
      <c r="D81" s="211"/>
      <c r="E81" s="212" t="n">
        <f aca="false">E80/12</f>
        <v>55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200.0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200.0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5378.61666666667</v>
      </c>
      <c r="C87" s="211"/>
      <c r="D87" s="211"/>
      <c r="E87" s="212"/>
      <c r="F87" s="63"/>
      <c r="G87" s="302" t="s">
        <v>102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102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448.218055555556</v>
      </c>
      <c r="C88" s="211"/>
      <c r="D88" s="211"/>
      <c r="E88" s="212"/>
      <c r="F88" s="63"/>
      <c r="G88" s="210" t="s">
        <v>103</v>
      </c>
      <c r="H88" s="299" t="n">
        <f aca="false">H87/H29</f>
        <v>600.461111111111</v>
      </c>
      <c r="I88" s="211"/>
      <c r="J88" s="211"/>
      <c r="K88" s="212"/>
      <c r="L88" s="63"/>
      <c r="M88" s="210" t="s">
        <v>103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11390.6166666667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114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96.4917103670835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115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11487.1083770338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78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957.259031419479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1035.25903141948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348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1000.0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200.0</v>
      </c>
      <c r="C108" s="103"/>
      <c r="D108" s="103" t="n">
        <v>200.0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386</v>
      </c>
      <c r="B111" s="313" t="n">
        <v>20.0</v>
      </c>
      <c r="C111" s="313"/>
      <c r="D111" s="103" t="n">
        <v>200.0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390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0.0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957.259031419479</v>
      </c>
      <c r="B134" s="320" t="n">
        <f aca="false">IF(A111="YES", B95, 0)</f>
        <v>78</v>
      </c>
      <c r="C134" s="325"/>
      <c r="D134" s="320" t="n">
        <f aca="false">B97</f>
        <v>1035.25903141948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8615.33128277531</v>
      </c>
      <c r="C137" s="316"/>
      <c r="D137" s="38" t="n">
        <f aca="false">IF(A111="YES", B95*B63, 0)</f>
        <v>702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9317.33128277531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957.259031419479</v>
      </c>
      <c r="B143" s="38" t="n">
        <f aca="false">IF(A111="YES", B95, 0)</f>
        <v>78</v>
      </c>
      <c r="C143" s="316"/>
      <c r="D143" s="38" t="n">
        <f aca="false">B97</f>
        <v>1035.25903141948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14.4</v>
      </c>
      <c r="H148" s="99" t="n">
        <f aca="false">G108-100</f>
        <v>139.988</v>
      </c>
      <c r="I148" s="99"/>
      <c r="J148" s="99" t="n">
        <f aca="false">(H145+J145+G148+H148)-H151</f>
        <v>1475.5755</v>
      </c>
      <c r="K148" s="101"/>
      <c r="L148" s="63"/>
      <c r="M148" s="107" t="n">
        <f aca="false">IF(M111="YES", ((A41*N111)*0.1)*(M133), 0)</f>
        <v>14.4</v>
      </c>
      <c r="N148" s="99" t="n">
        <f aca="false">M108-100</f>
        <v>99.99</v>
      </c>
      <c r="O148" s="99"/>
      <c r="P148" s="99" t="n">
        <f aca="false">(N145+P145+M148+N148)-N151</f>
        <v>1435.5775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578.85</v>
      </c>
      <c r="B154" s="99" t="n">
        <f aca="false">B108</f>
        <v>400</v>
      </c>
      <c r="C154" s="38"/>
      <c r="D154" s="38" t="n">
        <f aca="false">IF(A111="YES", (A41/100*B111)*B131, 0)*0.1</f>
        <v>21.6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1100.44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1035.25903141948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957.259031419479</v>
      </c>
      <c r="B177" s="354" t="n">
        <f aca="false">IF(A111="YES", B95, 0)</f>
        <v>78</v>
      </c>
      <c r="C177" s="357"/>
      <c r="D177" s="354" t="n">
        <f aca="false">B91</f>
        <v>11390.6166666667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8615.33128277531</v>
      </c>
      <c r="C180" s="352"/>
      <c r="D180" s="99" t="n">
        <f aca="false">IF(A111="YES", B95*B63, 0)</f>
        <v>702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9317.33128277531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957.259031419479</v>
      </c>
      <c r="B186" s="99" t="n">
        <f aca="false">IF(A111="YES", B95, 0)</f>
        <v>78</v>
      </c>
      <c r="C186" s="352"/>
      <c r="D186" s="99" t="n">
        <f aca="false">B97</f>
        <v>1035.25903141948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400</v>
      </c>
      <c r="C197" s="99"/>
      <c r="D197" s="99" t="n">
        <f aca="false">IF(A111="YES", (A41/100*B111)*B131, 0)*0.1</f>
        <v>21.6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1100.44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4051.95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578.85</v>
      </c>
      <c r="C211" s="319" t="s">
        <v>214</v>
      </c>
      <c r="D211" s="369" t="n">
        <f aca="false">B225+E221+B221+B223</f>
        <v>555.99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4029.09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4051.95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578.85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4029.09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216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96.4917103670835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12" colorId="64" zoomScale="85" zoomScaleNormal="85" zoomScalePageLayoutView="100" workbookViewId="0">
      <selection pane="topLeft" activeCell="B221" activeCellId="0" sqref="B221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500" t="n">
        <v>0.0</v>
      </c>
      <c r="C4" s="500" t="n">
        <v>0.0</v>
      </c>
      <c r="D4" s="500" t="n">
        <v>0.0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0.0</v>
      </c>
      <c r="C5" s="498" t="n">
        <v>0.0</v>
      </c>
      <c r="D5" s="498" t="n">
        <v>0.0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390</v>
      </c>
      <c r="C38" s="219"/>
      <c r="D38" s="100" t="s">
        <v>393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387</v>
      </c>
      <c r="B41" s="237" t="str">
        <f aca="false">IF(B38="YES", D38+A41, D38)</f>
        <v>500</v>
      </c>
      <c r="C41" s="237"/>
      <c r="D41" s="100" t="s">
        <v>395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396</v>
      </c>
      <c r="B44" s="100" t="s">
        <v>397</v>
      </c>
      <c r="C44" s="100"/>
      <c r="D44" s="100" t="s">
        <v>387</v>
      </c>
      <c r="E44" s="100"/>
      <c r="F44" s="63"/>
      <c r="G44" s="63" t="s">
        <v>255</v>
      </c>
      <c r="H44" s="234" t="str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399</v>
      </c>
      <c r="C47" s="428"/>
      <c r="D47" s="100" t="s">
        <v>399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4051.95</v>
      </c>
      <c r="C70" s="211" t="n">
        <v>10000.0</v>
      </c>
      <c r="D70" s="290" t="n">
        <f aca="false">B70-A149</f>
        <v>4051.95</v>
      </c>
      <c r="E70" s="212" t="n">
        <f aca="false">D70/12</f>
        <v>337.6625</v>
      </c>
      <c r="F70" s="63"/>
      <c r="G70" s="284" t="s">
        <v>90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90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578.85</v>
      </c>
      <c r="C73" s="211"/>
      <c r="D73" s="290"/>
      <c r="E73" s="212"/>
      <c r="F73" s="63"/>
      <c r="G73" s="284" t="s">
        <v>93</v>
      </c>
      <c r="H73" s="129" t="n">
        <f aca="false">H67*H72</f>
        <v>289.425</v>
      </c>
      <c r="I73" s="211"/>
      <c r="J73" s="290"/>
      <c r="K73" s="212"/>
      <c r="L73" s="63"/>
      <c r="M73" s="284" t="s">
        <v>93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200.0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5.0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165.0</v>
      </c>
      <c r="C80" s="211"/>
      <c r="D80" s="211"/>
      <c r="E80" s="429" t="n">
        <f aca="false">E79+D82</f>
        <v>703.333333333333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355.0</v>
      </c>
      <c r="C81" s="211"/>
      <c r="D81" s="211"/>
      <c r="E81" s="212" t="n">
        <f aca="false">E80/12</f>
        <v>58.6111111111111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43.3333333333333</v>
      </c>
      <c r="C82" s="211"/>
      <c r="D82" s="290" t="n">
        <f aca="false">IF(A50="YES", 0, B82)</f>
        <v>43.3333333333333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200.0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200.0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5421.95</v>
      </c>
      <c r="C87" s="211"/>
      <c r="D87" s="211"/>
      <c r="E87" s="212"/>
      <c r="F87" s="63"/>
      <c r="G87" s="302" t="s">
        <v>102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102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451.829166666667</v>
      </c>
      <c r="C88" s="211"/>
      <c r="D88" s="211"/>
      <c r="E88" s="212"/>
      <c r="F88" s="63"/>
      <c r="G88" s="210" t="s">
        <v>103</v>
      </c>
      <c r="H88" s="299" t="n">
        <f aca="false">H87/H29</f>
        <v>600.461111111111</v>
      </c>
      <c r="I88" s="211"/>
      <c r="J88" s="211"/>
      <c r="K88" s="212"/>
      <c r="L88" s="63"/>
      <c r="M88" s="210" t="s">
        <v>103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((B89*H29)+B87)*1.2</f>
        <v>13720.74</v>
      </c>
      <c r="C91" s="211"/>
      <c r="D91" s="211"/>
      <c r="E91" s="212"/>
      <c r="F91" s="63"/>
      <c r="G91" s="287" t="s">
        <v>114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114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96.8587938684954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115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13817.5987938685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IF(B105=Z104,(((H44*B35)+(H44*B35)*(B111/100))/(B64)),(((H44*B35)+(H44*B35)*(B111/100))/(B63+B64)))*1.2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1151.46656615571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1151.46656615571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1000.0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239.99</v>
      </c>
      <c r="B108" s="103" t="n">
        <v>400.0</v>
      </c>
      <c r="C108" s="103"/>
      <c r="D108" s="103" t="n">
        <v>200.0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390</v>
      </c>
      <c r="B111" s="311" t="n">
        <v>0.0</v>
      </c>
      <c r="C111" s="311"/>
      <c r="D111" s="103" t="n">
        <v>200.0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390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0.0</v>
      </c>
      <c r="E118" s="103" t="n">
        <v>6000.0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2000.0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0.0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1151.46656615571</v>
      </c>
      <c r="B134" s="320" t="n">
        <f aca="false">IF(A111="YES", B95, 0)</f>
        <v>0</v>
      </c>
      <c r="C134" s="325"/>
      <c r="D134" s="320" t="n">
        <f aca="false">B97</f>
        <v>1151.46656615571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1151.46656615571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1151.46656615571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1151.46656615571</v>
      </c>
      <c r="B143" s="38" t="n">
        <f aca="false">IF(A111="YES", B95, 0)</f>
        <v>0</v>
      </c>
      <c r="C143" s="316"/>
      <c r="D143" s="38" t="n">
        <f aca="false">B97</f>
        <v>1151.46656615571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1461.1755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1421.1775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1078.84166666667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1151.46656615571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1151.46656615571</v>
      </c>
      <c r="B177" s="354" t="n">
        <f aca="false">IF(A111="YES", B95, 0)</f>
        <v>0</v>
      </c>
      <c r="C177" s="357"/>
      <c r="D177" s="354" t="n">
        <f aca="false">B97</f>
        <v>1151.46656615571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1151.46656615571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1151.46656615571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1151.46656615571</v>
      </c>
      <c r="B186" s="99" t="n">
        <f aca="false">IF(A111="YES", B95, 0)</f>
        <v>0</v>
      </c>
      <c r="C186" s="352"/>
      <c r="D186" s="99" t="n">
        <f aca="false">B97</f>
        <v>1151.46656615571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1078.84166666667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4051.95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578.85</v>
      </c>
      <c r="C211" s="319" t="s">
        <v>214</v>
      </c>
      <c r="D211" s="369" t="n">
        <f aca="false">B225+E221+B221+B223</f>
        <v>339.991666666667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3813.09166666667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4051.95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578.85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3813.09166666667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96.8587938684954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500" t="n">
        <v>0</v>
      </c>
      <c r="C4" s="500" t="n">
        <v>0</v>
      </c>
      <c r="D4" s="500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</v>
      </c>
      <c r="C5" s="498" t="n">
        <v>0</v>
      </c>
      <c r="D5" s="498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241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230</v>
      </c>
      <c r="B41" s="237" t="n">
        <f aca="false">IF(B38="YES", D38+A41, D38)</f>
        <v>550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347</v>
      </c>
      <c r="E44" s="100"/>
      <c r="F44" s="63"/>
      <c r="G44" s="63" t="s">
        <v>255</v>
      </c>
      <c r="H44" s="234" t="str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347</v>
      </c>
      <c r="C47" s="428"/>
      <c r="D47" s="100" t="s">
        <v>347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4051.95</v>
      </c>
      <c r="C70" s="211" t="n">
        <v>10000</v>
      </c>
      <c r="D70" s="290" t="n">
        <f aca="false">B70-A149</f>
        <v>4051.95</v>
      </c>
      <c r="E70" s="212" t="n">
        <f aca="false">D70/12</f>
        <v>337.6625</v>
      </c>
      <c r="F70" s="63"/>
      <c r="G70" s="284" t="s">
        <v>90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90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578.85</v>
      </c>
      <c r="C73" s="211"/>
      <c r="D73" s="290"/>
      <c r="E73" s="212"/>
      <c r="F73" s="63"/>
      <c r="G73" s="284" t="s">
        <v>93</v>
      </c>
      <c r="H73" s="129" t="n">
        <f aca="false">H67*H72</f>
        <v>289.425</v>
      </c>
      <c r="I73" s="211"/>
      <c r="J73" s="290"/>
      <c r="K73" s="212"/>
      <c r="L73" s="63"/>
      <c r="M73" s="284" t="s">
        <v>93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165</v>
      </c>
      <c r="C80" s="211"/>
      <c r="D80" s="211"/>
      <c r="E80" s="429" t="n">
        <f aca="false">E79+D82</f>
        <v>703.333333333333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355</v>
      </c>
      <c r="C81" s="211"/>
      <c r="D81" s="211"/>
      <c r="E81" s="212" t="n">
        <f aca="false">E80/12</f>
        <v>58.6111111111111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43.3333333333333</v>
      </c>
      <c r="C82" s="211"/>
      <c r="D82" s="290" t="n">
        <f aca="false">IF(A50="YES", 0, B82)</f>
        <v>43.3333333333333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5421.95</v>
      </c>
      <c r="C87" s="211"/>
      <c r="D87" s="211"/>
      <c r="E87" s="212"/>
      <c r="F87" s="63"/>
      <c r="G87" s="302" t="s">
        <v>102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102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451.829166666667</v>
      </c>
      <c r="C88" s="211"/>
      <c r="D88" s="211"/>
      <c r="E88" s="212"/>
      <c r="F88" s="63"/>
      <c r="G88" s="210" t="s">
        <v>103</v>
      </c>
      <c r="H88" s="299" t="n">
        <f aca="false">H87/H29</f>
        <v>600.461111111111</v>
      </c>
      <c r="I88" s="211"/>
      <c r="J88" s="211"/>
      <c r="K88" s="212"/>
      <c r="L88" s="63"/>
      <c r="M88" s="210" t="s">
        <v>103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11433.95</v>
      </c>
      <c r="C91" s="211"/>
      <c r="D91" s="211"/>
      <c r="E91" s="212"/>
      <c r="F91" s="63"/>
      <c r="G91" s="287" t="s">
        <v>114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114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96.8587938684954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115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11530.8087938685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65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960.900732822375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1025.90073282237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1" t="n">
        <v>30</v>
      </c>
      <c r="C111" s="311"/>
      <c r="D111" s="103" t="s">
        <v>289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960.900732822375</v>
      </c>
      <c r="B134" s="320" t="n">
        <f aca="false">IF(A111="YES", B95, 0)</f>
        <v>65</v>
      </c>
      <c r="C134" s="325"/>
      <c r="D134" s="320" t="n">
        <f aca="false">B97</f>
        <v>1025.90073282237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8648.10659540137</v>
      </c>
      <c r="C137" s="316"/>
      <c r="D137" s="38" t="n">
        <f aca="false">IF(A111="YES", B95*B63, 0)</f>
        <v>585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9233.10659540137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960.900732822375</v>
      </c>
      <c r="B143" s="38" t="n">
        <f aca="false">IF(A111="YES", B95, 0)</f>
        <v>65</v>
      </c>
      <c r="C143" s="316"/>
      <c r="D143" s="38" t="n">
        <f aca="false">B97</f>
        <v>1025.90073282237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1473.1755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1433.1775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1096.84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1025.90073282237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960.900732822375</v>
      </c>
      <c r="B177" s="354" t="n">
        <f aca="false">IF(A111="YES", B95, 0)</f>
        <v>65</v>
      </c>
      <c r="C177" s="357"/>
      <c r="D177" s="354" t="n">
        <f aca="false">B91</f>
        <v>11433.95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8648.10659540137</v>
      </c>
      <c r="C180" s="352"/>
      <c r="D180" s="99" t="n">
        <f aca="false">IF(A111="YES", B95*B63, 0)</f>
        <v>585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9233.10659540137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960.900732822375</v>
      </c>
      <c r="B186" s="99" t="n">
        <f aca="false">IF(A111="YES", B95, 0)</f>
        <v>65</v>
      </c>
      <c r="C186" s="352"/>
      <c r="D186" s="99" t="n">
        <f aca="false">B97</f>
        <v>1025.90073282237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B154</f>
        <v>400</v>
      </c>
      <c r="C197" s="99"/>
      <c r="D197" s="99" t="n">
        <f aca="false">IF(A111="YES", (A41/100*B111)*B131, 0)*0.1</f>
        <v>18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1096.84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4051.95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578.85</v>
      </c>
      <c r="C211" s="319" t="s">
        <v>214</v>
      </c>
      <c r="D211" s="369" t="n">
        <f aca="false">B225+E221+B221+B223</f>
        <v>519.99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3993.09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4051.95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578.85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3993.09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180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96.8587938684954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71" colorId="64" zoomScale="85" zoomScaleNormal="85" zoomScalePageLayoutView="100" workbookViewId="0">
      <selection pane="topLeft" activeCell="B201" activeCellId="0" sqref="B20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1.92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379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46854.17</v>
      </c>
      <c r="C3" s="440" t="n">
        <v>0</v>
      </c>
      <c r="D3" s="440" t="n">
        <v>0.0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0.0</v>
      </c>
      <c r="C4" s="120" t="n">
        <v>0</v>
      </c>
      <c r="D4" s="120" t="n">
        <v>0.0</v>
      </c>
      <c r="E4" s="120"/>
      <c r="F4" s="120" t="n">
        <v>0.0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0.0</v>
      </c>
      <c r="C5" s="440" t="n">
        <v>0</v>
      </c>
      <c r="D5" s="440" t="n">
        <v>0.0</v>
      </c>
      <c r="E5" s="440"/>
      <c r="F5" s="440" t="n">
        <v>0.0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46854.17</v>
      </c>
      <c r="F9" s="149"/>
      <c r="G9" s="133"/>
      <c r="H9" s="442" t="n">
        <f aca="false">B7+D7+F7+H3</f>
        <v>47687.5</v>
      </c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550</v>
      </c>
      <c r="F10" s="151"/>
      <c r="G10" s="152"/>
      <c r="H10" s="441" t="n">
        <v>550.0</v>
      </c>
      <c r="I10" s="2"/>
      <c r="J10" s="2"/>
      <c r="K10" s="1" t="s">
        <v>19</v>
      </c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  <c r="L12" s="0"/>
      <c r="M12" s="0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585</v>
      </c>
      <c r="F13" s="151"/>
      <c r="G13" s="152"/>
      <c r="H13" s="441" t="n">
        <v>585.0</v>
      </c>
      <c r="I13" s="2"/>
      <c r="J13" s="2"/>
      <c r="L13" s="0"/>
      <c r="M13" s="0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55.0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0</v>
      </c>
      <c r="F16" s="151"/>
      <c r="G16" s="152"/>
      <c r="H16" s="441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 t="n">
        <v>0</v>
      </c>
      <c r="F20" s="158"/>
      <c r="G20" s="163"/>
      <c r="H20" s="444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349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386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7" t="n">
        <v>35.0</v>
      </c>
      <c r="P29" s="208"/>
    </row>
    <row r="30" customFormat="false" ht="17.9" hidden="false" customHeight="false" outlineLevel="0" collapsed="false">
      <c r="A30" s="31" t="s">
        <v>181</v>
      </c>
      <c r="B30" s="100" t="s">
        <v>387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35000.0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9600.0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350</v>
      </c>
      <c r="F32" s="130"/>
      <c r="G32" s="130"/>
      <c r="H32" s="33"/>
      <c r="I32" s="2"/>
      <c r="J32" s="29" t="s">
        <v>36</v>
      </c>
      <c r="K32" s="448" t="n">
        <v>2344.6499999999996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1396.7304053987</v>
      </c>
      <c r="F33" s="228"/>
      <c r="G33" s="228"/>
      <c r="H33" s="47"/>
      <c r="I33" s="2"/>
      <c r="J33" s="34" t="s">
        <v>351</v>
      </c>
      <c r="K33" s="48" t="n">
        <f aca="false">H21-H11+(H16*20%)</f>
        <v>48877.5</v>
      </c>
      <c r="L33" s="1" t="n">
        <f aca="false">H21-H11+(H16*20%)</f>
        <v>48877.5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352</v>
      </c>
      <c r="B35" s="130" t="s">
        <v>353</v>
      </c>
      <c r="C35" s="130"/>
      <c r="D35" s="208"/>
      <c r="E35" s="130" t="s">
        <v>354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1329.7404053987</v>
      </c>
      <c r="B36" s="228" t="n">
        <f aca="false">IF(B26="YES", K42, "0.00")</f>
        <v>66.99</v>
      </c>
      <c r="C36" s="228"/>
      <c r="D36" s="228"/>
      <c r="E36" s="228" t="n">
        <f aca="false">K31</f>
        <v>9600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355</v>
      </c>
      <c r="B39" s="130" t="s">
        <v>356</v>
      </c>
      <c r="C39" s="130"/>
      <c r="D39" s="208"/>
      <c r="E39" s="130" t="s">
        <v>357</v>
      </c>
      <c r="F39" s="183"/>
      <c r="G39" s="183"/>
      <c r="H39" s="47"/>
      <c r="J39" s="2" t="s">
        <v>84</v>
      </c>
      <c r="K39" s="2" t="n">
        <f aca="false">K33</f>
        <v>48877.5</v>
      </c>
      <c r="L39" s="2" t="n">
        <f aca="false">(L47*K46)+K44</f>
        <v>29898.9542532849</v>
      </c>
      <c r="N39" s="1" t="n">
        <f aca="false">K39-L39</f>
        <v>18978.5457467151</v>
      </c>
      <c r="P39" s="208"/>
    </row>
    <row r="40" customFormat="false" ht="17.35" hidden="false" customHeight="false" outlineLevel="0" collapsed="false">
      <c r="A40" s="103" t="n">
        <f aca="false">E36*A45/100</f>
        <v>9600</v>
      </c>
      <c r="B40" s="103" t="n">
        <f aca="false">IF(B26="YES", K42, "0.00")</f>
        <v>66.99</v>
      </c>
      <c r="C40" s="103"/>
      <c r="D40" s="103"/>
      <c r="E40" s="179" t="n">
        <f aca="false">K32</f>
        <v>2344.65</v>
      </c>
      <c r="F40" s="183"/>
      <c r="G40" s="183"/>
      <c r="H40" s="47"/>
      <c r="J40" s="2" t="s">
        <v>106</v>
      </c>
      <c r="K40" s="2" t="n">
        <f aca="false">(A40)/1.2</f>
        <v>8000</v>
      </c>
      <c r="L40" s="2" t="n">
        <f aca="false">K39-L39</f>
        <v>18978.5457467151</v>
      </c>
      <c r="N40" s="1" t="n">
        <f aca="false">N38-N39</f>
        <v>-16066.8657467151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358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359</v>
      </c>
      <c r="K42" s="2" t="n">
        <f aca="false">(K32/K36)*C45/100</f>
        <v>66.99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360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361</v>
      </c>
      <c r="K44" s="2" t="n">
        <f aca="false">(K40/(1+K41)^(K36+1))</f>
        <v>6586.14214929175</v>
      </c>
      <c r="L44" s="2"/>
      <c r="P44" s="208"/>
    </row>
    <row r="45" customFormat="false" ht="17.35" hidden="false" customHeight="false" outlineLevel="0" collapsed="false">
      <c r="A45" s="449" t="n">
        <v>100.0</v>
      </c>
      <c r="B45" s="130"/>
      <c r="C45" s="62" t="n">
        <v>100.0</v>
      </c>
      <c r="D45" s="62"/>
      <c r="E45" s="62"/>
      <c r="F45" s="130"/>
      <c r="G45" s="130"/>
      <c r="H45" s="33"/>
      <c r="J45" s="2" t="s">
        <v>362</v>
      </c>
      <c r="K45" s="2" t="n">
        <f aca="false">(K39-K44)</f>
        <v>42291.3578507082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363</v>
      </c>
      <c r="K46" s="2" t="n">
        <f aca="false">((1-(1/((1+K41)^K36)))/K41)</f>
        <v>31.8042210938366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364</v>
      </c>
      <c r="K47" s="2" t="n">
        <f aca="false">K45/K46</f>
        <v>1329.7404053987</v>
      </c>
      <c r="L47" s="2" t="n">
        <f aca="false">L49-K42</f>
        <v>733.01</v>
      </c>
      <c r="M47" s="1" t="n">
        <f aca="false">K47-L47</f>
        <v>596.730405398704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365</v>
      </c>
      <c r="K48" s="2" t="n">
        <f aca="false">IF(B26="YES", K47+K42, K47)</f>
        <v>1396.7304053987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366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1396.7304053987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57885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57885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57885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0.0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25053.9996087026</v>
      </c>
      <c r="C65" s="130"/>
      <c r="D65" s="130"/>
      <c r="E65" s="109"/>
      <c r="F65" s="109"/>
      <c r="G65" s="109"/>
      <c r="H65" s="33"/>
      <c r="J65" s="56" t="s">
        <v>90</v>
      </c>
      <c r="K65" s="65" t="n">
        <f aca="false">(K89*K59)-(K47*K29)</f>
        <v>4672.71417168699</v>
      </c>
      <c r="L65" s="130"/>
      <c r="M65" s="130"/>
      <c r="N65" s="109"/>
      <c r="O65" s="109"/>
      <c r="P65" s="109"/>
      <c r="Q65" s="33"/>
      <c r="S65" s="56" t="s">
        <v>90</v>
      </c>
      <c r="T65" s="65" t="n">
        <f aca="false">(T89*T59)-(K47*K29)</f>
        <v>237.909775155269</v>
      </c>
      <c r="U65" s="130"/>
      <c r="V65" s="130"/>
      <c r="W65" s="109"/>
      <c r="X65" s="109"/>
      <c r="Y65" s="109"/>
      <c r="Z65" s="33"/>
      <c r="AB65" s="56" t="s">
        <v>90</v>
      </c>
      <c r="AC65" s="65" t="n">
        <f aca="false">(AC89*AC59)-(K47*K29)</f>
        <v>237.909775155269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552.65801875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4281.078125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566.790625</v>
      </c>
      <c r="U68" s="130"/>
      <c r="V68" s="130"/>
      <c r="W68" s="109"/>
      <c r="X68" s="109"/>
      <c r="Y68" s="109"/>
      <c r="Z68" s="33"/>
      <c r="AB68" s="56" t="s">
        <v>93</v>
      </c>
      <c r="AC68" s="65" t="n">
        <f aca="false">AH158*AC67</f>
        <v>445.214833958333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1329.7404053987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1329.7404053987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1396.7304053987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1396.7304053987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67730.004</v>
      </c>
      <c r="C81" s="130"/>
      <c r="D81" s="130"/>
      <c r="E81" s="109"/>
      <c r="F81" s="25" t="s">
        <v>105</v>
      </c>
      <c r="G81" s="27" t="n">
        <f aca="false">G158</f>
        <v>67730.004</v>
      </c>
      <c r="H81" s="33"/>
      <c r="J81" s="25" t="s">
        <v>105</v>
      </c>
      <c r="K81" s="27" t="n">
        <f aca="false">P158</f>
        <v>37655</v>
      </c>
      <c r="L81" s="130"/>
      <c r="M81" s="130"/>
      <c r="N81" s="109"/>
      <c r="O81" s="109"/>
      <c r="P81" s="109"/>
      <c r="Q81" s="33"/>
      <c r="S81" s="25" t="s">
        <v>105</v>
      </c>
      <c r="T81" s="27" t="n">
        <f aca="false">Y158</f>
        <v>45468.749</v>
      </c>
      <c r="U81" s="130"/>
      <c r="V81" s="130"/>
      <c r="W81" s="109"/>
      <c r="X81" s="109"/>
      <c r="Y81" s="109"/>
      <c r="Z81" s="33"/>
      <c r="AB81" s="25" t="s">
        <v>105</v>
      </c>
      <c r="AC81" s="27" t="n">
        <f aca="false">AH158</f>
        <v>45468.749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9600</v>
      </c>
      <c r="C82" s="130"/>
      <c r="D82" s="130"/>
      <c r="E82" s="109"/>
      <c r="F82" s="31" t="s">
        <v>106</v>
      </c>
      <c r="G82" s="33" t="n">
        <f aca="false">IF(A111 = "Yes", A40, 0)</f>
        <v>9600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9600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9600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130"/>
      <c r="D85" s="130"/>
      <c r="E85" s="109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6875.35612118848</v>
      </c>
      <c r="C86" s="130"/>
      <c r="D86" s="130"/>
      <c r="E86" s="109"/>
      <c r="F86" s="31" t="s">
        <v>110</v>
      </c>
      <c r="G86" s="33" t="n">
        <f aca="false">(G82/((1+G84)^(G85+1)))</f>
        <v>7946.1805031205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6564.9851676575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6564.9851676575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28.8995114056174</v>
      </c>
      <c r="C87" s="130"/>
      <c r="D87" s="130"/>
      <c r="E87" s="109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60854.6478788115</v>
      </c>
      <c r="C88" s="130"/>
      <c r="D88" s="130"/>
      <c r="E88" s="109"/>
      <c r="F88" s="31" t="s">
        <v>112</v>
      </c>
      <c r="G88" s="33" t="n">
        <f aca="false">G81-G86</f>
        <v>59783.8234968795</v>
      </c>
      <c r="H88" s="33"/>
      <c r="J88" s="31" t="s">
        <v>112</v>
      </c>
      <c r="K88" s="33" t="n">
        <f aca="false">K81-K86</f>
        <v>37655</v>
      </c>
      <c r="L88" s="130"/>
      <c r="M88" s="130"/>
      <c r="N88" s="109"/>
      <c r="O88" s="109"/>
      <c r="P88" s="109"/>
      <c r="Q88" s="33"/>
      <c r="S88" s="31" t="s">
        <v>112</v>
      </c>
      <c r="T88" s="33" t="n">
        <f aca="false">T81-T86</f>
        <v>38903.7638323425</v>
      </c>
      <c r="U88" s="130"/>
      <c r="V88" s="130"/>
      <c r="W88" s="109"/>
      <c r="X88" s="109"/>
      <c r="Y88" s="109"/>
      <c r="Z88" s="33"/>
      <c r="AB88" s="31" t="s">
        <v>112</v>
      </c>
      <c r="AC88" s="33" t="n">
        <f aca="false">AC81-AC86</f>
        <v>38903.7638323425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2105.73275875463</v>
      </c>
      <c r="C89" s="130"/>
      <c r="D89" s="130"/>
      <c r="E89" s="109"/>
      <c r="F89" s="31" t="s">
        <v>113</v>
      </c>
      <c r="G89" s="33" t="n">
        <f aca="false">(G88/G87)</f>
        <v>1929.9738562329</v>
      </c>
      <c r="H89" s="33"/>
      <c r="J89" s="31" t="s">
        <v>113</v>
      </c>
      <c r="K89" s="33" t="n">
        <f aca="false">(K88/K87)</f>
        <v>1506.2831870777</v>
      </c>
      <c r="L89" s="130"/>
      <c r="M89" s="130"/>
      <c r="N89" s="109"/>
      <c r="O89" s="109"/>
      <c r="P89" s="109"/>
      <c r="Q89" s="33"/>
      <c r="S89" s="31" t="s">
        <v>113</v>
      </c>
      <c r="T89" s="33" t="n">
        <f aca="false">(T88/T87)</f>
        <v>1375.84776365029</v>
      </c>
      <c r="U89" s="130"/>
      <c r="V89" s="130"/>
      <c r="W89" s="109"/>
      <c r="X89" s="109"/>
      <c r="Y89" s="109"/>
      <c r="Z89" s="33"/>
      <c r="AB89" s="31" t="s">
        <v>113</v>
      </c>
      <c r="AC89" s="33" t="n">
        <f aca="false">(AC88/AC87)</f>
        <v>1375.84776365029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71594.9137976573</v>
      </c>
      <c r="C90" s="130"/>
      <c r="D90" s="130"/>
      <c r="E90" s="109"/>
      <c r="F90" s="31" t="s">
        <v>114</v>
      </c>
      <c r="G90" s="33" t="n">
        <f aca="false">((G89*(G85))+G77)</f>
        <v>65619.1111119187</v>
      </c>
      <c r="H90" s="33"/>
      <c r="J90" s="31" t="s">
        <v>114</v>
      </c>
      <c r="K90" s="33" t="n">
        <f aca="false">((K89*(K85))+K77)</f>
        <v>52719.9115477193</v>
      </c>
      <c r="L90" s="130"/>
      <c r="M90" s="130"/>
      <c r="N90" s="109"/>
      <c r="O90" s="109"/>
      <c r="P90" s="109"/>
      <c r="Q90" s="33"/>
      <c r="S90" s="31" t="s">
        <v>114</v>
      </c>
      <c r="T90" s="33" t="n">
        <f aca="false">(T89*(T85))+T77</f>
        <v>46778.8239641099</v>
      </c>
      <c r="U90" s="130"/>
      <c r="V90" s="130"/>
      <c r="W90" s="109"/>
      <c r="X90" s="109"/>
      <c r="Y90" s="109"/>
      <c r="Z90" s="33"/>
      <c r="AB90" s="31" t="s">
        <v>114</v>
      </c>
      <c r="AC90" s="33" t="n">
        <f aca="false">(AC89*(AC59))+AC77</f>
        <v>46778.8239641099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115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115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71594.9137976573</v>
      </c>
      <c r="C92" s="130"/>
      <c r="D92" s="130"/>
      <c r="E92" s="109"/>
      <c r="F92" s="56" t="s">
        <v>116</v>
      </c>
      <c r="G92" s="65" t="n">
        <f aca="false">(G90+G91)</f>
        <v>65619.1111119187</v>
      </c>
      <c r="H92" s="33"/>
      <c r="J92" s="56" t="s">
        <v>116</v>
      </c>
      <c r="K92" s="65" t="n">
        <f aca="false">(K90+K91)</f>
        <v>52719.9115477193</v>
      </c>
      <c r="L92" s="130"/>
      <c r="M92" s="130"/>
      <c r="N92" s="109"/>
      <c r="O92" s="109"/>
      <c r="P92" s="109"/>
      <c r="Q92" s="33"/>
      <c r="S92" s="56" t="s">
        <v>116</v>
      </c>
      <c r="T92" s="65" t="n">
        <f aca="false">(T90+T91)</f>
        <v>46778.8239641099</v>
      </c>
      <c r="U92" s="130"/>
      <c r="V92" s="130"/>
      <c r="W92" s="109"/>
      <c r="X92" s="109"/>
      <c r="Y92" s="109"/>
      <c r="Z92" s="33"/>
      <c r="AB92" s="56" t="s">
        <v>116</v>
      </c>
      <c r="AC92" s="65" t="n">
        <f aca="false">(AC90+AC91)</f>
        <v>46778.8239641099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n">
        <f aca="false">IF(B26="YES",((E40/B85)*(1+A108)*(C45/100)),"0")</f>
        <v>89.6483823529412</v>
      </c>
      <c r="C94" s="130"/>
      <c r="D94" s="130"/>
      <c r="E94" s="109"/>
      <c r="F94" s="88" t="s">
        <v>117</v>
      </c>
      <c r="G94" s="259" t="n">
        <f aca="false">IF(B26="YES",((E40/B85)*(1+A108)*(C45/100)),"0")</f>
        <v>89.6483823529412</v>
      </c>
      <c r="H94" s="33"/>
      <c r="J94" s="88" t="s">
        <v>117</v>
      </c>
      <c r="K94" s="89" t="n">
        <f aca="false">((E40/K85)*(1+J108))*1.2</f>
        <v>104.5044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82.7523529411765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99.3028235294117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2105.73275875463</v>
      </c>
      <c r="C95" s="130"/>
      <c r="D95" s="130"/>
      <c r="E95" s="109"/>
      <c r="F95" s="91" t="s">
        <v>118</v>
      </c>
      <c r="G95" s="92" t="n">
        <f aca="false">G92/(G85)</f>
        <v>1929.9738562329</v>
      </c>
      <c r="H95" s="33"/>
      <c r="J95" s="91" t="s">
        <v>118</v>
      </c>
      <c r="K95" s="92" t="n">
        <f aca="false">K92/(K85)</f>
        <v>1506.2831870777</v>
      </c>
      <c r="L95" s="130"/>
      <c r="M95" s="130"/>
      <c r="N95" s="109"/>
      <c r="O95" s="109"/>
      <c r="P95" s="109"/>
      <c r="Q95" s="33"/>
      <c r="S95" s="91" t="s">
        <v>118</v>
      </c>
      <c r="T95" s="92" t="n">
        <f aca="false">T92/(T85)</f>
        <v>1375.84776365029</v>
      </c>
      <c r="U95" s="130"/>
      <c r="V95" s="130"/>
      <c r="W95" s="109"/>
      <c r="X95" s="109"/>
      <c r="Y95" s="109"/>
      <c r="Z95" s="33"/>
      <c r="AB95" s="91" t="s">
        <v>118</v>
      </c>
      <c r="AC95" s="92" t="n">
        <f aca="false">AC92/(AC59)</f>
        <v>1375.84776365029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2195.38114110757</v>
      </c>
      <c r="C96" s="130"/>
      <c r="D96" s="130"/>
      <c r="E96" s="109"/>
      <c r="F96" s="93" t="s">
        <v>119</v>
      </c>
      <c r="G96" s="94" t="n">
        <f aca="false">G94+G95</f>
        <v>2019.62223858584</v>
      </c>
      <c r="H96" s="33"/>
      <c r="J96" s="93" t="s">
        <v>119</v>
      </c>
      <c r="K96" s="94" t="n">
        <f aca="false">(K94+K95)</f>
        <v>1610.7875870777</v>
      </c>
      <c r="L96" s="130"/>
      <c r="M96" s="130"/>
      <c r="N96" s="109"/>
      <c r="O96" s="109"/>
      <c r="P96" s="109"/>
      <c r="Q96" s="33"/>
      <c r="S96" s="93" t="s">
        <v>119</v>
      </c>
      <c r="T96" s="94" t="n">
        <f aca="false">T94+T95</f>
        <v>1458.60011659147</v>
      </c>
      <c r="U96" s="130"/>
      <c r="V96" s="130"/>
      <c r="W96" s="109"/>
      <c r="X96" s="109"/>
      <c r="Y96" s="109"/>
      <c r="Z96" s="33"/>
      <c r="AB96" s="93" t="s">
        <v>119</v>
      </c>
      <c r="AC96" s="94" t="n">
        <f aca="false">AC94+AC95</f>
        <v>1475.1505871797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386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0.3</v>
      </c>
      <c r="B108" s="103" t="s">
        <v>409</v>
      </c>
      <c r="C108" s="103"/>
      <c r="D108" s="103" t="n">
        <v>0</v>
      </c>
      <c r="E108" s="104" t="n">
        <f aca="false">B83</f>
        <v>0.115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386</v>
      </c>
      <c r="B111" s="103" t="n">
        <v>1000.0</v>
      </c>
      <c r="C111" s="103"/>
      <c r="D111" s="103"/>
      <c r="E111" s="103" t="n">
        <v>1000.0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406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25" t="s">
        <v>149</v>
      </c>
      <c r="K121" s="116" t="n">
        <f aca="false">B3</f>
        <v>46854.17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833.33</v>
      </c>
      <c r="P121" s="117" t="n">
        <f aca="false">O121</f>
        <v>833.33</v>
      </c>
      <c r="Q121" s="118" t="n">
        <f aca="false">H3</f>
        <v>0</v>
      </c>
      <c r="S121" s="25" t="s">
        <v>149</v>
      </c>
      <c r="T121" s="116" t="n">
        <f aca="false">B3</f>
        <v>46854.17</v>
      </c>
      <c r="U121" s="117" t="n">
        <f aca="false">T121</f>
        <v>46854.17</v>
      </c>
      <c r="V121" s="116" t="n">
        <f aca="false">D3</f>
        <v>0</v>
      </c>
      <c r="W121" s="117" t="n">
        <f aca="false">V121</f>
        <v>0</v>
      </c>
      <c r="X121" s="116" t="n">
        <f aca="false">F3</f>
        <v>833.33</v>
      </c>
      <c r="Y121" s="117" t="n">
        <f aca="false">X121</f>
        <v>833.33</v>
      </c>
      <c r="Z121" s="118" t="n">
        <f aca="false">H3</f>
        <v>0</v>
      </c>
      <c r="AB121" s="25" t="s">
        <v>149</v>
      </c>
      <c r="AC121" s="116" t="n">
        <f aca="false">B3</f>
        <v>46854.17</v>
      </c>
      <c r="AD121" s="117" t="n">
        <f aca="false">AC121</f>
        <v>46854.17</v>
      </c>
      <c r="AE121" s="116" t="n">
        <f aca="false">D3</f>
        <v>0</v>
      </c>
      <c r="AF121" s="117" t="n">
        <f aca="false">AE121</f>
        <v>0</v>
      </c>
      <c r="AG121" s="116" t="n">
        <f aca="false">F3</f>
        <v>833.33</v>
      </c>
      <c r="AH121" s="117" t="n">
        <f aca="false">AG121</f>
        <v>833.33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v>0.0</v>
      </c>
      <c r="D122" s="119" t="n">
        <f aca="false">D4</f>
        <v>0</v>
      </c>
      <c r="E122" s="120" t="n">
        <v>0.0</v>
      </c>
      <c r="F122" s="119" t="n">
        <f aca="false">F4</f>
        <v>0</v>
      </c>
      <c r="G122" s="451" t="n">
        <v>0.0</v>
      </c>
      <c r="H122" s="122"/>
      <c r="J122" s="31" t="s">
        <v>150</v>
      </c>
      <c r="K122" s="119" t="n">
        <f aca="false">B4</f>
        <v>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0</v>
      </c>
      <c r="P122" s="451" t="n">
        <f aca="false">O122</f>
        <v>0</v>
      </c>
      <c r="Q122" s="122"/>
      <c r="S122" s="31" t="s">
        <v>150</v>
      </c>
      <c r="T122" s="119" t="n">
        <f aca="false">B4</f>
        <v>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0</v>
      </c>
      <c r="Y122" s="451" t="n">
        <f aca="false">X122</f>
        <v>0</v>
      </c>
      <c r="Z122" s="122"/>
      <c r="AB122" s="31" t="s">
        <v>150</v>
      </c>
      <c r="AC122" s="119" t="n">
        <f aca="false">B4</f>
        <v>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0</v>
      </c>
      <c r="AH122" s="451" t="n">
        <f aca="false">AG122</f>
        <v>0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v>-9754.17</v>
      </c>
      <c r="D123" s="126" t="n">
        <f aca="false">D5</f>
        <v>0</v>
      </c>
      <c r="E123" s="117" t="n">
        <v>0.0</v>
      </c>
      <c r="F123" s="126" t="n">
        <f aca="false">F5</f>
        <v>0</v>
      </c>
      <c r="G123" s="117" t="n">
        <v>0.0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0</v>
      </c>
      <c r="P123" s="117" t="n">
        <f aca="false">O123</f>
        <v>0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0</v>
      </c>
      <c r="Y123" s="117" t="n">
        <f aca="false">X123</f>
        <v>0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0</v>
      </c>
      <c r="AH123" s="117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-9754.17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0</v>
      </c>
      <c r="P124" s="127" t="n">
        <f aca="false">(P121*P122)+P123</f>
        <v>0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11713.5425</v>
      </c>
      <c r="V124" s="126" t="n">
        <f aca="false">(V121*V122)+V123</f>
        <v>0</v>
      </c>
      <c r="W124" s="127" t="n">
        <f aca="false">(W121*W122)+W123</f>
        <v>0</v>
      </c>
      <c r="X124" s="126" t="n">
        <f aca="false">(X121*X122)+X123</f>
        <v>0</v>
      </c>
      <c r="Y124" s="127" t="n">
        <f aca="false">(Y121*Y122)+Y123</f>
        <v>0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11713.5425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0</v>
      </c>
      <c r="AH124" s="127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46854.17</v>
      </c>
      <c r="C125" s="129" t="n">
        <f aca="false">C121-C124</f>
        <v>56608.34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56" t="s">
        <v>153</v>
      </c>
      <c r="K125" s="128" t="n">
        <f aca="false">K121-K124</f>
        <v>46854.17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833.33</v>
      </c>
      <c r="P125" s="129" t="n">
        <f aca="false">P121-P124</f>
        <v>833.33</v>
      </c>
      <c r="Q125" s="65"/>
      <c r="S125" s="56" t="s">
        <v>153</v>
      </c>
      <c r="T125" s="128" t="n">
        <f aca="false">T121-T124</f>
        <v>46854.17</v>
      </c>
      <c r="U125" s="129" t="n">
        <f aca="false">U121-U124</f>
        <v>35140.6275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833.33</v>
      </c>
      <c r="Y125" s="129" t="n">
        <f aca="false">Y121-Y124</f>
        <v>833.33</v>
      </c>
      <c r="Z125" s="65"/>
      <c r="AB125" s="56" t="s">
        <v>153</v>
      </c>
      <c r="AC125" s="128" t="n">
        <f aca="false">AC121-AC124</f>
        <v>46854.17</v>
      </c>
      <c r="AD125" s="129" t="n">
        <f aca="false">AD121-AD124</f>
        <v>35140.6275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833.33</v>
      </c>
      <c r="AH125" s="129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57441.67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47687.5</v>
      </c>
      <c r="Q135" s="150" t="n">
        <f aca="false">L125+N125+P125+Q128</f>
        <v>29462.5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47687.5</v>
      </c>
      <c r="Z135" s="150" t="n">
        <f aca="false">U125+W125+Y125+Z128</f>
        <v>35973.9575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47687.5</v>
      </c>
      <c r="AI135" s="150" t="n">
        <f aca="false">AD125+AF125+AH125+AI128</f>
        <v>35973.9575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550</v>
      </c>
      <c r="Q136" s="33" t="n">
        <f aca="false">P136</f>
        <v>550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550</v>
      </c>
      <c r="Z136" s="33" t="n">
        <f aca="false">Y136</f>
        <v>550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11598.334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9647.5</v>
      </c>
      <c r="Q137" s="33" t="n">
        <f aca="false">(Q135+Q136)*20%</f>
        <v>6002.5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9647.5</v>
      </c>
      <c r="Z137" s="33" t="n">
        <f aca="false">(Z135+Z136)*20%</f>
        <v>7304.7915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585</v>
      </c>
      <c r="Q139" s="33" t="n">
        <f aca="false">P139</f>
        <v>585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585</v>
      </c>
      <c r="Z139" s="33" t="n">
        <f aca="false">Y139</f>
        <v>585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58525</v>
      </c>
      <c r="H141" s="154" t="n">
        <f aca="false">(H135+H136+H139+H140+H137)-H138</f>
        <v>70230.004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58525</v>
      </c>
      <c r="Q141" s="154" t="n">
        <f aca="false">(Q135+Q136+Q139+Q140+Q137)-Q138</f>
        <v>36655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58525</v>
      </c>
      <c r="Z141" s="154" t="n">
        <f aca="false">(Z135+Z136+Z139+Z140+Z137)-Z138</f>
        <v>44468.749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58525</v>
      </c>
      <c r="AI141" s="154" t="n">
        <f aca="false">(AI135+AI136+AI139+AI140+AI137)-AI138</f>
        <v>44468.749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58525</v>
      </c>
      <c r="H147" s="161" t="n">
        <f aca="false">H141-((H144*1.2)+(H145*1.2)+(H146*1.2)+(H142*1.2))</f>
        <v>70230.004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58525</v>
      </c>
      <c r="Q147" s="161" t="n">
        <f aca="false">Q141-((Q144*1.2)+(Q145*1.2)+(Q146*1.2)+(Q142*1.2))</f>
        <v>36655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58525</v>
      </c>
      <c r="Z147" s="161" t="n">
        <f aca="false">Z141-((Z144*1.2)+(Z145*1.2)+(Z146*1.2)+(Z142*1.2))</f>
        <v>44468.749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58525</v>
      </c>
      <c r="AI147" s="161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9754.17</v>
      </c>
      <c r="I148" s="1" t="n">
        <f aca="false">(H148-G81)/1.2</f>
        <v>-48313.195</v>
      </c>
      <c r="J148" s="151" t="s">
        <v>172</v>
      </c>
      <c r="K148" s="151"/>
      <c r="L148" s="151"/>
      <c r="M148" s="151"/>
      <c r="N148" s="151"/>
      <c r="O148" s="151"/>
      <c r="P148" s="152"/>
      <c r="Q148" s="40" t="n">
        <f aca="false">Q147-P147</f>
        <v>-21870</v>
      </c>
      <c r="S148" s="151" t="s">
        <v>172</v>
      </c>
      <c r="T148" s="151"/>
      <c r="U148" s="151"/>
      <c r="V148" s="151"/>
      <c r="W148" s="151"/>
      <c r="X148" s="151"/>
      <c r="Y148" s="152"/>
      <c r="Z148" s="40" t="n">
        <f aca="false">Z147-Y147</f>
        <v>-14056.251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n">
        <f aca="false">AI147-AH147</f>
        <v>-14056.251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0.0</v>
      </c>
      <c r="F152" s="103"/>
      <c r="G152" s="103" t="n">
        <v>1000.0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500.0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67730.004</v>
      </c>
      <c r="H158" s="167"/>
      <c r="J158" s="166" t="s">
        <v>179</v>
      </c>
      <c r="K158" s="130"/>
      <c r="L158" s="130"/>
      <c r="M158" s="109"/>
      <c r="N158" s="130"/>
      <c r="O158" s="109"/>
      <c r="P158" s="167" t="n">
        <f aca="false">Q147-P154-P157</f>
        <v>37655</v>
      </c>
      <c r="Q158" s="167"/>
      <c r="S158" s="166" t="s">
        <v>179</v>
      </c>
      <c r="T158" s="130"/>
      <c r="U158" s="130"/>
      <c r="V158" s="109"/>
      <c r="W158" s="130"/>
      <c r="X158" s="109"/>
      <c r="Y158" s="167" t="n">
        <f aca="false">Z147-Y154-Y157</f>
        <v>45468.749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n">
        <f aca="false">AI147-AH154-AH157</f>
        <v>45468.749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367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2105.73275875463</v>
      </c>
      <c r="B167" s="174" t="n">
        <f aca="false">B94</f>
        <v>89.6483823529412</v>
      </c>
      <c r="C167" s="171"/>
      <c r="D167" s="171"/>
      <c r="E167" s="174" t="n">
        <f aca="false">B96</f>
        <v>2195.38114110757</v>
      </c>
      <c r="F167" s="23"/>
      <c r="G167" s="23" t="n">
        <f aca="false">ROUND(G95, 2)</f>
        <v>1929.97</v>
      </c>
      <c r="H167" s="33"/>
      <c r="J167" s="173" t="n">
        <f aca="false">K95</f>
        <v>1506.2831870777</v>
      </c>
      <c r="K167" s="174" t="n">
        <f aca="false">K94</f>
        <v>104.5044</v>
      </c>
      <c r="L167" s="171"/>
      <c r="M167" s="171"/>
      <c r="N167" s="174" t="n">
        <f aca="false">K96</f>
        <v>1610.7875870777</v>
      </c>
      <c r="O167" s="23"/>
      <c r="P167" s="23"/>
      <c r="Q167" s="33"/>
      <c r="S167" s="173" t="n">
        <f aca="false">T95</f>
        <v>1375.84776365029</v>
      </c>
      <c r="T167" s="174" t="n">
        <f aca="false">T94</f>
        <v>82.7523529411765</v>
      </c>
      <c r="U167" s="171"/>
      <c r="V167" s="171"/>
      <c r="W167" s="174" t="n">
        <f aca="false">T96</f>
        <v>1458.60011659147</v>
      </c>
      <c r="X167" s="23"/>
      <c r="Y167" s="23"/>
      <c r="Z167" s="33"/>
      <c r="AB167" s="173" t="n">
        <f aca="false">AC95</f>
        <v>1375.84776365029</v>
      </c>
      <c r="AC167" s="174" t="n">
        <f aca="false">AC94</f>
        <v>99.3028235294117</v>
      </c>
      <c r="AD167" s="171"/>
      <c r="AE167" s="171"/>
      <c r="AF167" s="174" t="n">
        <f aca="false">AC96</f>
        <v>1475.1505871797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225" t="n">
        <f aca="false">K30</f>
        <v>35000</v>
      </c>
      <c r="C170" s="178"/>
      <c r="D170" s="23"/>
      <c r="E170" s="179" t="n">
        <f aca="false">IF(A111="YES", A40, 0)</f>
        <v>9600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9600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9600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9600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57991.67</v>
      </c>
      <c r="B173" s="99" t="n">
        <f aca="false">H137</f>
        <v>11598.334</v>
      </c>
      <c r="C173" s="183"/>
      <c r="D173" s="23"/>
      <c r="E173" s="179" t="n">
        <f aca="false">H139+H140</f>
        <v>640</v>
      </c>
      <c r="F173" s="23"/>
      <c r="G173" s="23"/>
      <c r="H173" s="33"/>
      <c r="J173" s="182" t="n">
        <f aca="false">Q141-Q137-Q139-Q140</f>
        <v>30012.5</v>
      </c>
      <c r="K173" s="99" t="n">
        <f aca="false">Q137</f>
        <v>6002.5</v>
      </c>
      <c r="L173" s="183"/>
      <c r="M173" s="23"/>
      <c r="N173" s="179" t="n">
        <f aca="false">Q139+Q140</f>
        <v>640</v>
      </c>
      <c r="O173" s="23"/>
      <c r="P173" s="23"/>
      <c r="Q173" s="33"/>
      <c r="S173" s="182" t="n">
        <f aca="false">Z141-Z137-Z139-Z140</f>
        <v>36523.9575</v>
      </c>
      <c r="T173" s="99" t="n">
        <f aca="false">Z137</f>
        <v>7304.7915</v>
      </c>
      <c r="U173" s="183"/>
      <c r="V173" s="23"/>
      <c r="W173" s="179" t="n">
        <f aca="false">Z139+Z140</f>
        <v>640</v>
      </c>
      <c r="X173" s="23"/>
      <c r="Y173" s="23"/>
      <c r="Z173" s="33"/>
      <c r="AB173" s="182" t="n">
        <f aca="false">AI141-AI137-AI139-AI140</f>
        <v>36523.9575</v>
      </c>
      <c r="AC173" s="99" t="n">
        <f aca="false">AI137</f>
        <v>7304.7915</v>
      </c>
      <c r="AD173" s="183"/>
      <c r="AE173" s="23"/>
      <c r="AF173" s="179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70230.004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n">
        <f aca="false">Q141</f>
        <v>36655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44468.749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44468.749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67730.004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37655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45468.749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45468.749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13464.9097976573</v>
      </c>
      <c r="B182" s="99" t="str">
        <f aca="false">B114</f>
        <v>199.99</v>
      </c>
      <c r="C182" s="99"/>
      <c r="D182" s="23"/>
      <c r="E182" s="99" t="n">
        <f aca="false">E179+A182+(B182*1.2)+A185</f>
        <v>81444.9017976573</v>
      </c>
      <c r="F182" s="23"/>
      <c r="G182" s="23"/>
      <c r="H182" s="101"/>
      <c r="J182" s="107" t="n">
        <f aca="false">(J167*K59)+N185-N179-J185</f>
        <v>23158.6283606416</v>
      </c>
      <c r="K182" s="99" t="n">
        <f aca="false">K114</f>
        <v>239.99</v>
      </c>
      <c r="L182" s="99"/>
      <c r="M182" s="23"/>
      <c r="N182" s="99" t="n">
        <f aca="false">N179+J182+K182+J185</f>
        <v>61073.6183606416</v>
      </c>
      <c r="O182" s="23"/>
      <c r="P182" s="23"/>
      <c r="Q182" s="101"/>
      <c r="S182" s="107" t="n">
        <f aca="false">(S167*T59)+W185-W179-S185</f>
        <v>10910.0749641099</v>
      </c>
      <c r="T182" s="99" t="n">
        <f aca="false">T114</f>
        <v>199.99</v>
      </c>
      <c r="U182" s="99"/>
      <c r="V182" s="23"/>
      <c r="W182" s="99" t="n">
        <f aca="false">W179+S182+T182+S185</f>
        <v>56588.8139641099</v>
      </c>
      <c r="X182" s="23"/>
      <c r="Y182" s="23"/>
      <c r="Z182" s="101"/>
      <c r="AB182" s="107" t="n">
        <f aca="false">(AB167*AC59)+AF185-AF179-AB185</f>
        <v>10910.0749641099</v>
      </c>
      <c r="AC182" s="99" t="n">
        <f aca="false">AC114</f>
        <v>239.99</v>
      </c>
      <c r="AD182" s="99"/>
      <c r="AE182" s="23"/>
      <c r="AF182" s="99" t="n">
        <f aca="false">AF179+AB182+AC182+AB185</f>
        <v>56628.8139641099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2239.988</v>
      </c>
      <c r="C185" s="99"/>
      <c r="D185" s="23"/>
      <c r="E185" s="99" t="n">
        <f aca="false">E170+A185</f>
        <v>9610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9620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9610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9610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</f>
        <v>11.577</v>
      </c>
      <c r="B188" s="99" t="n">
        <f aca="false">(G158*B67)/1.2</f>
        <v>552.65801875</v>
      </c>
      <c r="C188" s="130"/>
      <c r="D188" s="130"/>
      <c r="E188" s="99" t="n">
        <f aca="false">(E40*A108)*0.1*(C45/100)</f>
        <v>70.3395</v>
      </c>
      <c r="F188" s="23"/>
      <c r="G188" s="23"/>
      <c r="H188" s="33"/>
      <c r="J188" s="107" t="n">
        <f aca="false">IF(N105="YES", H15*0.000002, 0)</f>
        <v>0.11705</v>
      </c>
      <c r="K188" s="99" t="n">
        <f aca="false">(P158*K67)/1.2</f>
        <v>2320.75086805556</v>
      </c>
      <c r="L188" s="130"/>
      <c r="M188" s="130"/>
      <c r="N188" s="99" t="n">
        <f aca="false">(E40*J108)*0.1</f>
        <v>70.3395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371.012361631944</v>
      </c>
      <c r="U188" s="130"/>
      <c r="V188" s="130"/>
      <c r="W188" s="99" t="n">
        <f aca="false">(E40*S108)*0.1</f>
        <v>46.893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371.012361631944</v>
      </c>
      <c r="AD188" s="130"/>
      <c r="AE188" s="130"/>
      <c r="AF188" s="99" t="n">
        <f aca="false">(E40*AB108)*0.1</f>
        <v>46.893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722.98751875</v>
      </c>
      <c r="C191" s="130"/>
      <c r="D191" s="130"/>
      <c r="E191" s="99" t="n">
        <f aca="false">H148</f>
        <v>9754.17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3531.08036805556</v>
      </c>
      <c r="L191" s="130"/>
      <c r="M191" s="130"/>
      <c r="N191" s="99" t="n">
        <f aca="false">Q148</f>
        <v>-21870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1517.89536163194</v>
      </c>
      <c r="U191" s="130"/>
      <c r="V191" s="130"/>
      <c r="W191" s="99" t="n">
        <f aca="false">Z148</f>
        <v>-14056.251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1557.89536163194</v>
      </c>
      <c r="AD191" s="130"/>
      <c r="AE191" s="130"/>
      <c r="AF191" s="99" t="n">
        <f aca="false">AI148</f>
        <v>-14056.251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2195.38114110757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1610.7875870777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1458.60011659147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1475.1505871797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368</v>
      </c>
      <c r="B200" s="130" t="s">
        <v>369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7488.976</v>
      </c>
      <c r="B201" s="183" t="n">
        <f aca="false">E179+A201+(B182*1.2)+A185</f>
        <v>75468.968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2105.73275875463</v>
      </c>
      <c r="B212" s="174" t="n">
        <f aca="false">B167</f>
        <v>89.6483823529412</v>
      </c>
      <c r="C212" s="171"/>
      <c r="D212" s="171"/>
      <c r="E212" s="174" t="n">
        <f aca="false">E167</f>
        <v>2195.38114110757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57991.67</v>
      </c>
      <c r="B215" s="99" t="n">
        <f aca="false">B173</f>
        <v>11598.334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70230.004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67730.004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13464.9097976573</v>
      </c>
      <c r="B224" s="99" t="str">
        <f aca="false">B182</f>
        <v>199.99</v>
      </c>
      <c r="C224" s="99"/>
      <c r="D224" s="109"/>
      <c r="E224" s="99" t="n">
        <f aca="false">E182</f>
        <v>81444.9017976573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2105.73275875463</v>
      </c>
      <c r="B230" s="99" t="n">
        <f aca="false">B167</f>
        <v>89.6483823529412</v>
      </c>
      <c r="C230" s="183"/>
      <c r="D230" s="183"/>
      <c r="E230" s="99" t="n">
        <f aca="false">E167</f>
        <v>2195.38114110757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9600</v>
      </c>
      <c r="B233" s="99" t="n">
        <f aca="false">E185</f>
        <v>9610</v>
      </c>
      <c r="C233" s="130"/>
      <c r="D233" s="130"/>
      <c r="E233" s="99" t="n">
        <f aca="false">A188</f>
        <v>11.577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9754.17</v>
      </c>
      <c r="B240" s="99" t="n">
        <f aca="false">B68</f>
        <v>552.65801875</v>
      </c>
      <c r="C240" s="130"/>
      <c r="D240" s="130"/>
      <c r="E240" s="99" t="n">
        <f aca="false">E188</f>
        <v>70.3395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10477.15751875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453" t="n">
        <f aca="false">(E182-B182)-(B201-B182-A185)</f>
        <v>5985.93379765727</v>
      </c>
      <c r="C254" s="194"/>
      <c r="D254" s="195" t="s">
        <v>213</v>
      </c>
      <c r="E254" s="195"/>
      <c r="F254" s="196" t="n">
        <f aca="false">F261+F267+F269+B270+B271</f>
        <v>663.1896225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803.385</v>
      </c>
      <c r="C255" s="194"/>
      <c r="D255" s="195" t="s">
        <v>215</v>
      </c>
      <c r="E255" s="195"/>
      <c r="F255" s="196" t="n">
        <f aca="false">(B254-F254)+B255</f>
        <v>6126.12917515727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B254</f>
        <v>5985.93379765727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0.00979166666666667</v>
      </c>
      <c r="C261" s="32"/>
      <c r="D261" s="163" t="s">
        <v>218</v>
      </c>
      <c r="E261" s="163"/>
      <c r="F261" s="148" t="n">
        <f aca="false">B68*1.2</f>
        <v>663.1896225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0.3</v>
      </c>
      <c r="C262" s="32"/>
      <c r="D262" s="163" t="s">
        <v>219</v>
      </c>
      <c r="E262" s="163"/>
      <c r="F262" s="143" t="n">
        <f aca="false">E240*10</f>
        <v>703.395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6126.12917515727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51" colorId="64" zoomScale="85" zoomScaleNormal="85" zoomScalePageLayoutView="100" workbookViewId="0">
      <selection pane="topLeft" activeCell="A162" activeCellId="0" sqref="A16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379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46854.17</v>
      </c>
      <c r="C3" s="440" t="n">
        <v>0</v>
      </c>
      <c r="D3" s="440" t="n">
        <v>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46854.17</v>
      </c>
      <c r="F9" s="149"/>
      <c r="G9" s="133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50</v>
      </c>
      <c r="F10" s="151"/>
      <c r="G10" s="152"/>
      <c r="H10" s="441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585</v>
      </c>
      <c r="F13" s="151"/>
      <c r="G13" s="152"/>
      <c r="H13" s="441" t="n">
        <v>585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120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349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19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7" t="n">
        <v>35</v>
      </c>
      <c r="P29" s="208"/>
    </row>
    <row r="30" customFormat="false" ht="17.9" hidden="false" customHeight="false" outlineLevel="0" collapsed="false">
      <c r="A30" s="31" t="s">
        <v>181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5760</v>
      </c>
      <c r="P31" s="208"/>
    </row>
    <row r="32" customFormat="false" ht="34.8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350</v>
      </c>
      <c r="F32" s="130"/>
      <c r="G32" s="130"/>
      <c r="H32" s="33"/>
      <c r="I32" s="2" t="n">
        <v>0</v>
      </c>
      <c r="J32" s="29" t="s">
        <v>36</v>
      </c>
      <c r="K32" s="448" t="n">
        <v>0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1412.57396550835</v>
      </c>
      <c r="F33" s="228"/>
      <c r="G33" s="228"/>
      <c r="H33" s="47"/>
      <c r="I33" s="2"/>
      <c r="J33" s="34" t="s">
        <v>351</v>
      </c>
      <c r="K33" s="48" t="n">
        <f aca="false">H21-H11+(H16*20%)</f>
        <v>48877.5</v>
      </c>
      <c r="L33" s="1" t="n">
        <f aca="false">H21-H11+(H16*20%)</f>
        <v>48877.5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352</v>
      </c>
      <c r="B35" s="130" t="s">
        <v>353</v>
      </c>
      <c r="C35" s="130"/>
      <c r="D35" s="208"/>
      <c r="E35" s="130" t="s">
        <v>354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1412.57396550835</v>
      </c>
      <c r="B36" s="228" t="str">
        <f aca="false">IF(B26="YES", K42, "0.00")</f>
        <v>0.00</v>
      </c>
      <c r="C36" s="228"/>
      <c r="D36" s="228"/>
      <c r="E36" s="228" t="n">
        <f aca="false">K31</f>
        <v>5760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355</v>
      </c>
      <c r="B39" s="130" t="s">
        <v>356</v>
      </c>
      <c r="C39" s="130"/>
      <c r="D39" s="208"/>
      <c r="E39" s="130" t="s">
        <v>357</v>
      </c>
      <c r="F39" s="183"/>
      <c r="G39" s="183"/>
      <c r="H39" s="47"/>
      <c r="J39" s="2" t="s">
        <v>84</v>
      </c>
      <c r="K39" s="2" t="n">
        <f aca="false">K33</f>
        <v>48877.5</v>
      </c>
      <c r="L39" s="2" t="n">
        <f aca="false">(L47*K46)+K44</f>
        <v>29395.0621646443</v>
      </c>
      <c r="N39" s="1" t="n">
        <f aca="false">K39-L39</f>
        <v>19482.4378353557</v>
      </c>
      <c r="P39" s="208"/>
    </row>
    <row r="40" customFormat="false" ht="17.35" hidden="false" customHeight="false" outlineLevel="0" collapsed="false">
      <c r="A40" s="103" t="n">
        <f aca="false">E36*A45/100</f>
        <v>5760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106</v>
      </c>
      <c r="K40" s="2" t="n">
        <f aca="false">(A40)/1.2</f>
        <v>4800</v>
      </c>
      <c r="L40" s="2" t="n">
        <f aca="false">K39-L39</f>
        <v>19482.4378353557</v>
      </c>
      <c r="N40" s="1" t="n">
        <f aca="false">N38-N39</f>
        <v>-16570.7578353557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358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359</v>
      </c>
      <c r="K42" s="2" t="n">
        <f aca="false">(K32/K36/100)*C45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360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361</v>
      </c>
      <c r="K44" s="2" t="n">
        <f aca="false">(K40/(1+K41)^(K36+1))</f>
        <v>3951.68528957505</v>
      </c>
      <c r="L44" s="2"/>
      <c r="P44" s="208"/>
    </row>
    <row r="45" customFormat="false" ht="17.35" hidden="false" customHeight="false" outlineLevel="0" collapsed="false">
      <c r="A45" s="505" t="n">
        <v>100</v>
      </c>
      <c r="B45" s="130"/>
      <c r="C45" s="506" t="n">
        <v>100</v>
      </c>
      <c r="D45" s="506"/>
      <c r="E45" s="506"/>
      <c r="F45" s="130"/>
      <c r="G45" s="130"/>
      <c r="H45" s="33"/>
      <c r="J45" s="2" t="s">
        <v>362</v>
      </c>
      <c r="K45" s="2" t="n">
        <f aca="false">(K39-K44)</f>
        <v>44925.814710425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363</v>
      </c>
      <c r="K46" s="2" t="n">
        <f aca="false">((1-(1/((1+K41)^K36)))/K41)</f>
        <v>31.8042210938366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364</v>
      </c>
      <c r="K47" s="2" t="n">
        <f aca="false">K45/K46</f>
        <v>1412.57396550835</v>
      </c>
      <c r="L47" s="2" t="n">
        <f aca="false">L49-K42</f>
        <v>800</v>
      </c>
      <c r="M47" s="1" t="n">
        <f aca="false">K47-L47</f>
        <v>612.573965508348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365</v>
      </c>
      <c r="K48" s="2" t="n">
        <f aca="false">IF(B26="YES", K47+K42, K47)</f>
        <v>1412.57396550835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366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1412.57396550835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57885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57885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57885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25390.3414098237</v>
      </c>
      <c r="C65" s="130"/>
      <c r="D65" s="130"/>
      <c r="E65" s="109"/>
      <c r="F65" s="109"/>
      <c r="G65" s="109"/>
      <c r="H65" s="33"/>
      <c r="J65" s="56" t="s">
        <v>90</v>
      </c>
      <c r="K65" s="65" t="n">
        <f aca="false">(K89*K59)-(K47*K29)</f>
        <v>1773.53956784947</v>
      </c>
      <c r="L65" s="130"/>
      <c r="M65" s="130"/>
      <c r="N65" s="109"/>
      <c r="O65" s="109"/>
      <c r="P65" s="109"/>
      <c r="Q65" s="33"/>
      <c r="S65" s="56" t="s">
        <v>90</v>
      </c>
      <c r="T65" s="65" t="n">
        <f aca="false">(T89*T59)-(K47*K29)</f>
        <v>17228.8532519684</v>
      </c>
      <c r="U65" s="130"/>
      <c r="V65" s="130"/>
      <c r="W65" s="109"/>
      <c r="X65" s="109"/>
      <c r="Y65" s="109"/>
      <c r="Z65" s="33"/>
      <c r="AB65" s="56" t="s">
        <v>90</v>
      </c>
      <c r="AC65" s="65" t="n">
        <f aca="false">(AC89*AC59)-(K47*K29)</f>
        <v>496.293774730148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552.65801875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4281.078125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566.790625</v>
      </c>
      <c r="U68" s="130"/>
      <c r="V68" s="130"/>
      <c r="W68" s="109"/>
      <c r="X68" s="109"/>
      <c r="Y68" s="109"/>
      <c r="Z68" s="33"/>
      <c r="AB68" s="56" t="s">
        <v>93</v>
      </c>
      <c r="AC68" s="65" t="n">
        <f aca="false">AH158*AC67</f>
        <v>445.214833958333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09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09"/>
      <c r="G77" s="109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1412.57396550835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1412.57396550835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1412.57396550835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1412.57396550835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67730.004</v>
      </c>
      <c r="C81" s="130"/>
      <c r="D81" s="130"/>
      <c r="E81" s="109"/>
      <c r="F81" s="25" t="s">
        <v>105</v>
      </c>
      <c r="G81" s="27" t="n">
        <f aca="false">G158</f>
        <v>67730.004</v>
      </c>
      <c r="H81" s="33"/>
      <c r="J81" s="25" t="s">
        <v>105</v>
      </c>
      <c r="K81" s="27" t="n">
        <f aca="false">P158</f>
        <v>37655</v>
      </c>
      <c r="L81" s="130"/>
      <c r="M81" s="130"/>
      <c r="N81" s="109"/>
      <c r="O81" s="109"/>
      <c r="P81" s="109"/>
      <c r="Q81" s="33"/>
      <c r="S81" s="25" t="s">
        <v>105</v>
      </c>
      <c r="T81" s="27" t="n">
        <f aca="false">Y158</f>
        <v>59384.43749</v>
      </c>
      <c r="U81" s="130"/>
      <c r="V81" s="130"/>
      <c r="W81" s="109"/>
      <c r="X81" s="109"/>
      <c r="Y81" s="109"/>
      <c r="Z81" s="33"/>
      <c r="AB81" s="25" t="s">
        <v>105</v>
      </c>
      <c r="AC81" s="27" t="n">
        <f aca="false">AH158</f>
        <v>45468.749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5760</v>
      </c>
      <c r="C82" s="130"/>
      <c r="D82" s="130"/>
      <c r="E82" s="109"/>
      <c r="F82" s="31" t="s">
        <v>106</v>
      </c>
      <c r="G82" s="33" t="n">
        <f aca="false">IF(A111 = "Yes", A40, 0)</f>
        <v>5760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5760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5760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5" t="n">
        <f aca="false">B62+B63+B64</f>
        <v>0.115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130"/>
      <c r="D85" s="130"/>
      <c r="E85" s="109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4125.21367271309</v>
      </c>
      <c r="C86" s="130"/>
      <c r="D86" s="130"/>
      <c r="E86" s="109"/>
      <c r="F86" s="31" t="s">
        <v>110</v>
      </c>
      <c r="G86" s="33" t="n">
        <f aca="false">(G82/((1+G84)^(G85+1)))</f>
        <v>4767.7083018723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3938.9911005945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3938.9911005945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28.8995114056174</v>
      </c>
      <c r="C87" s="130"/>
      <c r="D87" s="130"/>
      <c r="E87" s="109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63604.7903272869</v>
      </c>
      <c r="C88" s="130"/>
      <c r="D88" s="130"/>
      <c r="E88" s="109"/>
      <c r="F88" s="31" t="s">
        <v>112</v>
      </c>
      <c r="G88" s="33" t="n">
        <f aca="false">G81-G86</f>
        <v>62962.2956981277</v>
      </c>
      <c r="H88" s="33"/>
      <c r="J88" s="31" t="s">
        <v>112</v>
      </c>
      <c r="K88" s="33" t="n">
        <f aca="false">K81-K86</f>
        <v>37655</v>
      </c>
      <c r="L88" s="130"/>
      <c r="M88" s="130"/>
      <c r="N88" s="109"/>
      <c r="O88" s="109"/>
      <c r="P88" s="109"/>
      <c r="Q88" s="33"/>
      <c r="S88" s="31" t="s">
        <v>112</v>
      </c>
      <c r="T88" s="33" t="n">
        <f aca="false">T81-T86</f>
        <v>55445.4463894055</v>
      </c>
      <c r="U88" s="130"/>
      <c r="V88" s="130"/>
      <c r="W88" s="109"/>
      <c r="X88" s="109"/>
      <c r="Y88" s="109"/>
      <c r="Z88" s="33"/>
      <c r="AB88" s="31" t="s">
        <v>112</v>
      </c>
      <c r="AC88" s="33" t="n">
        <f aca="false">AC81-AC86</f>
        <v>41529.7578994055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2200.89500595929</v>
      </c>
      <c r="C89" s="130"/>
      <c r="D89" s="130"/>
      <c r="E89" s="109"/>
      <c r="F89" s="31" t="s">
        <v>113</v>
      </c>
      <c r="G89" s="33" t="n">
        <f aca="false">(G88/G87)</f>
        <v>2032.58302192958</v>
      </c>
      <c r="H89" s="33"/>
      <c r="J89" s="31" t="s">
        <v>113</v>
      </c>
      <c r="K89" s="33" t="n">
        <f aca="false">(K88/K87)</f>
        <v>1506.2831870777</v>
      </c>
      <c r="L89" s="130"/>
      <c r="M89" s="130"/>
      <c r="N89" s="109"/>
      <c r="O89" s="109"/>
      <c r="P89" s="109"/>
      <c r="Q89" s="33"/>
      <c r="S89" s="31" t="s">
        <v>113</v>
      </c>
      <c r="T89" s="33" t="n">
        <f aca="false">(T88/T87)</f>
        <v>1960.8512366106</v>
      </c>
      <c r="U89" s="130"/>
      <c r="V89" s="130"/>
      <c r="W89" s="109"/>
      <c r="X89" s="109"/>
      <c r="Y89" s="109"/>
      <c r="Z89" s="33"/>
      <c r="AB89" s="31" t="s">
        <v>113</v>
      </c>
      <c r="AC89" s="33" t="n">
        <f aca="false">(AC88/AC87)</f>
        <v>1468.71713433889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74830.4302026159</v>
      </c>
      <c r="C90" s="130"/>
      <c r="D90" s="130"/>
      <c r="E90" s="109"/>
      <c r="F90" s="31" t="s">
        <v>114</v>
      </c>
      <c r="G90" s="33" t="n">
        <f aca="false">((G89*(G85))+G77)</f>
        <v>69107.8227456056</v>
      </c>
      <c r="H90" s="33"/>
      <c r="J90" s="31" t="s">
        <v>114</v>
      </c>
      <c r="K90" s="33" t="n">
        <f aca="false">((K89*(K85))+K77)</f>
        <v>52719.9115477193</v>
      </c>
      <c r="L90" s="130"/>
      <c r="M90" s="130"/>
      <c r="N90" s="109"/>
      <c r="O90" s="109"/>
      <c r="P90" s="109"/>
      <c r="Q90" s="33"/>
      <c r="S90" s="31" t="s">
        <v>114</v>
      </c>
      <c r="T90" s="33" t="n">
        <f aca="false">(T89*(T85))+T77</f>
        <v>66668.9420447605</v>
      </c>
      <c r="U90" s="130"/>
      <c r="V90" s="130"/>
      <c r="W90" s="109"/>
      <c r="X90" s="109"/>
      <c r="Y90" s="109"/>
      <c r="Z90" s="33"/>
      <c r="AB90" s="31" t="s">
        <v>114</v>
      </c>
      <c r="AC90" s="33" t="n">
        <f aca="false">(AC89*(AC59))+AC77</f>
        <v>49936.3825675223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115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115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74830.4302026159</v>
      </c>
      <c r="C92" s="130"/>
      <c r="D92" s="130"/>
      <c r="E92" s="109"/>
      <c r="F92" s="56" t="s">
        <v>116</v>
      </c>
      <c r="G92" s="65" t="n">
        <f aca="false">(G90+G91)</f>
        <v>69107.8227456056</v>
      </c>
      <c r="H92" s="33"/>
      <c r="J92" s="56" t="s">
        <v>116</v>
      </c>
      <c r="K92" s="65" t="n">
        <f aca="false">(K90+K91)</f>
        <v>52719.9115477193</v>
      </c>
      <c r="L92" s="130"/>
      <c r="M92" s="130"/>
      <c r="N92" s="109"/>
      <c r="O92" s="109"/>
      <c r="P92" s="109"/>
      <c r="Q92" s="33"/>
      <c r="S92" s="56" t="s">
        <v>116</v>
      </c>
      <c r="T92" s="65" t="n">
        <f aca="false">(T90+T91)</f>
        <v>66668.9420447605</v>
      </c>
      <c r="U92" s="130"/>
      <c r="V92" s="130"/>
      <c r="W92" s="109"/>
      <c r="X92" s="109"/>
      <c r="Y92" s="109"/>
      <c r="Z92" s="33"/>
      <c r="AB92" s="56" t="s">
        <v>116</v>
      </c>
      <c r="AC92" s="65" t="n">
        <f aca="false">(AC90+AC91)</f>
        <v>49936.3825675223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89" t="str">
        <f aca="false">IF(B26="YES",((E40/B85)*(1+A108)*1.2*(C45/100)),"0")</f>
        <v>0</v>
      </c>
      <c r="C94" s="130"/>
      <c r="D94" s="130"/>
      <c r="E94" s="109"/>
      <c r="F94" s="88" t="s">
        <v>117</v>
      </c>
      <c r="G94" s="259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2200.89500595929</v>
      </c>
      <c r="C95" s="130"/>
      <c r="D95" s="130"/>
      <c r="E95" s="109"/>
      <c r="F95" s="91" t="s">
        <v>118</v>
      </c>
      <c r="G95" s="92" t="n">
        <f aca="false">G92/(G85)</f>
        <v>2032.58302192958</v>
      </c>
      <c r="H95" s="33"/>
      <c r="J95" s="91" t="s">
        <v>118</v>
      </c>
      <c r="K95" s="92" t="n">
        <f aca="false">K92/(K85)</f>
        <v>1506.2831870777</v>
      </c>
      <c r="L95" s="130"/>
      <c r="M95" s="130"/>
      <c r="N95" s="109"/>
      <c r="O95" s="109"/>
      <c r="P95" s="109"/>
      <c r="Q95" s="33"/>
      <c r="S95" s="91" t="s">
        <v>118</v>
      </c>
      <c r="T95" s="92" t="n">
        <f aca="false">T92/(T85)</f>
        <v>1960.8512366106</v>
      </c>
      <c r="U95" s="130"/>
      <c r="V95" s="130"/>
      <c r="W95" s="109"/>
      <c r="X95" s="109"/>
      <c r="Y95" s="109"/>
      <c r="Z95" s="33"/>
      <c r="AB95" s="91" t="s">
        <v>118</v>
      </c>
      <c r="AC95" s="92" t="n">
        <f aca="false">AC92/(AC59)</f>
        <v>1468.71713433889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(B94+B95)</f>
        <v>2200.89500595929</v>
      </c>
      <c r="C96" s="130"/>
      <c r="D96" s="130"/>
      <c r="E96" s="109"/>
      <c r="F96" s="93" t="s">
        <v>119</v>
      </c>
      <c r="G96" s="94" t="n">
        <f aca="false">G94+G95</f>
        <v>2032.58302192958</v>
      </c>
      <c r="H96" s="33"/>
      <c r="J96" s="93" t="s">
        <v>119</v>
      </c>
      <c r="K96" s="94" t="n">
        <f aca="false">(K94+K95)</f>
        <v>1506.2831870777</v>
      </c>
      <c r="L96" s="130"/>
      <c r="M96" s="130"/>
      <c r="N96" s="109"/>
      <c r="O96" s="109"/>
      <c r="P96" s="109"/>
      <c r="Q96" s="33"/>
      <c r="S96" s="93" t="s">
        <v>119</v>
      </c>
      <c r="T96" s="94" t="n">
        <f aca="false">T94+T95</f>
        <v>1960.8512366106</v>
      </c>
      <c r="U96" s="130"/>
      <c r="V96" s="130"/>
      <c r="W96" s="109"/>
      <c r="X96" s="109"/>
      <c r="Y96" s="109"/>
      <c r="Z96" s="33"/>
      <c r="AB96" s="93" t="s">
        <v>119</v>
      </c>
      <c r="AC96" s="94" t="n">
        <f aca="false">AC94+AC95</f>
        <v>1468.71713433889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121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19</v>
      </c>
      <c r="F105" s="100"/>
      <c r="G105" s="10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s">
        <v>232</v>
      </c>
      <c r="C108" s="103"/>
      <c r="D108" s="103"/>
      <c r="E108" s="104" t="n">
        <f aca="false">B83</f>
        <v>0.115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25" t="s">
        <v>149</v>
      </c>
      <c r="K121" s="116" t="n">
        <f aca="false">B3</f>
        <v>46854.17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833.33</v>
      </c>
      <c r="P121" s="117" t="n">
        <f aca="false">O121</f>
        <v>833.33</v>
      </c>
      <c r="Q121" s="118" t="n">
        <f aca="false">H3</f>
        <v>0</v>
      </c>
      <c r="S121" s="25" t="s">
        <v>149</v>
      </c>
      <c r="T121" s="116" t="n">
        <f aca="false">B3</f>
        <v>46854.17</v>
      </c>
      <c r="U121" s="117" t="n">
        <f aca="false">T121</f>
        <v>46854.17</v>
      </c>
      <c r="V121" s="116" t="n">
        <f aca="false">D3</f>
        <v>0</v>
      </c>
      <c r="W121" s="117" t="n">
        <f aca="false">V121</f>
        <v>0</v>
      </c>
      <c r="X121" s="116" t="n">
        <f aca="false">F3</f>
        <v>833.33</v>
      </c>
      <c r="Y121" s="117" t="n">
        <f aca="false">X121</f>
        <v>833.33</v>
      </c>
      <c r="Z121" s="118" t="n">
        <f aca="false">H3</f>
        <v>0</v>
      </c>
      <c r="AB121" s="25" t="s">
        <v>149</v>
      </c>
      <c r="AC121" s="116" t="n">
        <f aca="false">B3</f>
        <v>46854.17</v>
      </c>
      <c r="AD121" s="117" t="n">
        <f aca="false">AC121</f>
        <v>46854.17</v>
      </c>
      <c r="AE121" s="116" t="n">
        <f aca="false">D3</f>
        <v>0</v>
      </c>
      <c r="AF121" s="117" t="n">
        <f aca="false">AE121</f>
        <v>0</v>
      </c>
      <c r="AG121" s="116" t="n">
        <f aca="false">F3</f>
        <v>833.33</v>
      </c>
      <c r="AH121" s="117" t="n">
        <f aca="false">AG121</f>
        <v>833.33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v>0</v>
      </c>
      <c r="D122" s="119" t="n">
        <f aca="false">D4</f>
        <v>0</v>
      </c>
      <c r="E122" s="120" t="n">
        <v>0</v>
      </c>
      <c r="F122" s="119" t="n">
        <f aca="false">F4</f>
        <v>0</v>
      </c>
      <c r="G122" s="451" t="n">
        <v>0</v>
      </c>
      <c r="H122" s="122"/>
      <c r="J122" s="31" t="s">
        <v>150</v>
      </c>
      <c r="K122" s="119" t="n">
        <f aca="false">B4</f>
        <v>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0</v>
      </c>
      <c r="P122" s="451" t="n">
        <f aca="false">O122</f>
        <v>0</v>
      </c>
      <c r="Q122" s="122"/>
      <c r="S122" s="31" t="s">
        <v>150</v>
      </c>
      <c r="T122" s="119" t="n">
        <f aca="false">B4</f>
        <v>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0</v>
      </c>
      <c r="Y122" s="451" t="n">
        <f aca="false">X122</f>
        <v>0</v>
      </c>
      <c r="Z122" s="122"/>
      <c r="AB122" s="31" t="s">
        <v>150</v>
      </c>
      <c r="AC122" s="119" t="n">
        <f aca="false">B4</f>
        <v>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0</v>
      </c>
      <c r="AH122" s="451" t="n">
        <f aca="false">AG122</f>
        <v>0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v>-9754.17</v>
      </c>
      <c r="D123" s="126" t="n">
        <f aca="false">D5</f>
        <v>0</v>
      </c>
      <c r="E123" s="117" t="n">
        <v>0</v>
      </c>
      <c r="F123" s="126" t="n">
        <f aca="false">F5</f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0</v>
      </c>
      <c r="P123" s="117" t="n">
        <f aca="false">O123</f>
        <v>0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0</v>
      </c>
      <c r="Y123" s="117" t="n">
        <f aca="false">X123</f>
        <v>0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0</v>
      </c>
      <c r="AH123" s="117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-9754.17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0</v>
      </c>
      <c r="P124" s="127" t="n">
        <f aca="false">(P121*P122)+P123</f>
        <v>0</v>
      </c>
      <c r="Q124" s="33"/>
      <c r="S124" s="31" t="s">
        <v>152</v>
      </c>
      <c r="T124" s="126" t="n">
        <f aca="false">(T121*T122)+T123</f>
        <v>0</v>
      </c>
      <c r="U124" s="127" t="n">
        <f aca="false">(U121*U122/100)+U123</f>
        <v>117.135425</v>
      </c>
      <c r="V124" s="126" t="n">
        <f aca="false">(V121*V122)+V123</f>
        <v>0</v>
      </c>
      <c r="W124" s="127" t="n">
        <f aca="false">(W121*W122/100)+W123</f>
        <v>0</v>
      </c>
      <c r="X124" s="126" t="n">
        <f aca="false">(X121*X122)+X123</f>
        <v>0</v>
      </c>
      <c r="Y124" s="127" t="n">
        <f aca="false">(Y121*Y122/100)+Y123</f>
        <v>0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11713.5425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0</v>
      </c>
      <c r="AH124" s="127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46854.17</v>
      </c>
      <c r="C125" s="129" t="n">
        <f aca="false">C121-C124</f>
        <v>56608.34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56" t="s">
        <v>153</v>
      </c>
      <c r="K125" s="128" t="n">
        <f aca="false">K121-K124</f>
        <v>46854.17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833.33</v>
      </c>
      <c r="P125" s="129" t="n">
        <f aca="false">P121-P124</f>
        <v>833.33</v>
      </c>
      <c r="Q125" s="65"/>
      <c r="S125" s="56" t="s">
        <v>153</v>
      </c>
      <c r="T125" s="128" t="n">
        <f aca="false">T121-T124</f>
        <v>46854.17</v>
      </c>
      <c r="U125" s="129" t="n">
        <f aca="false">U121-U124</f>
        <v>46737.034575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833.33</v>
      </c>
      <c r="Y125" s="129" t="n">
        <f aca="false">Y121-Y124</f>
        <v>833.33</v>
      </c>
      <c r="Z125" s="65"/>
      <c r="AB125" s="56" t="s">
        <v>153</v>
      </c>
      <c r="AC125" s="128" t="n">
        <f aca="false">AC121-AC124</f>
        <v>46854.17</v>
      </c>
      <c r="AD125" s="129" t="n">
        <f aca="false">AD121-AD124</f>
        <v>35140.6275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833.33</v>
      </c>
      <c r="AH125" s="129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57441.67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47687.5</v>
      </c>
      <c r="Q135" s="150" t="n">
        <f aca="false">L125+N125+P125+Q128</f>
        <v>29462.5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47687.5</v>
      </c>
      <c r="Z135" s="150" t="n">
        <f aca="false">U125+W125+Y125+Z128</f>
        <v>47570.364575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47687.5</v>
      </c>
      <c r="AI135" s="150" t="n">
        <f aca="false">AD125+AF125+AH125+AI128</f>
        <v>35973.9575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550</v>
      </c>
      <c r="Q136" s="33" t="n">
        <f aca="false">P136</f>
        <v>550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550</v>
      </c>
      <c r="Z136" s="33" t="n">
        <f aca="false">Y136</f>
        <v>550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11598.334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9647.5</v>
      </c>
      <c r="Q137" s="33" t="n">
        <f aca="false">(Q135+Q136)*20%</f>
        <v>6002.5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9647.5</v>
      </c>
      <c r="Z137" s="33" t="n">
        <f aca="false">(Z135+Z136)*20%</f>
        <v>9624.072915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f aca="false">G138</f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585</v>
      </c>
      <c r="Q139" s="33" t="n">
        <f aca="false">P139</f>
        <v>585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585</v>
      </c>
      <c r="Z139" s="33" t="n">
        <f aca="false">Y139</f>
        <v>585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58525</v>
      </c>
      <c r="H141" s="154" t="n">
        <f aca="false">(H135+H136+H139+H140+H137)-H138</f>
        <v>70230.004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58525</v>
      </c>
      <c r="Q141" s="154" t="n">
        <f aca="false">(Q135+Q136+Q139+Q140+Q137)-Q138</f>
        <v>36655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58525</v>
      </c>
      <c r="Z141" s="154" t="n">
        <f aca="false">(Z135+Z136+Z139+Z140+Z137)-Z138</f>
        <v>58384.43749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58525</v>
      </c>
      <c r="AI141" s="154" t="n">
        <f aca="false">(AI135+AI136+AI139+AI140+AI137)-AI138</f>
        <v>44468.749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s">
        <v>170</v>
      </c>
      <c r="C144" s="158"/>
      <c r="D144" s="158"/>
      <c r="E144" s="158"/>
      <c r="F144" s="158"/>
      <c r="G144" s="152" t="n">
        <f aca="false">H18</f>
        <v>0</v>
      </c>
      <c r="H144" s="40" t="n">
        <f aca="false">G144</f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58525</v>
      </c>
      <c r="H147" s="161" t="n">
        <f aca="false">H141-((H144*1.2)+(H145*1.2)+(H146*1.2)+(H142*1.2))</f>
        <v>70230.004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58525</v>
      </c>
      <c r="Q147" s="161" t="n">
        <f aca="false">Q141-((Q144*1.2)+(Q145*1.2)+(Q146*1.2)+(Q142*1.2))</f>
        <v>36655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58525</v>
      </c>
      <c r="Z147" s="161" t="n">
        <f aca="false">Z141-((Z144*1.2)+(Z145*1.2)+(Z146*1.2)+(Z142*1.2))</f>
        <v>58384.43749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58525</v>
      </c>
      <c r="AI147" s="161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9754.17</v>
      </c>
      <c r="I148" s="1" t="n">
        <f aca="false">(H148-G81)/1.2</f>
        <v>-48313.195</v>
      </c>
      <c r="J148" s="151" t="s">
        <v>172</v>
      </c>
      <c r="K148" s="151"/>
      <c r="L148" s="151"/>
      <c r="M148" s="151"/>
      <c r="N148" s="151"/>
      <c r="O148" s="151"/>
      <c r="P148" s="152"/>
      <c r="Q148" s="40" t="n">
        <f aca="false">Q147-P147</f>
        <v>-21870</v>
      </c>
      <c r="S148" s="151" t="s">
        <v>172</v>
      </c>
      <c r="T148" s="151"/>
      <c r="U148" s="151"/>
      <c r="V148" s="151"/>
      <c r="W148" s="151"/>
      <c r="X148" s="151"/>
      <c r="Y148" s="152"/>
      <c r="Z148" s="40" t="n">
        <f aca="false">Z147-Y147</f>
        <v>-140.562510000003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n">
        <f aca="false">AI147-AH147</f>
        <v>-14056.251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67730.004</v>
      </c>
      <c r="H158" s="167"/>
      <c r="J158" s="166" t="s">
        <v>179</v>
      </c>
      <c r="K158" s="130"/>
      <c r="L158" s="130"/>
      <c r="M158" s="109"/>
      <c r="N158" s="130"/>
      <c r="O158" s="109"/>
      <c r="P158" s="167" t="n">
        <f aca="false">Q147-P154-P157</f>
        <v>37655</v>
      </c>
      <c r="Q158" s="167"/>
      <c r="S158" s="166" t="s">
        <v>179</v>
      </c>
      <c r="T158" s="130"/>
      <c r="U158" s="130"/>
      <c r="V158" s="109"/>
      <c r="W158" s="130"/>
      <c r="X158" s="109"/>
      <c r="Y158" s="167" t="n">
        <f aca="false">Z147-Y154-Y157</f>
        <v>59384.43749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n">
        <f aca="false">AI147-AH154-AH157</f>
        <v>45468.749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367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2200.89500595929</v>
      </c>
      <c r="B167" s="174" t="str">
        <f aca="false">B94</f>
        <v>0</v>
      </c>
      <c r="C167" s="171"/>
      <c r="D167" s="171"/>
      <c r="E167" s="174" t="n">
        <f aca="false">B96</f>
        <v>2200.89500595929</v>
      </c>
      <c r="F167" s="23"/>
      <c r="G167" s="23" t="n">
        <f aca="false">ROUND(G95, 2)</f>
        <v>2032.58</v>
      </c>
      <c r="H167" s="33"/>
      <c r="J167" s="173" t="n">
        <f aca="false">K95</f>
        <v>1506.2831870777</v>
      </c>
      <c r="K167" s="174" t="n">
        <f aca="false">K94</f>
        <v>0</v>
      </c>
      <c r="L167" s="171"/>
      <c r="M167" s="171"/>
      <c r="N167" s="174" t="n">
        <f aca="false">K96</f>
        <v>1506.2831870777</v>
      </c>
      <c r="O167" s="23"/>
      <c r="P167" s="23"/>
      <c r="Q167" s="33"/>
      <c r="S167" s="173" t="n">
        <f aca="false">T95</f>
        <v>1960.8512366106</v>
      </c>
      <c r="T167" s="174" t="n">
        <f aca="false">T94</f>
        <v>0</v>
      </c>
      <c r="U167" s="171"/>
      <c r="V167" s="171"/>
      <c r="W167" s="174" t="n">
        <f aca="false">T96</f>
        <v>1960.8512366106</v>
      </c>
      <c r="X167" s="23"/>
      <c r="Y167" s="23"/>
      <c r="Z167" s="33"/>
      <c r="AB167" s="173" t="n">
        <f aca="false">AC95</f>
        <v>1468.71713433889</v>
      </c>
      <c r="AC167" s="174" t="n">
        <f aca="false">AC94</f>
        <v>0</v>
      </c>
      <c r="AD167" s="171"/>
      <c r="AE167" s="171"/>
      <c r="AF167" s="174" t="n">
        <f aca="false">AC96</f>
        <v>1468.71713433889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225" t="n">
        <f aca="false">K30</f>
        <v>35000</v>
      </c>
      <c r="C170" s="178"/>
      <c r="D170" s="23"/>
      <c r="E170" s="179" t="n">
        <f aca="false">IF(A111="YES", A40, 0)</f>
        <v>5760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5760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5760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5760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57991.67</v>
      </c>
      <c r="B173" s="99" t="n">
        <f aca="false">H137</f>
        <v>11598.334</v>
      </c>
      <c r="C173" s="183"/>
      <c r="D173" s="23"/>
      <c r="E173" s="179" t="n">
        <f aca="false">H139+H140</f>
        <v>640</v>
      </c>
      <c r="F173" s="23"/>
      <c r="G173" s="23"/>
      <c r="H173" s="33"/>
      <c r="J173" s="182" t="n">
        <f aca="false">Q141-Q137-Q139-Q140</f>
        <v>30012.5</v>
      </c>
      <c r="K173" s="99" t="n">
        <f aca="false">Q137</f>
        <v>6002.5</v>
      </c>
      <c r="L173" s="183"/>
      <c r="M173" s="23"/>
      <c r="N173" s="179" t="n">
        <f aca="false">Q139+Q140</f>
        <v>640</v>
      </c>
      <c r="O173" s="23"/>
      <c r="P173" s="23"/>
      <c r="Q173" s="33"/>
      <c r="S173" s="182" t="n">
        <f aca="false">Z141-Z137-Z139-Z140</f>
        <v>48120.364575</v>
      </c>
      <c r="T173" s="99" t="n">
        <f aca="false">Z137</f>
        <v>9624.072915</v>
      </c>
      <c r="U173" s="183"/>
      <c r="V173" s="23"/>
      <c r="W173" s="179" t="n">
        <f aca="false">Z139+Z140</f>
        <v>640</v>
      </c>
      <c r="X173" s="23"/>
      <c r="Y173" s="23"/>
      <c r="Z173" s="33"/>
      <c r="AB173" s="182" t="n">
        <f aca="false">AI141-AI137-AI139-AI140</f>
        <v>36523.9575</v>
      </c>
      <c r="AC173" s="99" t="n">
        <f aca="false">AI137</f>
        <v>7304.7915</v>
      </c>
      <c r="AD173" s="183"/>
      <c r="AE173" s="23"/>
      <c r="AF173" s="179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70230.004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n">
        <f aca="false">Q141</f>
        <v>36655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58384.43749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44468.749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67730.004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37655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59384.43749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45468.749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12860.4262026159</v>
      </c>
      <c r="B182" s="99" t="str">
        <f aca="false">B114</f>
        <v>239.99</v>
      </c>
      <c r="C182" s="99"/>
      <c r="D182" s="23"/>
      <c r="E182" s="99" t="n">
        <f aca="false">E179+A182+B182+A185</f>
        <v>80840.4202026159</v>
      </c>
      <c r="F182" s="23"/>
      <c r="G182" s="23"/>
      <c r="H182" s="101"/>
      <c r="J182" s="107" t="n">
        <f aca="false">(J167*K59)+N185-N179-J185</f>
        <v>19318.6283606416</v>
      </c>
      <c r="K182" s="99" t="n">
        <f aca="false">K114</f>
        <v>239.99</v>
      </c>
      <c r="L182" s="99"/>
      <c r="M182" s="23"/>
      <c r="N182" s="99" t="n">
        <f aca="false">N179+J182+K182+J185</f>
        <v>57233.6183606416</v>
      </c>
      <c r="O182" s="23"/>
      <c r="P182" s="23"/>
      <c r="Q182" s="101"/>
      <c r="S182" s="107" t="n">
        <f aca="false">(S167*T59)+W185-W179-S185</f>
        <v>13044.5045547605</v>
      </c>
      <c r="T182" s="99" t="n">
        <f aca="false">T114</f>
        <v>199.99</v>
      </c>
      <c r="U182" s="99"/>
      <c r="V182" s="23"/>
      <c r="W182" s="99" t="n">
        <f aca="false">W179+S182+T182+S185</f>
        <v>72638.9320447605</v>
      </c>
      <c r="X182" s="23"/>
      <c r="Y182" s="23"/>
      <c r="Z182" s="101"/>
      <c r="AB182" s="107" t="n">
        <f aca="false">(AB167*AC59)+AF185-AF179-AB185</f>
        <v>10227.6335675223</v>
      </c>
      <c r="AC182" s="99" t="n">
        <f aca="false">AC114</f>
        <v>239.99</v>
      </c>
      <c r="AD182" s="99"/>
      <c r="AE182" s="23"/>
      <c r="AF182" s="99" t="n">
        <f aca="false">AF179+AB182+AC182+AB185</f>
        <v>55946.3725675223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A179+(B182)</f>
        <v>2239.99</v>
      </c>
      <c r="C185" s="99"/>
      <c r="D185" s="23"/>
      <c r="E185" s="99" t="n">
        <f aca="false">E170+A185</f>
        <v>5770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5780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5770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5770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 *1.2</f>
        <v>0</v>
      </c>
      <c r="B188" s="99" t="n">
        <f aca="false">(G158*B67)</f>
        <v>663.1896225</v>
      </c>
      <c r="C188" s="130"/>
      <c r="D188" s="130"/>
      <c r="E188" s="99" t="n">
        <f aca="false">(E40*A108)*0.1*(C45/100)</f>
        <v>0</v>
      </c>
      <c r="F188" s="23"/>
      <c r="G188" s="23"/>
      <c r="H188" s="33"/>
      <c r="J188" s="107" t="n">
        <f aca="false">IF(N105="YES", H15*0.000002, 0)</f>
        <v>0.11705</v>
      </c>
      <c r="K188" s="99" t="n">
        <f aca="false">(P158*K67)/1.2</f>
        <v>2320.75086805556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484.560514241319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371.012361631944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763.181289166667</v>
      </c>
      <c r="C191" s="130"/>
      <c r="D191" s="130"/>
      <c r="E191" s="99" t="n">
        <f aca="false">H148</f>
        <v>9754.17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3460.74086805556</v>
      </c>
      <c r="L191" s="130"/>
      <c r="M191" s="130"/>
      <c r="N191" s="99" t="n">
        <f aca="false">Q148</f>
        <v>-21870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1584.55051424132</v>
      </c>
      <c r="U191" s="130"/>
      <c r="V191" s="130"/>
      <c r="W191" s="99" t="n">
        <f aca="false">Z148</f>
        <v>-140.562510000003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1511.00236163194</v>
      </c>
      <c r="AD191" s="130"/>
      <c r="AE191" s="130"/>
      <c r="AF191" s="99" t="n">
        <f aca="false">AI148</f>
        <v>-14056.251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2200.89500595929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1506.2831870777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1960.8512366106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1468.71713433889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368</v>
      </c>
      <c r="B200" s="130" t="s">
        <v>369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7137.716</v>
      </c>
      <c r="B201" s="183" t="n">
        <f aca="false">E179+A201+B182+A185</f>
        <v>75117.71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2200.89500595929</v>
      </c>
      <c r="B212" s="174" t="str">
        <f aca="false">B167</f>
        <v>0</v>
      </c>
      <c r="C212" s="171"/>
      <c r="D212" s="171"/>
      <c r="E212" s="174" t="n">
        <f aca="false">E167</f>
        <v>2200.89500595929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57991.67</v>
      </c>
      <c r="B215" s="99" t="n">
        <f aca="false">B173</f>
        <v>11598.334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70230.004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67730.004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12860.4262026159</v>
      </c>
      <c r="B224" s="99" t="str">
        <f aca="false">B182</f>
        <v>239.99</v>
      </c>
      <c r="C224" s="99"/>
      <c r="D224" s="109"/>
      <c r="E224" s="99" t="n">
        <f aca="false">E182</f>
        <v>80840.4202026159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2239.99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2200.89500595929</v>
      </c>
      <c r="B230" s="99" t="str">
        <f aca="false">B167</f>
        <v>0</v>
      </c>
      <c r="C230" s="183"/>
      <c r="D230" s="183"/>
      <c r="E230" s="99" t="n">
        <f aca="false">E167</f>
        <v>2200.89500595929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5760</v>
      </c>
      <c r="B233" s="99" t="n">
        <f aca="false">E185</f>
        <v>5770</v>
      </c>
      <c r="C233" s="130"/>
      <c r="D233" s="130"/>
      <c r="E233" s="99" t="n">
        <f aca="false">A188</f>
        <v>0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9754.17</v>
      </c>
      <c r="B240" s="99" t="n">
        <f aca="false">B68</f>
        <v>552.65801875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10406.8196854167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453" t="n">
        <f aca="false">(E182-B182)-(B201-B182-A185)</f>
        <v>5732.71020261585</v>
      </c>
      <c r="C254" s="194"/>
      <c r="D254" s="195" t="s">
        <v>213</v>
      </c>
      <c r="E254" s="195"/>
      <c r="F254" s="196" t="n">
        <f aca="false">F261+F267+F269+B270+B271</f>
        <v>663.1896225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5169.51224678252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B254</f>
        <v>5732.71020261585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0.00979166666666667</v>
      </c>
      <c r="C261" s="32"/>
      <c r="D261" s="163" t="s">
        <v>218</v>
      </c>
      <c r="E261" s="163"/>
      <c r="F261" s="148" t="n">
        <f aca="false">B68*1.2</f>
        <v>663.1896225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5169.51224678252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A18:A20 A144:A146 J144:J146 S144:S146 AB144:AB146" type="list">
      <formula1>$AB$16:$AB$18</formula1>
      <formula2>0</formula2>
    </dataValidation>
    <dataValidation allowBlank="true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operator="between" showDropDown="false" showErrorMessage="true" showInputMessage="true" sqref="B105 K105 T105 AC105" type="list">
      <formula1>$Y$127:$Y$136</formula1>
      <formula2>0</formula2>
    </dataValidation>
    <dataValidation allowBlank="true" operator="between" showDropDown="false" showErrorMessage="true" showInputMessage="true" sqref="B108:D108 K108:M108 T108:V108 AC108:AE108" type="list">
      <formula1>$AP$108:$AP$109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1" colorId="64" zoomScale="85" zoomScaleNormal="85" zoomScalePageLayoutView="100" workbookViewId="0">
      <selection pane="topLeft" activeCell="A167" activeCellId="0" sqref="A167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2.51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379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46854.17</v>
      </c>
      <c r="C3" s="440" t="n">
        <v>0</v>
      </c>
      <c r="D3" s="440" t="n">
        <v>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46854.17</v>
      </c>
      <c r="F9" s="149"/>
      <c r="G9" s="133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550</v>
      </c>
      <c r="F10" s="151"/>
      <c r="G10" s="152"/>
      <c r="H10" s="441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555</v>
      </c>
      <c r="F13" s="151"/>
      <c r="G13" s="152"/>
      <c r="H13" s="441" t="n">
        <v>585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349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35" hidden="false" customHeight="false" outlineLevel="0" collapsed="false">
      <c r="A26" s="36" t="s">
        <v>126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35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7" t="n">
        <v>35</v>
      </c>
      <c r="P29" s="208"/>
    </row>
    <row r="30" customFormat="false" ht="17.35" hidden="false" customHeight="false" outlineLevel="0" collapsed="false">
      <c r="A30" s="31" t="s">
        <v>181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</v>
      </c>
      <c r="P30" s="208"/>
    </row>
    <row r="31" customFormat="false" ht="17.35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7680</v>
      </c>
      <c r="P31" s="208"/>
    </row>
    <row r="32" customFormat="false" ht="33.25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350</v>
      </c>
      <c r="F32" s="130"/>
      <c r="G32" s="130"/>
      <c r="H32" s="33"/>
      <c r="I32" s="2" t="n">
        <v>0</v>
      </c>
      <c r="J32" s="29" t="s">
        <v>36</v>
      </c>
      <c r="K32" s="448" t="n">
        <v>2344.65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1438.14718545353</v>
      </c>
      <c r="F33" s="228"/>
      <c r="G33" s="228"/>
      <c r="H33" s="47"/>
      <c r="I33" s="2"/>
      <c r="J33" s="34" t="s">
        <v>351</v>
      </c>
      <c r="K33" s="48" t="n">
        <f aca="false">H21-H11+(H16*20%)</f>
        <v>48877.5</v>
      </c>
      <c r="L33" s="1" t="n">
        <f aca="false">H21-H11+(H16*20%)</f>
        <v>48877.5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352</v>
      </c>
      <c r="B35" s="130" t="s">
        <v>353</v>
      </c>
      <c r="C35" s="130"/>
      <c r="D35" s="208"/>
      <c r="E35" s="130" t="s">
        <v>354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1371.15718545353</v>
      </c>
      <c r="B36" s="228" t="n">
        <f aca="false">IF(B26="YES", K42, "0.00")</f>
        <v>66.99</v>
      </c>
      <c r="C36" s="228"/>
      <c r="D36" s="228"/>
      <c r="E36" s="228" t="n">
        <f aca="false">K31</f>
        <v>7680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355</v>
      </c>
      <c r="B39" s="130" t="s">
        <v>356</v>
      </c>
      <c r="C39" s="130"/>
      <c r="D39" s="208"/>
      <c r="E39" s="130" t="s">
        <v>357</v>
      </c>
      <c r="F39" s="183"/>
      <c r="G39" s="183"/>
      <c r="H39" s="47"/>
      <c r="J39" s="2" t="s">
        <v>84</v>
      </c>
      <c r="K39" s="2" t="n">
        <f aca="false">K33</f>
        <v>48877.5</v>
      </c>
      <c r="L39" s="2" t="n">
        <f aca="false">(L47*K46)+K44</f>
        <v>28581.7258234265</v>
      </c>
      <c r="N39" s="1" t="n">
        <f aca="false">K39-L39</f>
        <v>20295.7741765735</v>
      </c>
      <c r="P39" s="208"/>
    </row>
    <row r="40" customFormat="false" ht="17.35" hidden="false" customHeight="false" outlineLevel="0" collapsed="false">
      <c r="A40" s="312" t="n">
        <f aca="false">E36*A45/100</f>
        <v>7680</v>
      </c>
      <c r="B40" s="103" t="n">
        <f aca="false">IF(B26="YES", K42, "0.00")</f>
        <v>66.99</v>
      </c>
      <c r="C40" s="103"/>
      <c r="D40" s="103"/>
      <c r="E40" s="179" t="n">
        <f aca="false">K32</f>
        <v>2344.65</v>
      </c>
      <c r="F40" s="183"/>
      <c r="G40" s="183"/>
      <c r="H40" s="47"/>
      <c r="J40" s="2" t="s">
        <v>106</v>
      </c>
      <c r="K40" s="2" t="n">
        <f aca="false">(A40)/1.2</f>
        <v>6400</v>
      </c>
      <c r="L40" s="2" t="n">
        <f aca="false">K39-L39</f>
        <v>20295.7741765735</v>
      </c>
      <c r="N40" s="1" t="n">
        <f aca="false">N38-N39</f>
        <v>-17384.0941765735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358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359</v>
      </c>
      <c r="K42" s="2" t="n">
        <f aca="false">(K32/K36/100)*C45</f>
        <v>66.99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360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361</v>
      </c>
      <c r="K44" s="2" t="n">
        <f aca="false">(K40/(1+K41)^(K36+1))</f>
        <v>5268.9137194334</v>
      </c>
      <c r="L44" s="2"/>
      <c r="P44" s="208"/>
    </row>
    <row r="45" customFormat="false" ht="17.35" hidden="false" customHeight="false" outlineLevel="0" collapsed="false">
      <c r="A45" s="507" t="n">
        <v>100</v>
      </c>
      <c r="B45" s="130"/>
      <c r="C45" s="506" t="n">
        <v>100</v>
      </c>
      <c r="D45" s="506"/>
      <c r="E45" s="506"/>
      <c r="F45" s="130"/>
      <c r="G45" s="130"/>
      <c r="H45" s="33"/>
      <c r="J45" s="2" t="s">
        <v>362</v>
      </c>
      <c r="K45" s="2" t="n">
        <f aca="false">(K39-K44)</f>
        <v>43608.5862805666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363</v>
      </c>
      <c r="K46" s="2" t="n">
        <f aca="false">((1-(1/((1+K41)^K36)))/K41)</f>
        <v>31.8042210938366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364</v>
      </c>
      <c r="K47" s="2" t="n">
        <f aca="false">K45/K46</f>
        <v>1371.15718545353</v>
      </c>
      <c r="L47" s="2" t="n">
        <f aca="false">L49-K42</f>
        <v>733.01</v>
      </c>
      <c r="M47" s="1" t="n">
        <f aca="false">K47-L47</f>
        <v>638.147185453526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365</v>
      </c>
      <c r="K48" s="2" t="n">
        <f aca="false">IF(B26="YES", K47+K42, K47)</f>
        <v>1438.14718545353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366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1438.14718545353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57885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57885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57885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0.024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23972.5732812235</v>
      </c>
      <c r="C65" s="130"/>
      <c r="D65" s="130"/>
      <c r="E65" s="109"/>
      <c r="F65" s="109"/>
      <c r="G65" s="109"/>
      <c r="H65" s="33"/>
      <c r="J65" s="56" t="s">
        <v>90</v>
      </c>
      <c r="K65" s="65" t="n">
        <f aca="false">(K89*K59)-(K47*K29)</f>
        <v>3223.12686976823</v>
      </c>
      <c r="L65" s="130"/>
      <c r="M65" s="130"/>
      <c r="N65" s="109"/>
      <c r="O65" s="109"/>
      <c r="P65" s="109"/>
      <c r="Q65" s="33"/>
      <c r="S65" s="56" t="s">
        <v>90</v>
      </c>
      <c r="T65" s="65" t="n">
        <f aca="false">(T89*T59)-(K47*K29)</f>
        <v>17099.6612521809</v>
      </c>
      <c r="U65" s="130"/>
      <c r="V65" s="130"/>
      <c r="W65" s="109"/>
      <c r="X65" s="109"/>
      <c r="Y65" s="109"/>
      <c r="Z65" s="33"/>
      <c r="AB65" s="56" t="s">
        <v>90</v>
      </c>
      <c r="AC65" s="65" t="n">
        <f aca="false">(AC89*AC59)-(K47*K29)</f>
        <v>367.101774942719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565.713574305556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4281.078125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566.790625</v>
      </c>
      <c r="U68" s="130"/>
      <c r="V68" s="130"/>
      <c r="W68" s="109"/>
      <c r="X68" s="109"/>
      <c r="Y68" s="109"/>
      <c r="Z68" s="33"/>
      <c r="AB68" s="56" t="s">
        <v>93</v>
      </c>
      <c r="AC68" s="65" t="n">
        <f aca="false">AH158*AC67</f>
        <v>445.214833958333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0.05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09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09"/>
      <c r="G77" s="109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1371.15718545353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1371.15718545353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1438.14718545353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1438.14718545353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69330.004</v>
      </c>
      <c r="C81" s="130"/>
      <c r="D81" s="130"/>
      <c r="E81" s="109"/>
      <c r="F81" s="25" t="s">
        <v>105</v>
      </c>
      <c r="G81" s="27" t="n">
        <f aca="false">G158</f>
        <v>69330.004</v>
      </c>
      <c r="H81" s="33"/>
      <c r="J81" s="25" t="s">
        <v>105</v>
      </c>
      <c r="K81" s="27" t="n">
        <f aca="false">P158</f>
        <v>37655</v>
      </c>
      <c r="L81" s="130"/>
      <c r="M81" s="130"/>
      <c r="N81" s="109"/>
      <c r="O81" s="109"/>
      <c r="P81" s="109"/>
      <c r="Q81" s="33"/>
      <c r="S81" s="25" t="s">
        <v>105</v>
      </c>
      <c r="T81" s="27" t="n">
        <f aca="false">Y158</f>
        <v>59384.43749</v>
      </c>
      <c r="U81" s="130"/>
      <c r="V81" s="130"/>
      <c r="W81" s="109"/>
      <c r="X81" s="109"/>
      <c r="Y81" s="109"/>
      <c r="Z81" s="33"/>
      <c r="AB81" s="25" t="s">
        <v>105</v>
      </c>
      <c r="AC81" s="27" t="n">
        <f aca="false">AH158</f>
        <v>45468.749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7680</v>
      </c>
      <c r="C82" s="130"/>
      <c r="D82" s="130"/>
      <c r="E82" s="109"/>
      <c r="F82" s="31" t="s">
        <v>106</v>
      </c>
      <c r="G82" s="33" t="n">
        <f aca="false">IF(A111 = "Yes", A40, 0)</f>
        <v>7680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7680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7680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5" t="n">
        <f aca="false">B62+B63+B64</f>
        <v>0.089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0.00741666666666667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130"/>
      <c r="D85" s="130"/>
      <c r="E85" s="109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5929.82144466603</v>
      </c>
      <c r="C86" s="130"/>
      <c r="D86" s="130"/>
      <c r="E86" s="109"/>
      <c r="F86" s="31" t="s">
        <v>110</v>
      </c>
      <c r="G86" s="33" t="n">
        <f aca="false">(G82/((1+G84)^(G85+1)))</f>
        <v>6356.9444024964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5251.988134126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5251.988134126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29.9543371890103</v>
      </c>
      <c r="C87" s="130"/>
      <c r="D87" s="130"/>
      <c r="E87" s="109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63400.182555334</v>
      </c>
      <c r="C88" s="130"/>
      <c r="D88" s="130"/>
      <c r="E88" s="109"/>
      <c r="F88" s="31" t="s">
        <v>112</v>
      </c>
      <c r="G88" s="33" t="n">
        <f aca="false">G81-G86</f>
        <v>62973.0595975036</v>
      </c>
      <c r="H88" s="33"/>
      <c r="J88" s="31" t="s">
        <v>112</v>
      </c>
      <c r="K88" s="33" t="n">
        <f aca="false">K81-K86</f>
        <v>37655</v>
      </c>
      <c r="L88" s="130"/>
      <c r="M88" s="130"/>
      <c r="N88" s="109"/>
      <c r="O88" s="109"/>
      <c r="P88" s="109"/>
      <c r="Q88" s="33"/>
      <c r="S88" s="31" t="s">
        <v>112</v>
      </c>
      <c r="T88" s="33" t="n">
        <f aca="false">T81-T86</f>
        <v>54132.449355874</v>
      </c>
      <c r="U88" s="130"/>
      <c r="V88" s="130"/>
      <c r="W88" s="109"/>
      <c r="X88" s="109"/>
      <c r="Y88" s="109"/>
      <c r="Z88" s="33"/>
      <c r="AB88" s="31" t="s">
        <v>112</v>
      </c>
      <c r="AC88" s="33" t="n">
        <f aca="false">AC81-AC86</f>
        <v>40216.760865874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2116.56102270873</v>
      </c>
      <c r="C89" s="130"/>
      <c r="D89" s="130"/>
      <c r="E89" s="109"/>
      <c r="F89" s="31" t="s">
        <v>113</v>
      </c>
      <c r="G89" s="33" t="n">
        <f aca="false">(G88/G87)</f>
        <v>2032.93050797466</v>
      </c>
      <c r="H89" s="33"/>
      <c r="J89" s="31" t="s">
        <v>113</v>
      </c>
      <c r="K89" s="33" t="n">
        <f aca="false">(K88/K87)</f>
        <v>1506.2831870777</v>
      </c>
      <c r="L89" s="130"/>
      <c r="M89" s="130"/>
      <c r="N89" s="109"/>
      <c r="O89" s="109"/>
      <c r="P89" s="109"/>
      <c r="Q89" s="33"/>
      <c r="S89" s="31" t="s">
        <v>113</v>
      </c>
      <c r="T89" s="33" t="n">
        <f aca="false">(T88/T87)</f>
        <v>1914.4165512663</v>
      </c>
      <c r="U89" s="130"/>
      <c r="V89" s="130"/>
      <c r="W89" s="109"/>
      <c r="X89" s="109"/>
      <c r="Y89" s="109"/>
      <c r="Z89" s="33"/>
      <c r="AB89" s="31" t="s">
        <v>113</v>
      </c>
      <c r="AC89" s="33" t="n">
        <f aca="false">(AC88/AC87)</f>
        <v>1422.28244899459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71963.0747720969</v>
      </c>
      <c r="C90" s="130"/>
      <c r="D90" s="130"/>
      <c r="E90" s="109"/>
      <c r="F90" s="31" t="s">
        <v>114</v>
      </c>
      <c r="G90" s="33" t="n">
        <f aca="false">((G89*(G85))+G77)</f>
        <v>69119.6372711383</v>
      </c>
      <c r="H90" s="33"/>
      <c r="J90" s="31" t="s">
        <v>114</v>
      </c>
      <c r="K90" s="33" t="n">
        <f aca="false">((K89*(K85))+K77)</f>
        <v>52719.9115477193</v>
      </c>
      <c r="L90" s="130"/>
      <c r="M90" s="130"/>
      <c r="N90" s="109"/>
      <c r="O90" s="109"/>
      <c r="P90" s="109"/>
      <c r="Q90" s="33"/>
      <c r="S90" s="31" t="s">
        <v>114</v>
      </c>
      <c r="T90" s="33" t="n">
        <f aca="false">(T89*(T85))+T77</f>
        <v>65090.1627430543</v>
      </c>
      <c r="U90" s="130"/>
      <c r="V90" s="130"/>
      <c r="W90" s="109"/>
      <c r="X90" s="109"/>
      <c r="Y90" s="109"/>
      <c r="Z90" s="33"/>
      <c r="AB90" s="31" t="s">
        <v>114</v>
      </c>
      <c r="AC90" s="33" t="n">
        <f aca="false">(AC89*(AC59))+AC77</f>
        <v>48357.6032658161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115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115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71963.0747720969</v>
      </c>
      <c r="C92" s="130"/>
      <c r="D92" s="130"/>
      <c r="E92" s="109"/>
      <c r="F92" s="56" t="s">
        <v>116</v>
      </c>
      <c r="G92" s="65" t="n">
        <f aca="false">(G90+G91)</f>
        <v>69119.6372711383</v>
      </c>
      <c r="H92" s="33"/>
      <c r="J92" s="56" t="s">
        <v>116</v>
      </c>
      <c r="K92" s="65" t="n">
        <f aca="false">(K90+K91)</f>
        <v>52719.9115477193</v>
      </c>
      <c r="L92" s="130"/>
      <c r="M92" s="130"/>
      <c r="N92" s="109"/>
      <c r="O92" s="109"/>
      <c r="P92" s="109"/>
      <c r="Q92" s="33"/>
      <c r="S92" s="56" t="s">
        <v>116</v>
      </c>
      <c r="T92" s="65" t="n">
        <f aca="false">(T90+T91)</f>
        <v>65090.1627430543</v>
      </c>
      <c r="U92" s="130"/>
      <c r="V92" s="130"/>
      <c r="W92" s="109"/>
      <c r="X92" s="109"/>
      <c r="Y92" s="109"/>
      <c r="Z92" s="33"/>
      <c r="AB92" s="56" t="s">
        <v>116</v>
      </c>
      <c r="AC92" s="65" t="n">
        <f aca="false">(AC90+AC91)</f>
        <v>48357.6032658161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IF(B26="YES",((E40/B85)*(1+A108)*1.2*(C45/100)),"0")</f>
        <v>99.3028235294117</v>
      </c>
      <c r="C94" s="130"/>
      <c r="D94" s="130"/>
      <c r="E94" s="109"/>
      <c r="F94" s="88" t="s">
        <v>117</v>
      </c>
      <c r="G94" s="259" t="n">
        <f aca="false">IF(B26="YES",((E40/B85)*(1+A108)*(C45/100)),"0")</f>
        <v>82.7523529411765</v>
      </c>
      <c r="H94" s="33"/>
      <c r="J94" s="88" t="s">
        <v>117</v>
      </c>
      <c r="K94" s="89" t="n">
        <f aca="false">((E40/K85)*(1+J108))*1.2</f>
        <v>104.5044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82.7523529411765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99.3028235294117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2116.56102270873</v>
      </c>
      <c r="C95" s="130"/>
      <c r="D95" s="130"/>
      <c r="E95" s="109"/>
      <c r="F95" s="91" t="s">
        <v>118</v>
      </c>
      <c r="G95" s="92" t="n">
        <f aca="false">G92/(G85)</f>
        <v>2032.93050797466</v>
      </c>
      <c r="H95" s="33"/>
      <c r="J95" s="91" t="s">
        <v>118</v>
      </c>
      <c r="K95" s="92" t="n">
        <f aca="false">K92/(K85)</f>
        <v>1506.2831870777</v>
      </c>
      <c r="L95" s="130"/>
      <c r="M95" s="130"/>
      <c r="N95" s="109"/>
      <c r="O95" s="109"/>
      <c r="P95" s="109"/>
      <c r="Q95" s="33"/>
      <c r="S95" s="91" t="s">
        <v>118</v>
      </c>
      <c r="T95" s="92" t="n">
        <f aca="false">T92/(T85)</f>
        <v>1914.4165512663</v>
      </c>
      <c r="U95" s="130"/>
      <c r="V95" s="130"/>
      <c r="W95" s="109"/>
      <c r="X95" s="109"/>
      <c r="Y95" s="109"/>
      <c r="Z95" s="33"/>
      <c r="AB95" s="91" t="s">
        <v>118</v>
      </c>
      <c r="AC95" s="92" t="n">
        <f aca="false">AC92/(AC59)</f>
        <v>1422.28244899459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(B94+B95)</f>
        <v>2215.86384623815</v>
      </c>
      <c r="C96" s="130"/>
      <c r="D96" s="130"/>
      <c r="E96" s="109"/>
      <c r="F96" s="93" t="s">
        <v>119</v>
      </c>
      <c r="G96" s="94" t="n">
        <f aca="false">G94+G95</f>
        <v>2115.68286091583</v>
      </c>
      <c r="H96" s="33"/>
      <c r="J96" s="93" t="s">
        <v>119</v>
      </c>
      <c r="K96" s="94" t="n">
        <f aca="false">(K94+K95)</f>
        <v>1610.7875870777</v>
      </c>
      <c r="L96" s="130"/>
      <c r="M96" s="130"/>
      <c r="N96" s="109"/>
      <c r="O96" s="109"/>
      <c r="P96" s="109"/>
      <c r="Q96" s="33"/>
      <c r="S96" s="93" t="s">
        <v>119</v>
      </c>
      <c r="T96" s="94" t="n">
        <f aca="false">T94+T95</f>
        <v>1997.16890420748</v>
      </c>
      <c r="U96" s="130"/>
      <c r="V96" s="130"/>
      <c r="W96" s="109"/>
      <c r="X96" s="109"/>
      <c r="Y96" s="109"/>
      <c r="Z96" s="33"/>
      <c r="AB96" s="93" t="s">
        <v>119</v>
      </c>
      <c r="AC96" s="94" t="n">
        <f aca="false">AC94+AC95</f>
        <v>1521.585272524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18</v>
      </c>
      <c r="F105" s="100"/>
      <c r="G105" s="10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s">
        <v>270</v>
      </c>
      <c r="C108" s="103"/>
      <c r="D108" s="103"/>
      <c r="E108" s="104" t="n">
        <f aca="false">B83</f>
        <v>0.089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200</v>
      </c>
      <c r="C111" s="103"/>
      <c r="D111" s="103"/>
      <c r="E111" s="103" t="n">
        <v>200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400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25" t="s">
        <v>149</v>
      </c>
      <c r="K121" s="116" t="n">
        <f aca="false">B3</f>
        <v>46854.17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833.33</v>
      </c>
      <c r="P121" s="117" t="n">
        <f aca="false">O121</f>
        <v>833.33</v>
      </c>
      <c r="Q121" s="118" t="n">
        <f aca="false">H3</f>
        <v>0</v>
      </c>
      <c r="S121" s="25" t="s">
        <v>149</v>
      </c>
      <c r="T121" s="116" t="n">
        <f aca="false">B3</f>
        <v>46854.17</v>
      </c>
      <c r="U121" s="117" t="n">
        <f aca="false">T121</f>
        <v>46854.17</v>
      </c>
      <c r="V121" s="116" t="n">
        <f aca="false">D3</f>
        <v>0</v>
      </c>
      <c r="W121" s="117" t="n">
        <f aca="false">V121</f>
        <v>0</v>
      </c>
      <c r="X121" s="116" t="n">
        <f aca="false">F3</f>
        <v>833.33</v>
      </c>
      <c r="Y121" s="117" t="n">
        <f aca="false">X121</f>
        <v>833.33</v>
      </c>
      <c r="Z121" s="118" t="n">
        <f aca="false">H3</f>
        <v>0</v>
      </c>
      <c r="AB121" s="25" t="s">
        <v>149</v>
      </c>
      <c r="AC121" s="116" t="n">
        <f aca="false">B3</f>
        <v>46854.17</v>
      </c>
      <c r="AD121" s="117" t="n">
        <f aca="false">AC121</f>
        <v>46854.17</v>
      </c>
      <c r="AE121" s="116" t="n">
        <f aca="false">D3</f>
        <v>0</v>
      </c>
      <c r="AF121" s="117" t="n">
        <f aca="false">AE121</f>
        <v>0</v>
      </c>
      <c r="AG121" s="116" t="n">
        <f aca="false">F3</f>
        <v>833.33</v>
      </c>
      <c r="AH121" s="117" t="n">
        <f aca="false">AG121</f>
        <v>833.33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v>0</v>
      </c>
      <c r="D122" s="119" t="n">
        <f aca="false">D4</f>
        <v>0</v>
      </c>
      <c r="E122" s="120" t="n">
        <v>0</v>
      </c>
      <c r="F122" s="119" t="n">
        <f aca="false">F4</f>
        <v>0</v>
      </c>
      <c r="G122" s="451" t="n">
        <v>0</v>
      </c>
      <c r="H122" s="122"/>
      <c r="J122" s="31" t="s">
        <v>150</v>
      </c>
      <c r="K122" s="119" t="n">
        <f aca="false">B4</f>
        <v>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0</v>
      </c>
      <c r="P122" s="451" t="n">
        <f aca="false">O122</f>
        <v>0</v>
      </c>
      <c r="Q122" s="122"/>
      <c r="S122" s="31" t="s">
        <v>150</v>
      </c>
      <c r="T122" s="119" t="n">
        <f aca="false">B4</f>
        <v>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0</v>
      </c>
      <c r="Y122" s="451" t="n">
        <f aca="false">X122</f>
        <v>0</v>
      </c>
      <c r="Z122" s="122"/>
      <c r="AB122" s="31" t="s">
        <v>150</v>
      </c>
      <c r="AC122" s="119" t="n">
        <f aca="false">B4</f>
        <v>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0</v>
      </c>
      <c r="AH122" s="451" t="n">
        <f aca="false">AG122</f>
        <v>0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v>-9754.17</v>
      </c>
      <c r="D123" s="126" t="n">
        <f aca="false">D5</f>
        <v>0</v>
      </c>
      <c r="E123" s="117" t="n">
        <v>0</v>
      </c>
      <c r="F123" s="126" t="n">
        <f aca="false">F5</f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0</v>
      </c>
      <c r="P123" s="117" t="n">
        <f aca="false">O123</f>
        <v>0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0</v>
      </c>
      <c r="Y123" s="117" t="n">
        <f aca="false">X123</f>
        <v>0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0</v>
      </c>
      <c r="AH123" s="117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-9754.17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0</v>
      </c>
      <c r="P124" s="127" t="n">
        <f aca="false">(P121*P122)+P123</f>
        <v>0</v>
      </c>
      <c r="Q124" s="33"/>
      <c r="S124" s="31" t="s">
        <v>152</v>
      </c>
      <c r="T124" s="126" t="n">
        <f aca="false">(T121*T122)+T123</f>
        <v>0</v>
      </c>
      <c r="U124" s="127" t="n">
        <f aca="false">(U121*U122/100)+U123</f>
        <v>117.135425</v>
      </c>
      <c r="V124" s="126" t="n">
        <f aca="false">(V121*V122)+V123</f>
        <v>0</v>
      </c>
      <c r="W124" s="127" t="n">
        <f aca="false">(W121*W122/100)+W123</f>
        <v>0</v>
      </c>
      <c r="X124" s="126" t="n">
        <f aca="false">(X121*X122)+X123</f>
        <v>0</v>
      </c>
      <c r="Y124" s="127" t="n">
        <f aca="false">(Y121*Y122/100)+Y123</f>
        <v>0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11713.5425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0</v>
      </c>
      <c r="AH124" s="127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46854.17</v>
      </c>
      <c r="C125" s="129" t="n">
        <f aca="false">C121-C124</f>
        <v>56608.34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56" t="s">
        <v>153</v>
      </c>
      <c r="K125" s="128" t="n">
        <f aca="false">K121-K124</f>
        <v>46854.17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833.33</v>
      </c>
      <c r="P125" s="129" t="n">
        <f aca="false">P121-P124</f>
        <v>833.33</v>
      </c>
      <c r="Q125" s="65"/>
      <c r="S125" s="56" t="s">
        <v>153</v>
      </c>
      <c r="T125" s="128" t="n">
        <f aca="false">T121-T124</f>
        <v>46854.17</v>
      </c>
      <c r="U125" s="129" t="n">
        <f aca="false">U121-U124</f>
        <v>46737.034575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833.33</v>
      </c>
      <c r="Y125" s="129" t="n">
        <f aca="false">Y121-Y124</f>
        <v>833.33</v>
      </c>
      <c r="Z125" s="65"/>
      <c r="AB125" s="56" t="s">
        <v>153</v>
      </c>
      <c r="AC125" s="128" t="n">
        <f aca="false">AC121-AC124</f>
        <v>46854.17</v>
      </c>
      <c r="AD125" s="129" t="n">
        <f aca="false">AD121-AD124</f>
        <v>35140.6275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833.33</v>
      </c>
      <c r="AH125" s="129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57441.67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47687.5</v>
      </c>
      <c r="Q135" s="150" t="n">
        <f aca="false">L125+N125+P125+Q128</f>
        <v>29462.5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47687.5</v>
      </c>
      <c r="Z135" s="150" t="n">
        <f aca="false">U125+W125+Y125+Z128</f>
        <v>47570.364575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47687.5</v>
      </c>
      <c r="AI135" s="150" t="n">
        <f aca="false">AD125+AF125+AH125+AI128</f>
        <v>35973.9575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550</v>
      </c>
      <c r="Q136" s="33" t="n">
        <f aca="false">P136</f>
        <v>550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550</v>
      </c>
      <c r="Z136" s="33" t="n">
        <f aca="false">Y136</f>
        <v>550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11598.334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9647.5</v>
      </c>
      <c r="Q137" s="33" t="n">
        <f aca="false">(Q135+Q136)*20%</f>
        <v>6002.5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9647.5</v>
      </c>
      <c r="Z137" s="33" t="n">
        <f aca="false">(Z135+Z136)*20%</f>
        <v>9624.072915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f aca="false">G138</f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585</v>
      </c>
      <c r="Q139" s="33" t="n">
        <f aca="false">P139</f>
        <v>585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585</v>
      </c>
      <c r="Z139" s="33" t="n">
        <f aca="false">Y139</f>
        <v>585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58525</v>
      </c>
      <c r="H141" s="154" t="n">
        <f aca="false">(H135+H136+H139+H140+H137)-H138</f>
        <v>70230.004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58525</v>
      </c>
      <c r="Q141" s="154" t="n">
        <f aca="false">(Q135+Q136+Q139+Q140+Q137)-Q138</f>
        <v>36655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58525</v>
      </c>
      <c r="Z141" s="154" t="n">
        <f aca="false">(Z135+Z136+Z139+Z140+Z137)-Z138</f>
        <v>58384.43749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58525</v>
      </c>
      <c r="AI141" s="154" t="n">
        <f aca="false">(AI135+AI136+AI139+AI140+AI137)-AI138</f>
        <v>44468.749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s">
        <v>170</v>
      </c>
      <c r="C144" s="158"/>
      <c r="D144" s="158"/>
      <c r="E144" s="158"/>
      <c r="F144" s="158"/>
      <c r="G144" s="152" t="n">
        <f aca="false">H18</f>
        <v>0</v>
      </c>
      <c r="H144" s="40" t="n">
        <f aca="false">G144</f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58525</v>
      </c>
      <c r="H147" s="161" t="n">
        <f aca="false">H141-((H144*1.2)+(H145*1.2)+(H146*1.2)+(H142*1.2))</f>
        <v>70230.004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58525</v>
      </c>
      <c r="Q147" s="161" t="n">
        <f aca="false">Q141-((Q144*1.2)+(Q145*1.2)+(Q146*1.2)+(Q142*1.2))</f>
        <v>36655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58525</v>
      </c>
      <c r="Z147" s="161" t="n">
        <f aca="false">Z141-((Z144*1.2)+(Z145*1.2)+(Z146*1.2)+(Z142*1.2))</f>
        <v>58384.43749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58525</v>
      </c>
      <c r="AI147" s="161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9754.17</v>
      </c>
      <c r="I148" s="1" t="n">
        <f aca="false">(H148-G81)/1.2</f>
        <v>-49646.5283333333</v>
      </c>
      <c r="J148" s="151" t="s">
        <v>172</v>
      </c>
      <c r="K148" s="151"/>
      <c r="L148" s="151"/>
      <c r="M148" s="151"/>
      <c r="N148" s="151"/>
      <c r="O148" s="151"/>
      <c r="P148" s="152"/>
      <c r="Q148" s="40" t="n">
        <f aca="false">Q147-P147</f>
        <v>-21870</v>
      </c>
      <c r="S148" s="151" t="s">
        <v>172</v>
      </c>
      <c r="T148" s="151"/>
      <c r="U148" s="151"/>
      <c r="V148" s="151"/>
      <c r="W148" s="151"/>
      <c r="X148" s="151"/>
      <c r="Y148" s="152"/>
      <c r="Z148" s="40" t="n">
        <f aca="false">Z147-Y147</f>
        <v>-140.562510000003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n">
        <f aca="false">AI147-AH147</f>
        <v>-14056.251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400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69330.004</v>
      </c>
      <c r="H158" s="167"/>
      <c r="J158" s="166" t="s">
        <v>179</v>
      </c>
      <c r="K158" s="130"/>
      <c r="L158" s="130"/>
      <c r="M158" s="109"/>
      <c r="N158" s="130"/>
      <c r="O158" s="109"/>
      <c r="P158" s="167" t="n">
        <f aca="false">Q147-P154-P157</f>
        <v>37655</v>
      </c>
      <c r="Q158" s="167"/>
      <c r="S158" s="166" t="s">
        <v>179</v>
      </c>
      <c r="T158" s="130"/>
      <c r="U158" s="130"/>
      <c r="V158" s="109"/>
      <c r="W158" s="130"/>
      <c r="X158" s="109"/>
      <c r="Y158" s="167" t="n">
        <f aca="false">Z147-Y154-Y157</f>
        <v>59384.43749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n">
        <f aca="false">AI147-AH154-AH157</f>
        <v>45468.749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367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2116.56102270873</v>
      </c>
      <c r="B167" s="174" t="n">
        <f aca="false">B94</f>
        <v>99.3028235294117</v>
      </c>
      <c r="C167" s="171"/>
      <c r="D167" s="171"/>
      <c r="E167" s="174" t="n">
        <f aca="false">B96</f>
        <v>2215.86384623815</v>
      </c>
      <c r="F167" s="23"/>
      <c r="G167" s="23" t="n">
        <f aca="false">ROUND(G95, 2)</f>
        <v>2032.93</v>
      </c>
      <c r="H167" s="33"/>
      <c r="J167" s="173" t="n">
        <f aca="false">K95</f>
        <v>1506.2831870777</v>
      </c>
      <c r="K167" s="174" t="n">
        <f aca="false">K94</f>
        <v>104.5044</v>
      </c>
      <c r="L167" s="171"/>
      <c r="M167" s="171"/>
      <c r="N167" s="174" t="n">
        <f aca="false">K96</f>
        <v>1610.7875870777</v>
      </c>
      <c r="O167" s="23"/>
      <c r="P167" s="23"/>
      <c r="Q167" s="33"/>
      <c r="S167" s="173" t="n">
        <f aca="false">T95</f>
        <v>1914.4165512663</v>
      </c>
      <c r="T167" s="174" t="n">
        <f aca="false">T94</f>
        <v>82.7523529411765</v>
      </c>
      <c r="U167" s="171"/>
      <c r="V167" s="171"/>
      <c r="W167" s="174" t="n">
        <f aca="false">T96</f>
        <v>1997.16890420748</v>
      </c>
      <c r="X167" s="23"/>
      <c r="Y167" s="23"/>
      <c r="Z167" s="33"/>
      <c r="AB167" s="173" t="n">
        <f aca="false">AC95</f>
        <v>1422.28244899459</v>
      </c>
      <c r="AC167" s="174" t="n">
        <f aca="false">AC94</f>
        <v>99.3028235294117</v>
      </c>
      <c r="AD167" s="171"/>
      <c r="AE167" s="171"/>
      <c r="AF167" s="174" t="n">
        <f aca="false">AC96</f>
        <v>1521.585272524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177" t="n">
        <f aca="false">K30</f>
        <v>35000</v>
      </c>
      <c r="C170" s="178"/>
      <c r="D170" s="23"/>
      <c r="E170" s="179" t="n">
        <f aca="false">IF(A111="YES",A40, 0)</f>
        <v>7680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7680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7680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7680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57991.67</v>
      </c>
      <c r="B173" s="99" t="n">
        <f aca="false">H137</f>
        <v>11598.334</v>
      </c>
      <c r="C173" s="183"/>
      <c r="D173" s="23"/>
      <c r="E173" s="179" t="n">
        <f aca="false">H139+H140</f>
        <v>640</v>
      </c>
      <c r="F173" s="23"/>
      <c r="G173" s="23"/>
      <c r="H173" s="33"/>
      <c r="J173" s="182" t="n">
        <f aca="false">Q141-Q137-Q139-Q140</f>
        <v>30012.5</v>
      </c>
      <c r="K173" s="99" t="n">
        <f aca="false">Q137</f>
        <v>6002.5</v>
      </c>
      <c r="L173" s="183"/>
      <c r="M173" s="23"/>
      <c r="N173" s="179" t="n">
        <f aca="false">Q139+Q140</f>
        <v>640</v>
      </c>
      <c r="O173" s="23"/>
      <c r="P173" s="23"/>
      <c r="Q173" s="33"/>
      <c r="S173" s="182" t="n">
        <f aca="false">Z141-Z137-Z139-Z140</f>
        <v>48120.364575</v>
      </c>
      <c r="T173" s="99" t="n">
        <f aca="false">Z137</f>
        <v>9624.072915</v>
      </c>
      <c r="U173" s="183"/>
      <c r="V173" s="23"/>
      <c r="W173" s="179" t="n">
        <f aca="false">Z139+Z140</f>
        <v>640</v>
      </c>
      <c r="X173" s="23"/>
      <c r="Y173" s="23"/>
      <c r="Z173" s="33"/>
      <c r="AB173" s="182" t="n">
        <f aca="false">AI141-AI137-AI139-AI140</f>
        <v>36523.9575</v>
      </c>
      <c r="AC173" s="99" t="n">
        <f aca="false">AI137</f>
        <v>7304.7915</v>
      </c>
      <c r="AD173" s="183"/>
      <c r="AE173" s="23"/>
      <c r="AF173" s="179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H141</f>
        <v>70230.004</v>
      </c>
      <c r="B176" s="99" t="n">
        <f aca="false">B111</f>
        <v>200</v>
      </c>
      <c r="C176" s="99"/>
      <c r="D176" s="23"/>
      <c r="E176" s="99" t="n">
        <f aca="false">E111</f>
        <v>200</v>
      </c>
      <c r="F176" s="23"/>
      <c r="G176" s="23"/>
      <c r="H176" s="101"/>
      <c r="J176" s="182" t="n">
        <f aca="false">Q141</f>
        <v>36655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58384.43749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44468.749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400</v>
      </c>
      <c r="B179" s="99" t="n">
        <f aca="false">G154</f>
        <v>500</v>
      </c>
      <c r="C179" s="99"/>
      <c r="D179" s="23"/>
      <c r="E179" s="99" t="n">
        <f aca="false">A176-A179-B179</f>
        <v>69330.004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37655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59384.43749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45468.749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10313.0707720969</v>
      </c>
      <c r="B182" s="99" t="str">
        <f aca="false">B114</f>
        <v>239.99</v>
      </c>
      <c r="C182" s="99"/>
      <c r="D182" s="23"/>
      <c r="E182" s="99" t="n">
        <f aca="false">E179+A182+B182+A185</f>
        <v>79893.0647720969</v>
      </c>
      <c r="F182" s="23"/>
      <c r="G182" s="23"/>
      <c r="H182" s="101"/>
      <c r="J182" s="107" t="n">
        <f aca="false">(J167*K59)+N185-N179-J185</f>
        <v>21238.6283606416</v>
      </c>
      <c r="K182" s="99" t="n">
        <f aca="false">K114</f>
        <v>239.99</v>
      </c>
      <c r="L182" s="99"/>
      <c r="M182" s="23"/>
      <c r="N182" s="99" t="n">
        <f aca="false">N179+J182+K182+J185</f>
        <v>59153.6183606416</v>
      </c>
      <c r="O182" s="23"/>
      <c r="P182" s="23"/>
      <c r="Q182" s="101"/>
      <c r="S182" s="107" t="n">
        <f aca="false">(S167*T59)+W185-W179-S185</f>
        <v>13385.7252530543</v>
      </c>
      <c r="T182" s="99" t="n">
        <f aca="false">T114</f>
        <v>199.99</v>
      </c>
      <c r="U182" s="99"/>
      <c r="V182" s="23"/>
      <c r="W182" s="99" t="n">
        <f aca="false">W179+S182+T182+S185</f>
        <v>72980.1527430544</v>
      </c>
      <c r="X182" s="23"/>
      <c r="Y182" s="23"/>
      <c r="Z182" s="101"/>
      <c r="AB182" s="107" t="n">
        <f aca="false">(AB167*AC59)+AF185-AF179-AB185</f>
        <v>10568.8542658161</v>
      </c>
      <c r="AC182" s="99" t="n">
        <f aca="false">AC114</f>
        <v>239.99</v>
      </c>
      <c r="AD182" s="99"/>
      <c r="AE182" s="23"/>
      <c r="AF182" s="99" t="n">
        <f aca="false">AF179+AB182+AC182+AB185</f>
        <v>56287.5932658161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639.99</v>
      </c>
      <c r="C185" s="99"/>
      <c r="D185" s="23"/>
      <c r="E185" s="99" t="n">
        <f aca="false">IF(A40=0,(E167),(E170+A185))</f>
        <v>7690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7700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7690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7690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</f>
        <v>0.11577</v>
      </c>
      <c r="B188" s="99" t="n">
        <f aca="false">(G158*B67)/1.2</f>
        <v>565.713574305556</v>
      </c>
      <c r="C188" s="130"/>
      <c r="D188" s="130"/>
      <c r="E188" s="99" t="n">
        <f aca="false">(E40*A108)*0.1*C45/100</f>
        <v>46.893</v>
      </c>
      <c r="F188" s="23"/>
      <c r="G188" s="23"/>
      <c r="H188" s="33"/>
      <c r="J188" s="107" t="n">
        <f aca="false">IF(N105="YES", H15*0.000002, 0)</f>
        <v>0.11705</v>
      </c>
      <c r="K188" s="99" t="n">
        <f aca="false">(P158*K67)/1.2</f>
        <v>2320.75086805556</v>
      </c>
      <c r="L188" s="130"/>
      <c r="M188" s="130"/>
      <c r="N188" s="99" t="n">
        <f aca="false">(E40*J108)*0.1</f>
        <v>70.3395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484.560514241319</v>
      </c>
      <c r="U188" s="130"/>
      <c r="V188" s="130"/>
      <c r="W188" s="99" t="n">
        <f aca="false">(E40*S108)*0.1</f>
        <v>46.893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371.012361631944</v>
      </c>
      <c r="AD188" s="130"/>
      <c r="AE188" s="130"/>
      <c r="AF188" s="99" t="n">
        <f aca="false">(E40*AB108)*0.1</f>
        <v>46.893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712.598240972222</v>
      </c>
      <c r="C191" s="130"/>
      <c r="D191" s="130"/>
      <c r="E191" s="99" t="n">
        <f aca="false">H148</f>
        <v>9754.17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3531.08036805556</v>
      </c>
      <c r="L191" s="130"/>
      <c r="M191" s="130"/>
      <c r="N191" s="99" t="n">
        <f aca="false">Q148</f>
        <v>-21870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1631.44351424132</v>
      </c>
      <c r="U191" s="130"/>
      <c r="V191" s="130"/>
      <c r="W191" s="99" t="n">
        <f aca="false">Z148</f>
        <v>-140.562510000003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1557.89536163194</v>
      </c>
      <c r="AD191" s="130"/>
      <c r="AE191" s="130"/>
      <c r="AF191" s="99" t="n">
        <f aca="false">AI148</f>
        <v>-14056.251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2215.86384623815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1610.7875870777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1997.16890420748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1521.585272524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368</v>
      </c>
      <c r="B200" s="130" t="s">
        <v>369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7469.616</v>
      </c>
      <c r="B201" s="183" t="n">
        <f aca="false">E179+A201+B182+A185</f>
        <v>77049.61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2116.56102270873</v>
      </c>
      <c r="B212" s="174" t="n">
        <f aca="false">B167</f>
        <v>99.3028235294117</v>
      </c>
      <c r="C212" s="171"/>
      <c r="D212" s="171"/>
      <c r="E212" s="174" t="n">
        <f aca="false">E167</f>
        <v>2215.86384623815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57991.67</v>
      </c>
      <c r="B215" s="99" t="n">
        <f aca="false">B173</f>
        <v>11598.334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70230.004</v>
      </c>
      <c r="B218" s="99" t="n">
        <f aca="false">B176</f>
        <v>200</v>
      </c>
      <c r="C218" s="99"/>
      <c r="D218" s="109"/>
      <c r="E218" s="99" t="n">
        <f aca="false">E176</f>
        <v>200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400</v>
      </c>
      <c r="B221" s="99" t="n">
        <f aca="false">B179</f>
        <v>500</v>
      </c>
      <c r="C221" s="99"/>
      <c r="D221" s="109"/>
      <c r="E221" s="99" t="n">
        <f aca="false">E179</f>
        <v>69330.004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10313.0707720969</v>
      </c>
      <c r="B224" s="99" t="str">
        <f aca="false">B182</f>
        <v>239.99</v>
      </c>
      <c r="C224" s="99"/>
      <c r="D224" s="109"/>
      <c r="E224" s="99" t="n">
        <f aca="false">E182</f>
        <v>79893.0647720969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639.99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2116.56102270873</v>
      </c>
      <c r="B230" s="99" t="n">
        <f aca="false">B167</f>
        <v>99.3028235294117</v>
      </c>
      <c r="C230" s="183"/>
      <c r="D230" s="183"/>
      <c r="E230" s="99" t="n">
        <f aca="false">E167</f>
        <v>2215.86384623815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7680</v>
      </c>
      <c r="B233" s="99" t="n">
        <f aca="false">E185</f>
        <v>7690</v>
      </c>
      <c r="C233" s="130"/>
      <c r="D233" s="130"/>
      <c r="E233" s="99" t="n">
        <f aca="false">J18*0.000006*100*1.2</f>
        <v>41.6772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0)*100*1.2</f>
        <v>13.8924</v>
      </c>
      <c r="B236" s="99" t="n">
        <f aca="false">E233+A236</f>
        <v>55.5696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9754.17</v>
      </c>
      <c r="B240" s="99" t="n">
        <f aca="false">B68</f>
        <v>565.713574305556</v>
      </c>
      <c r="C240" s="130"/>
      <c r="D240" s="130"/>
      <c r="E240" s="99" t="n">
        <f aca="false">E188</f>
        <v>46.893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10466.7682409722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453" t="n">
        <f aca="false">(E182-B182)-(B201-B182-A185)</f>
        <v>2853.45477209694</v>
      </c>
      <c r="C254" s="194"/>
      <c r="D254" s="195" t="s">
        <v>213</v>
      </c>
      <c r="E254" s="195"/>
      <c r="F254" s="196" t="n">
        <f aca="false">F261+F267+F269+B270+B271</f>
        <v>678.856289166667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568.921666666667</v>
      </c>
      <c r="C255" s="194"/>
      <c r="D255" s="195" t="s">
        <v>215</v>
      </c>
      <c r="E255" s="195"/>
      <c r="F255" s="196" t="n">
        <f aca="false">(B254-F254)+B255</f>
        <v>2743.52014959694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0.024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0.089</v>
      </c>
      <c r="C260" s="43"/>
      <c r="D260" s="163" t="s">
        <v>212</v>
      </c>
      <c r="E260" s="163"/>
      <c r="F260" s="143" t="n">
        <f aca="false">B254</f>
        <v>2853.45477209694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0.00979166666666667</v>
      </c>
      <c r="C261" s="32"/>
      <c r="D261" s="163" t="s">
        <v>218</v>
      </c>
      <c r="E261" s="163"/>
      <c r="F261" s="148" t="n">
        <f aca="false">B68*1.2</f>
        <v>678.856289166667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468.93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2743.52014959694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HirePurchaseNonRegulated!$K$9:$K$10</formula1>
      <formula2>0</formula2>
    </dataValidation>
    <dataValidation allowBlank="true" operator="between" showDropDown="false" showErrorMessage="true" showInputMessage="true" sqref="E105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6" colorId="64" zoomScale="85" zoomScaleNormal="85" zoomScalePageLayoutView="100" workbookViewId="0">
      <selection pane="topLeft" activeCell="E183" activeCellId="0" sqref="E183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379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46854.17</v>
      </c>
      <c r="C3" s="440" t="n">
        <v>0</v>
      </c>
      <c r="D3" s="440" t="n">
        <v>0.0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0.0</v>
      </c>
      <c r="C4" s="120" t="n">
        <v>0</v>
      </c>
      <c r="D4" s="120" t="n">
        <v>0.0</v>
      </c>
      <c r="E4" s="120"/>
      <c r="F4" s="120" t="n">
        <v>0.0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0.0</v>
      </c>
      <c r="C5" s="440" t="n">
        <v>0</v>
      </c>
      <c r="D5" s="440" t="n">
        <v>0.0</v>
      </c>
      <c r="E5" s="440"/>
      <c r="F5" s="440" t="n">
        <v>0.0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46854.17</v>
      </c>
      <c r="F9" s="149"/>
      <c r="G9" s="133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50</v>
      </c>
      <c r="F10" s="151"/>
      <c r="G10" s="152"/>
      <c r="H10" s="441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585</v>
      </c>
      <c r="F13" s="151"/>
      <c r="G13" s="152"/>
      <c r="H13" s="441" t="n">
        <v>585.0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55.0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120</v>
      </c>
      <c r="F16" s="151"/>
      <c r="G16" s="152"/>
      <c r="H16" s="441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349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390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7" t="n">
        <v>35.0</v>
      </c>
      <c r="P29" s="208"/>
    </row>
    <row r="30" customFormat="false" ht="17.9" hidden="false" customHeight="false" outlineLevel="0" collapsed="false">
      <c r="A30" s="31" t="s">
        <v>181</v>
      </c>
      <c r="B30" s="100" t="s">
        <v>387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35000.0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11520.0</v>
      </c>
      <c r="P31" s="208"/>
    </row>
    <row r="32" customFormat="false" ht="34.8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350</v>
      </c>
      <c r="F32" s="130"/>
      <c r="G32" s="130"/>
      <c r="H32" s="33"/>
      <c r="I32" s="2" t="n">
        <v>0</v>
      </c>
      <c r="J32" s="29" t="s">
        <v>36</v>
      </c>
      <c r="K32" s="448" t="n">
        <v>0.0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1412.57396550835</v>
      </c>
      <c r="F33" s="228"/>
      <c r="G33" s="228"/>
      <c r="H33" s="47"/>
      <c r="I33" s="2"/>
      <c r="J33" s="34" t="s">
        <v>351</v>
      </c>
      <c r="K33" s="48" t="n">
        <f aca="false">H21-H11+(H16*20%)</f>
        <v>48877.5</v>
      </c>
      <c r="L33" s="1" t="n">
        <f aca="false">H21-H11+(H16*20%)</f>
        <v>48877.5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352</v>
      </c>
      <c r="B35" s="130" t="s">
        <v>353</v>
      </c>
      <c r="C35" s="130"/>
      <c r="D35" s="208"/>
      <c r="E35" s="130" t="s">
        <v>354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1412.57396550835</v>
      </c>
      <c r="B36" s="228" t="str">
        <f aca="false">IF(B26="YES", K42, "0.00")</f>
        <v>0.00</v>
      </c>
      <c r="C36" s="228"/>
      <c r="D36" s="228"/>
      <c r="E36" s="228" t="n">
        <f aca="false">K31</f>
        <v>5760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355</v>
      </c>
      <c r="B39" s="130" t="s">
        <v>356</v>
      </c>
      <c r="C39" s="130"/>
      <c r="D39" s="208"/>
      <c r="E39" s="130" t="s">
        <v>357</v>
      </c>
      <c r="F39" s="183"/>
      <c r="G39" s="183"/>
      <c r="H39" s="47"/>
      <c r="J39" s="2" t="s">
        <v>84</v>
      </c>
      <c r="K39" s="2" t="n">
        <f aca="false">K33</f>
        <v>48877.5</v>
      </c>
      <c r="L39" s="2" t="n">
        <f aca="false">(L47*K46)+K44</f>
        <v>29395.0621646443</v>
      </c>
      <c r="N39" s="1" t="n">
        <f aca="false">K39-L39</f>
        <v>19482.4378353557</v>
      </c>
      <c r="P39" s="208"/>
    </row>
    <row r="40" customFormat="false" ht="17.35" hidden="false" customHeight="false" outlineLevel="0" collapsed="false">
      <c r="A40" s="312" t="n">
        <f aca="false">E36*A45/100</f>
        <v>28575.0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106</v>
      </c>
      <c r="K40" s="2" t="n">
        <f aca="false">(A40)/1.2</f>
        <v>4800</v>
      </c>
      <c r="L40" s="2" t="n">
        <f aca="false">K39-L39</f>
        <v>19482.4378353557</v>
      </c>
      <c r="N40" s="1" t="n">
        <f aca="false">N38-N39</f>
        <v>-16570.7578353557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358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359</v>
      </c>
      <c r="K42" s="2" t="n">
        <f aca="false">(K32/K36/100)*C45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360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361</v>
      </c>
      <c r="K44" s="2" t="n">
        <f aca="false">(K40/(1+K41)^(K36+1))</f>
        <v>3951.68528957505</v>
      </c>
      <c r="L44" s="2"/>
      <c r="P44" s="208"/>
    </row>
    <row r="45" customFormat="false" ht="17.35" hidden="false" customHeight="false" outlineLevel="0" collapsed="false">
      <c r="A45" s="507" t="n">
        <v>100.0</v>
      </c>
      <c r="B45" s="130"/>
      <c r="C45" s="506" t="n">
        <v>100.0</v>
      </c>
      <c r="D45" s="506"/>
      <c r="E45" s="506"/>
      <c r="F45" s="130"/>
      <c r="G45" s="130"/>
      <c r="H45" s="33"/>
      <c r="J45" s="2" t="s">
        <v>362</v>
      </c>
      <c r="K45" s="2" t="n">
        <f aca="false">(K39-K44)</f>
        <v>44925.814710425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363</v>
      </c>
      <c r="K46" s="2" t="n">
        <f aca="false">((1-(1/((1+K41)^K36)))/K41)</f>
        <v>31.8042210938366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364</v>
      </c>
      <c r="K47" s="2" t="n">
        <f aca="false">K45/K46</f>
        <v>1412.57396550835</v>
      </c>
      <c r="L47" s="2" t="n">
        <f aca="false">L49-K42</f>
        <v>800</v>
      </c>
      <c r="M47" s="1" t="n">
        <f aca="false">K47-L47</f>
        <v>612.573965508348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365</v>
      </c>
      <c r="K48" s="2" t="n">
        <f aca="false">IF(B26="YES", K47+K42, K47)</f>
        <v>1412.57396550835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366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1412.57396550835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57885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57885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57885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0.0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25390.3414098237</v>
      </c>
      <c r="C65" s="130"/>
      <c r="D65" s="130"/>
      <c r="E65" s="109"/>
      <c r="F65" s="109"/>
      <c r="G65" s="109"/>
      <c r="H65" s="33"/>
      <c r="J65" s="56" t="s">
        <v>90</v>
      </c>
      <c r="K65" s="65" t="n">
        <f aca="false">(K89*K59)-(K47*K29)</f>
        <v>1773.53956784947</v>
      </c>
      <c r="L65" s="130"/>
      <c r="M65" s="130"/>
      <c r="N65" s="109"/>
      <c r="O65" s="109"/>
      <c r="P65" s="109"/>
      <c r="Q65" s="33"/>
      <c r="S65" s="56" t="s">
        <v>90</v>
      </c>
      <c r="T65" s="65" t="n">
        <f aca="false">(T89*T59)-(K47*K29)</f>
        <v>17228.8532519684</v>
      </c>
      <c r="U65" s="130"/>
      <c r="V65" s="130"/>
      <c r="W65" s="109"/>
      <c r="X65" s="109"/>
      <c r="Y65" s="109"/>
      <c r="Z65" s="33"/>
      <c r="AB65" s="56" t="s">
        <v>90</v>
      </c>
      <c r="AC65" s="65" t="n">
        <f aca="false">(AC89*AC59)-(K47*K29)</f>
        <v>496.293774730148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552.65801875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4281.078125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566.790625</v>
      </c>
      <c r="U68" s="130"/>
      <c r="V68" s="130"/>
      <c r="W68" s="109"/>
      <c r="X68" s="109"/>
      <c r="Y68" s="109"/>
      <c r="Z68" s="33"/>
      <c r="AB68" s="56" t="s">
        <v>93</v>
      </c>
      <c r="AC68" s="65" t="n">
        <f aca="false">AH158*AC67</f>
        <v>445.214833958333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09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09"/>
      <c r="G77" s="109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1412.57396550835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1412.57396550835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1412.57396550835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1412.57396550835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67730.004</v>
      </c>
      <c r="C81" s="130"/>
      <c r="D81" s="130"/>
      <c r="E81" s="109"/>
      <c r="F81" s="25" t="s">
        <v>105</v>
      </c>
      <c r="G81" s="27" t="n">
        <f aca="false">G158</f>
        <v>67730.004</v>
      </c>
      <c r="H81" s="33"/>
      <c r="J81" s="25" t="s">
        <v>105</v>
      </c>
      <c r="K81" s="27" t="n">
        <f aca="false">P158</f>
        <v>37655</v>
      </c>
      <c r="L81" s="130"/>
      <c r="M81" s="130"/>
      <c r="N81" s="109"/>
      <c r="O81" s="109"/>
      <c r="P81" s="109"/>
      <c r="Q81" s="33"/>
      <c r="S81" s="25" t="s">
        <v>105</v>
      </c>
      <c r="T81" s="27" t="n">
        <f aca="false">Y158</f>
        <v>59384.43749</v>
      </c>
      <c r="U81" s="130"/>
      <c r="V81" s="130"/>
      <c r="W81" s="109"/>
      <c r="X81" s="109"/>
      <c r="Y81" s="109"/>
      <c r="Z81" s="33"/>
      <c r="AB81" s="25" t="s">
        <v>105</v>
      </c>
      <c r="AC81" s="27" t="n">
        <f aca="false">AH158</f>
        <v>45468.749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5760</v>
      </c>
      <c r="C82" s="130"/>
      <c r="D82" s="130"/>
      <c r="E82" s="109"/>
      <c r="F82" s="31" t="s">
        <v>106</v>
      </c>
      <c r="G82" s="33" t="n">
        <f aca="false">IF(A111 = "Yes", A40, 0)</f>
        <v>5760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5760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5760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5" t="n">
        <f aca="false">B62+B63+B64</f>
        <v>0.115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130"/>
      <c r="D85" s="130"/>
      <c r="E85" s="109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4125.21367271309</v>
      </c>
      <c r="C86" s="130"/>
      <c r="D86" s="130"/>
      <c r="E86" s="109"/>
      <c r="F86" s="31" t="s">
        <v>110</v>
      </c>
      <c r="G86" s="33" t="n">
        <f aca="false">(G82/((1+G84)^(G85+1)))</f>
        <v>4767.7083018723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3938.9911005945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3938.9911005945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28.8995114056174</v>
      </c>
      <c r="C87" s="130"/>
      <c r="D87" s="130"/>
      <c r="E87" s="109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63604.7903272869</v>
      </c>
      <c r="C88" s="130"/>
      <c r="D88" s="130"/>
      <c r="E88" s="109"/>
      <c r="F88" s="31" t="s">
        <v>112</v>
      </c>
      <c r="G88" s="33" t="n">
        <f aca="false">G81-G86</f>
        <v>62962.2956981277</v>
      </c>
      <c r="H88" s="33"/>
      <c r="J88" s="31" t="s">
        <v>112</v>
      </c>
      <c r="K88" s="33" t="n">
        <f aca="false">K81-K86</f>
        <v>37655</v>
      </c>
      <c r="L88" s="130"/>
      <c r="M88" s="130"/>
      <c r="N88" s="109"/>
      <c r="O88" s="109"/>
      <c r="P88" s="109"/>
      <c r="Q88" s="33"/>
      <c r="S88" s="31" t="s">
        <v>112</v>
      </c>
      <c r="T88" s="33" t="n">
        <f aca="false">T81-T86</f>
        <v>55445.4463894055</v>
      </c>
      <c r="U88" s="130"/>
      <c r="V88" s="130"/>
      <c r="W88" s="109"/>
      <c r="X88" s="109"/>
      <c r="Y88" s="109"/>
      <c r="Z88" s="33"/>
      <c r="AB88" s="31" t="s">
        <v>112</v>
      </c>
      <c r="AC88" s="33" t="n">
        <f aca="false">AC81-AC86</f>
        <v>41529.7578994055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2200.89500595929</v>
      </c>
      <c r="C89" s="130"/>
      <c r="D89" s="130"/>
      <c r="E89" s="109"/>
      <c r="F89" s="31" t="s">
        <v>113</v>
      </c>
      <c r="G89" s="33" t="n">
        <f aca="false">(G88/G87)</f>
        <v>2032.58302192958</v>
      </c>
      <c r="H89" s="33"/>
      <c r="J89" s="31" t="s">
        <v>113</v>
      </c>
      <c r="K89" s="33" t="n">
        <f aca="false">(K88/K87)</f>
        <v>1506.2831870777</v>
      </c>
      <c r="L89" s="130"/>
      <c r="M89" s="130"/>
      <c r="N89" s="109"/>
      <c r="O89" s="109"/>
      <c r="P89" s="109"/>
      <c r="Q89" s="33"/>
      <c r="S89" s="31" t="s">
        <v>113</v>
      </c>
      <c r="T89" s="33" t="n">
        <f aca="false">(T88/T87)</f>
        <v>1960.8512366106</v>
      </c>
      <c r="U89" s="130"/>
      <c r="V89" s="130"/>
      <c r="W89" s="109"/>
      <c r="X89" s="109"/>
      <c r="Y89" s="109"/>
      <c r="Z89" s="33"/>
      <c r="AB89" s="31" t="s">
        <v>113</v>
      </c>
      <c r="AC89" s="33" t="n">
        <f aca="false">(AC88/AC87)</f>
        <v>1468.71713433889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74830.4302026159</v>
      </c>
      <c r="C90" s="130"/>
      <c r="D90" s="130"/>
      <c r="E90" s="109"/>
      <c r="F90" s="31" t="s">
        <v>114</v>
      </c>
      <c r="G90" s="33" t="n">
        <f aca="false">((G89*(G85))+G77)</f>
        <v>69107.8227456056</v>
      </c>
      <c r="H90" s="33"/>
      <c r="J90" s="31" t="s">
        <v>114</v>
      </c>
      <c r="K90" s="33" t="n">
        <f aca="false">((K89*(K85))+K77)</f>
        <v>52719.9115477193</v>
      </c>
      <c r="L90" s="130"/>
      <c r="M90" s="130"/>
      <c r="N90" s="109"/>
      <c r="O90" s="109"/>
      <c r="P90" s="109"/>
      <c r="Q90" s="33"/>
      <c r="S90" s="31" t="s">
        <v>114</v>
      </c>
      <c r="T90" s="33" t="n">
        <f aca="false">(T89*(T85))+T77</f>
        <v>66668.9420447605</v>
      </c>
      <c r="U90" s="130"/>
      <c r="V90" s="130"/>
      <c r="W90" s="109"/>
      <c r="X90" s="109"/>
      <c r="Y90" s="109"/>
      <c r="Z90" s="33"/>
      <c r="AB90" s="31" t="s">
        <v>114</v>
      </c>
      <c r="AC90" s="33" t="n">
        <f aca="false">(AC89*(AC59))+AC77</f>
        <v>49936.3825675223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115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115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74830.4302026159</v>
      </c>
      <c r="C92" s="130"/>
      <c r="D92" s="130"/>
      <c r="E92" s="109"/>
      <c r="F92" s="56" t="s">
        <v>116</v>
      </c>
      <c r="G92" s="65" t="n">
        <f aca="false">(G90+G91)</f>
        <v>69107.8227456056</v>
      </c>
      <c r="H92" s="33"/>
      <c r="J92" s="56" t="s">
        <v>116</v>
      </c>
      <c r="K92" s="65" t="n">
        <f aca="false">(K90+K91)</f>
        <v>52719.9115477193</v>
      </c>
      <c r="L92" s="130"/>
      <c r="M92" s="130"/>
      <c r="N92" s="109"/>
      <c r="O92" s="109"/>
      <c r="P92" s="109"/>
      <c r="Q92" s="33"/>
      <c r="S92" s="56" t="s">
        <v>116</v>
      </c>
      <c r="T92" s="65" t="n">
        <f aca="false">(T90+T91)</f>
        <v>66668.9420447605</v>
      </c>
      <c r="U92" s="130"/>
      <c r="V92" s="130"/>
      <c r="W92" s="109"/>
      <c r="X92" s="109"/>
      <c r="Y92" s="109"/>
      <c r="Z92" s="33"/>
      <c r="AB92" s="56" t="s">
        <v>116</v>
      </c>
      <c r="AC92" s="65" t="n">
        <f aca="false">(AC90+AC91)</f>
        <v>49936.3825675223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89" t="str">
        <f aca="false">IF(B26="YES",((E40/B85)*(1+A108)*(C45/100)),"0")</f>
        <v>0</v>
      </c>
      <c r="C94" s="130"/>
      <c r="D94" s="130"/>
      <c r="E94" s="109"/>
      <c r="F94" s="88" t="s">
        <v>117</v>
      </c>
      <c r="G94" s="259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2200.89500595929</v>
      </c>
      <c r="C95" s="130"/>
      <c r="D95" s="130"/>
      <c r="E95" s="109"/>
      <c r="F95" s="91" t="s">
        <v>118</v>
      </c>
      <c r="G95" s="92" t="n">
        <f aca="false">G92/(G85)</f>
        <v>2032.58302192958</v>
      </c>
      <c r="H95" s="33"/>
      <c r="J95" s="91" t="s">
        <v>118</v>
      </c>
      <c r="K95" s="92" t="n">
        <f aca="false">K92/(K85)</f>
        <v>1506.2831870777</v>
      </c>
      <c r="L95" s="130"/>
      <c r="M95" s="130"/>
      <c r="N95" s="109"/>
      <c r="O95" s="109"/>
      <c r="P95" s="109"/>
      <c r="Q95" s="33"/>
      <c r="S95" s="91" t="s">
        <v>118</v>
      </c>
      <c r="T95" s="92" t="n">
        <f aca="false">T92/(T85)</f>
        <v>1960.8512366106</v>
      </c>
      <c r="U95" s="130"/>
      <c r="V95" s="130"/>
      <c r="W95" s="109"/>
      <c r="X95" s="109"/>
      <c r="Y95" s="109"/>
      <c r="Z95" s="33"/>
      <c r="AB95" s="91" t="s">
        <v>118</v>
      </c>
      <c r="AC95" s="92" t="n">
        <f aca="false">AC92/(AC59)</f>
        <v>1468.71713433889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(B94+B95)</f>
        <v>2200.89500595929</v>
      </c>
      <c r="C96" s="130"/>
      <c r="D96" s="130"/>
      <c r="E96" s="109"/>
      <c r="F96" s="93" t="s">
        <v>119</v>
      </c>
      <c r="G96" s="94" t="n">
        <f aca="false">G94+G95</f>
        <v>2032.58302192958</v>
      </c>
      <c r="H96" s="33"/>
      <c r="J96" s="93" t="s">
        <v>119</v>
      </c>
      <c r="K96" s="94" t="n">
        <f aca="false">(K94+K95)</f>
        <v>1506.2831870777</v>
      </c>
      <c r="L96" s="130"/>
      <c r="M96" s="130"/>
      <c r="N96" s="109"/>
      <c r="O96" s="109"/>
      <c r="P96" s="109"/>
      <c r="Q96" s="33"/>
      <c r="S96" s="93" t="s">
        <v>119</v>
      </c>
      <c r="T96" s="94" t="n">
        <f aca="false">T94+T95</f>
        <v>1960.8512366106</v>
      </c>
      <c r="U96" s="130"/>
      <c r="V96" s="130"/>
      <c r="W96" s="109"/>
      <c r="X96" s="109"/>
      <c r="Y96" s="109"/>
      <c r="Z96" s="33"/>
      <c r="AB96" s="93" t="s">
        <v>119</v>
      </c>
      <c r="AC96" s="94" t="n">
        <f aca="false">AC94+AC95</f>
        <v>1468.71713433889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390</v>
      </c>
      <c r="F105" s="100"/>
      <c r="G105" s="10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s">
        <v>404</v>
      </c>
      <c r="C108" s="103"/>
      <c r="D108" s="103"/>
      <c r="E108" s="104" t="n">
        <f aca="false">B83</f>
        <v>0.115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386</v>
      </c>
      <c r="B111" s="103" t="n">
        <v>1000.0</v>
      </c>
      <c r="C111" s="103"/>
      <c r="D111" s="103"/>
      <c r="E111" s="103" t="n">
        <v>1000.0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406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n">
        <v>0.3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25" t="s">
        <v>149</v>
      </c>
      <c r="K121" s="116" t="n">
        <f aca="false">B3</f>
        <v>46854.17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833.33</v>
      </c>
      <c r="P121" s="117" t="n">
        <f aca="false">O121</f>
        <v>833.33</v>
      </c>
      <c r="Q121" s="118" t="n">
        <f aca="false">H3</f>
        <v>0</v>
      </c>
      <c r="S121" s="25" t="s">
        <v>149</v>
      </c>
      <c r="T121" s="116" t="n">
        <f aca="false">B3</f>
        <v>46854.17</v>
      </c>
      <c r="U121" s="117" t="n">
        <f aca="false">T121</f>
        <v>46854.17</v>
      </c>
      <c r="V121" s="116" t="n">
        <f aca="false">D3</f>
        <v>0</v>
      </c>
      <c r="W121" s="117" t="n">
        <f aca="false">V121</f>
        <v>0</v>
      </c>
      <c r="X121" s="116" t="n">
        <f aca="false">F3</f>
        <v>833.33</v>
      </c>
      <c r="Y121" s="117" t="n">
        <f aca="false">X121</f>
        <v>833.33</v>
      </c>
      <c r="Z121" s="118" t="n">
        <f aca="false">H3</f>
        <v>0</v>
      </c>
      <c r="AB121" s="25" t="s">
        <v>149</v>
      </c>
      <c r="AC121" s="116" t="n">
        <f aca="false">B3</f>
        <v>46854.17</v>
      </c>
      <c r="AD121" s="117" t="n">
        <f aca="false">AC121</f>
        <v>46854.17</v>
      </c>
      <c r="AE121" s="116" t="n">
        <f aca="false">D3</f>
        <v>0</v>
      </c>
      <c r="AF121" s="117" t="n">
        <f aca="false">AE121</f>
        <v>0</v>
      </c>
      <c r="AG121" s="116" t="n">
        <f aca="false">F3</f>
        <v>833.33</v>
      </c>
      <c r="AH121" s="117" t="n">
        <f aca="false">AG121</f>
        <v>833.33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v>0.0</v>
      </c>
      <c r="D122" s="119" t="n">
        <f aca="false">D4</f>
        <v>0</v>
      </c>
      <c r="E122" s="120" t="n">
        <v>0.0</v>
      </c>
      <c r="F122" s="119" t="n">
        <f aca="false">F4</f>
        <v>0</v>
      </c>
      <c r="G122" s="451" t="n">
        <v>0.0</v>
      </c>
      <c r="H122" s="122"/>
      <c r="J122" s="31" t="s">
        <v>150</v>
      </c>
      <c r="K122" s="119" t="n">
        <f aca="false">B4</f>
        <v>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0</v>
      </c>
      <c r="P122" s="451" t="n">
        <f aca="false">O122</f>
        <v>0</v>
      </c>
      <c r="Q122" s="122"/>
      <c r="S122" s="31" t="s">
        <v>150</v>
      </c>
      <c r="T122" s="119" t="n">
        <f aca="false">B4</f>
        <v>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0</v>
      </c>
      <c r="Y122" s="451" t="n">
        <f aca="false">X122</f>
        <v>0</v>
      </c>
      <c r="Z122" s="122"/>
      <c r="AB122" s="31" t="s">
        <v>150</v>
      </c>
      <c r="AC122" s="119" t="n">
        <f aca="false">B4</f>
        <v>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0</v>
      </c>
      <c r="AH122" s="451" t="n">
        <f aca="false">AG122</f>
        <v>0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v>-9754.17</v>
      </c>
      <c r="D123" s="126" t="n">
        <f aca="false">D5</f>
        <v>0</v>
      </c>
      <c r="E123" s="117" t="n">
        <v>0.0</v>
      </c>
      <c r="F123" s="126" t="n">
        <f aca="false">F5</f>
        <v>0</v>
      </c>
      <c r="G123" s="117" t="n">
        <v>0.0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0</v>
      </c>
      <c r="P123" s="117" t="n">
        <f aca="false">O123</f>
        <v>0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0</v>
      </c>
      <c r="Y123" s="117" t="n">
        <f aca="false">X123</f>
        <v>0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0</v>
      </c>
      <c r="AH123" s="117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-9754.17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0</v>
      </c>
      <c r="P124" s="127" t="n">
        <f aca="false">(P121*P122)+P123</f>
        <v>0</v>
      </c>
      <c r="Q124" s="33"/>
      <c r="S124" s="31" t="s">
        <v>152</v>
      </c>
      <c r="T124" s="126" t="n">
        <f aca="false">(T121*T122)+T123</f>
        <v>0</v>
      </c>
      <c r="U124" s="127" t="n">
        <f aca="false">(U121*U122/100)+U123</f>
        <v>117.135425</v>
      </c>
      <c r="V124" s="126" t="n">
        <f aca="false">(V121*V122)+V123</f>
        <v>0</v>
      </c>
      <c r="W124" s="127" t="n">
        <f aca="false">(W121*W122/100)+W123</f>
        <v>0</v>
      </c>
      <c r="X124" s="126" t="n">
        <f aca="false">(X121*X122)+X123</f>
        <v>0</v>
      </c>
      <c r="Y124" s="127" t="n">
        <f aca="false">(Y121*Y122/100)+Y123</f>
        <v>0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11713.5425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0</v>
      </c>
      <c r="AH124" s="127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46854.17</v>
      </c>
      <c r="C125" s="129" t="n">
        <f aca="false">C121-C124</f>
        <v>56608.34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56" t="s">
        <v>153</v>
      </c>
      <c r="K125" s="128" t="n">
        <f aca="false">K121-K124</f>
        <v>46854.17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833.33</v>
      </c>
      <c r="P125" s="129" t="n">
        <f aca="false">P121-P124</f>
        <v>833.33</v>
      </c>
      <c r="Q125" s="65"/>
      <c r="S125" s="56" t="s">
        <v>153</v>
      </c>
      <c r="T125" s="128" t="n">
        <f aca="false">T121-T124</f>
        <v>46854.17</v>
      </c>
      <c r="U125" s="129" t="n">
        <f aca="false">U121-U124</f>
        <v>46737.034575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833.33</v>
      </c>
      <c r="Y125" s="129" t="n">
        <f aca="false">Y121-Y124</f>
        <v>833.33</v>
      </c>
      <c r="Z125" s="65"/>
      <c r="AB125" s="56" t="s">
        <v>153</v>
      </c>
      <c r="AC125" s="128" t="n">
        <f aca="false">AC121-AC124</f>
        <v>46854.17</v>
      </c>
      <c r="AD125" s="129" t="n">
        <f aca="false">AD121-AD124</f>
        <v>35140.6275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833.33</v>
      </c>
      <c r="AH125" s="129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57441.67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47687.5</v>
      </c>
      <c r="Q135" s="150" t="n">
        <f aca="false">L125+N125+P125+Q128</f>
        <v>29462.5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47687.5</v>
      </c>
      <c r="Z135" s="150" t="n">
        <f aca="false">U125+W125+Y125+Z128</f>
        <v>47570.364575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47687.5</v>
      </c>
      <c r="AI135" s="150" t="n">
        <f aca="false">AD125+AF125+AH125+AI128</f>
        <v>35973.9575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550</v>
      </c>
      <c r="Q136" s="33" t="n">
        <f aca="false">P136</f>
        <v>550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550</v>
      </c>
      <c r="Z136" s="33" t="n">
        <f aca="false">Y136</f>
        <v>550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11598.334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9647.5</v>
      </c>
      <c r="Q137" s="33" t="n">
        <f aca="false">(Q135+Q136)*20%</f>
        <v>6002.5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9647.5</v>
      </c>
      <c r="Z137" s="33" t="n">
        <f aca="false">(Z135+Z136)*20%</f>
        <v>9624.072915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f aca="false">G138</f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585</v>
      </c>
      <c r="Q139" s="33" t="n">
        <f aca="false">P139</f>
        <v>585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585</v>
      </c>
      <c r="Z139" s="33" t="n">
        <f aca="false">Y139</f>
        <v>585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58525</v>
      </c>
      <c r="H141" s="154" t="n">
        <f aca="false">(H135+H136+H139+H140+H137)-H138</f>
        <v>70230.004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58525</v>
      </c>
      <c r="Q141" s="154" t="n">
        <f aca="false">(Q135+Q136+Q139+Q140+Q137)-Q138</f>
        <v>36655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58525</v>
      </c>
      <c r="Z141" s="154" t="n">
        <f aca="false">(Z135+Z136+Z139+Z140+Z137)-Z138</f>
        <v>58384.43749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58525</v>
      </c>
      <c r="AI141" s="154" t="n">
        <f aca="false">(AI135+AI136+AI139+AI140+AI137)-AI138</f>
        <v>44468.749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s">
        <v>170</v>
      </c>
      <c r="C144" s="158"/>
      <c r="D144" s="158"/>
      <c r="E144" s="158"/>
      <c r="F144" s="158"/>
      <c r="G144" s="152" t="n">
        <f aca="false">H18</f>
        <v>0</v>
      </c>
      <c r="H144" s="40" t="n">
        <f aca="false">G144</f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58525</v>
      </c>
      <c r="H147" s="161" t="n">
        <f aca="false">H141-((H144*1.2)+(H145*1.2)+(H146*1.2)+(H142*1.2))</f>
        <v>70230.004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58525</v>
      </c>
      <c r="Q147" s="161" t="n">
        <f aca="false">Q141-((Q144*1.2)+(Q145*1.2)+(Q146*1.2)+(Q142*1.2))</f>
        <v>36655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58525</v>
      </c>
      <c r="Z147" s="161" t="n">
        <f aca="false">Z141-((Z144*1.2)+(Z145*1.2)+(Z146*1.2)+(Z142*1.2))</f>
        <v>58384.43749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58525</v>
      </c>
      <c r="AI147" s="161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9754.17</v>
      </c>
      <c r="I148" s="1" t="n">
        <f aca="false">(H148-G81)/1.2</f>
        <v>-48313.195</v>
      </c>
      <c r="J148" s="151" t="s">
        <v>172</v>
      </c>
      <c r="K148" s="151"/>
      <c r="L148" s="151"/>
      <c r="M148" s="151"/>
      <c r="N148" s="151"/>
      <c r="O148" s="151"/>
      <c r="P148" s="152"/>
      <c r="Q148" s="40" t="n">
        <f aca="false">Q147-P147</f>
        <v>-21870</v>
      </c>
      <c r="S148" s="151" t="s">
        <v>172</v>
      </c>
      <c r="T148" s="151"/>
      <c r="U148" s="151"/>
      <c r="V148" s="151"/>
      <c r="W148" s="151"/>
      <c r="X148" s="151"/>
      <c r="Y148" s="152"/>
      <c r="Z148" s="40" t="n">
        <f aca="false">Z147-Y147</f>
        <v>-140.562510000003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n">
        <f aca="false">AI147-AH147</f>
        <v>-14056.251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0.0</v>
      </c>
      <c r="F152" s="103"/>
      <c r="G152" s="103" t="n">
        <v>1000.0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500.0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67730.004</v>
      </c>
      <c r="H158" s="167"/>
      <c r="J158" s="166" t="s">
        <v>179</v>
      </c>
      <c r="K158" s="130"/>
      <c r="L158" s="130"/>
      <c r="M158" s="109"/>
      <c r="N158" s="130"/>
      <c r="O158" s="109"/>
      <c r="P158" s="167" t="n">
        <f aca="false">Q147-P154-P157</f>
        <v>37655</v>
      </c>
      <c r="Q158" s="167"/>
      <c r="S158" s="166" t="s">
        <v>179</v>
      </c>
      <c r="T158" s="130"/>
      <c r="U158" s="130"/>
      <c r="V158" s="109"/>
      <c r="W158" s="130"/>
      <c r="X158" s="109"/>
      <c r="Y158" s="167" t="n">
        <f aca="false">Z147-Y154-Y157</f>
        <v>59384.43749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n">
        <f aca="false">AI147-AH154-AH157</f>
        <v>45468.749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367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2200.89500595929</v>
      </c>
      <c r="B167" s="174" t="str">
        <f aca="false">B94</f>
        <v>0</v>
      </c>
      <c r="C167" s="171"/>
      <c r="D167" s="171"/>
      <c r="E167" s="174" t="n">
        <f aca="false">B96</f>
        <v>2200.89500595929</v>
      </c>
      <c r="F167" s="23"/>
      <c r="G167" s="23" t="n">
        <f aca="false">ROUND(G95, 2)</f>
        <v>2032.58</v>
      </c>
      <c r="H167" s="33"/>
      <c r="J167" s="173" t="n">
        <f aca="false">K95</f>
        <v>1506.2831870777</v>
      </c>
      <c r="K167" s="174" t="n">
        <f aca="false">K94</f>
        <v>0</v>
      </c>
      <c r="L167" s="171"/>
      <c r="M167" s="171"/>
      <c r="N167" s="174" t="n">
        <f aca="false">K96</f>
        <v>1506.2831870777</v>
      </c>
      <c r="O167" s="23"/>
      <c r="P167" s="23"/>
      <c r="Q167" s="33"/>
      <c r="S167" s="173" t="n">
        <f aca="false">T95</f>
        <v>1960.8512366106</v>
      </c>
      <c r="T167" s="174" t="n">
        <f aca="false">T94</f>
        <v>0</v>
      </c>
      <c r="U167" s="171"/>
      <c r="V167" s="171"/>
      <c r="W167" s="174" t="n">
        <f aca="false">T96</f>
        <v>1960.8512366106</v>
      </c>
      <c r="X167" s="23"/>
      <c r="Y167" s="23"/>
      <c r="Z167" s="33"/>
      <c r="AB167" s="173" t="n">
        <f aca="false">AC95</f>
        <v>1468.71713433889</v>
      </c>
      <c r="AC167" s="174" t="n">
        <f aca="false">AC94</f>
        <v>0</v>
      </c>
      <c r="AD167" s="171"/>
      <c r="AE167" s="171"/>
      <c r="AF167" s="174" t="n">
        <f aca="false">AC96</f>
        <v>1468.71713433889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177" t="n">
        <f aca="false">K30</f>
        <v>35000</v>
      </c>
      <c r="C170" s="178"/>
      <c r="D170" s="23"/>
      <c r="E170" s="179" t="n">
        <f aca="false">IF(A111="YES",A40, 0)</f>
        <v>5760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5760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5760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5760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57991.67</v>
      </c>
      <c r="B173" s="99" t="n">
        <f aca="false">H137</f>
        <v>11598.334</v>
      </c>
      <c r="C173" s="183"/>
      <c r="D173" s="23"/>
      <c r="E173" s="179" t="n">
        <f aca="false">H139+H140</f>
        <v>640</v>
      </c>
      <c r="F173" s="23"/>
      <c r="G173" s="23"/>
      <c r="H173" s="33"/>
      <c r="J173" s="182" t="n">
        <f aca="false">Q141-Q137-Q139-Q140</f>
        <v>30012.5</v>
      </c>
      <c r="K173" s="99" t="n">
        <f aca="false">Q137</f>
        <v>6002.5</v>
      </c>
      <c r="L173" s="183"/>
      <c r="M173" s="23"/>
      <c r="N173" s="179" t="n">
        <f aca="false">Q139+Q140</f>
        <v>640</v>
      </c>
      <c r="O173" s="23"/>
      <c r="P173" s="23"/>
      <c r="Q173" s="33"/>
      <c r="S173" s="182" t="n">
        <f aca="false">Z141-Z137-Z139-Z140</f>
        <v>48120.364575</v>
      </c>
      <c r="T173" s="99" t="n">
        <f aca="false">Z137</f>
        <v>9624.072915</v>
      </c>
      <c r="U173" s="183"/>
      <c r="V173" s="23"/>
      <c r="W173" s="179" t="n">
        <f aca="false">Z139+Z140</f>
        <v>640</v>
      </c>
      <c r="X173" s="23"/>
      <c r="Y173" s="23"/>
      <c r="Z173" s="33"/>
      <c r="AB173" s="182" t="n">
        <f aca="false">AI141-AI137-AI139-AI140</f>
        <v>36523.9575</v>
      </c>
      <c r="AC173" s="99" t="n">
        <f aca="false">AI137</f>
        <v>7304.7915</v>
      </c>
      <c r="AD173" s="183"/>
      <c r="AE173" s="23"/>
      <c r="AF173" s="179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H141</f>
        <v>70230.004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n">
        <f aca="false">Q141</f>
        <v>36655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58384.43749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44468.749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67730.004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37655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59384.43749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45468.749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12860.4262026159</v>
      </c>
      <c r="B182" s="99" t="str">
        <f aca="false">B114</f>
        <v>199.99</v>
      </c>
      <c r="C182" s="99"/>
      <c r="D182" s="23"/>
      <c r="E182" s="99" t="n">
        <f aca="false">E179+A182+(B182*1.2)+A185</f>
        <v>80840.4182026159</v>
      </c>
      <c r="F182" s="23"/>
      <c r="G182" s="23"/>
      <c r="H182" s="101"/>
      <c r="J182" s="107" t="n">
        <f aca="false">(J167*K59)+N185-N179-J185</f>
        <v>19318.6283606416</v>
      </c>
      <c r="K182" s="99" t="n">
        <f aca="false">K114</f>
        <v>239.99</v>
      </c>
      <c r="L182" s="99"/>
      <c r="M182" s="23"/>
      <c r="N182" s="99" t="n">
        <f aca="false">N179+J182+K182+J185</f>
        <v>57233.6183606416</v>
      </c>
      <c r="O182" s="23"/>
      <c r="P182" s="23"/>
      <c r="Q182" s="101"/>
      <c r="S182" s="107" t="n">
        <f aca="false">(S167*T59)+W185-W179-S185</f>
        <v>13044.5045547605</v>
      </c>
      <c r="T182" s="99" t="n">
        <f aca="false">T114</f>
        <v>199.99</v>
      </c>
      <c r="U182" s="99"/>
      <c r="V182" s="23"/>
      <c r="W182" s="99" t="n">
        <f aca="false">W179+S182+T182+S185</f>
        <v>72638.9320447605</v>
      </c>
      <c r="X182" s="23"/>
      <c r="Y182" s="23"/>
      <c r="Z182" s="101"/>
      <c r="AB182" s="107" t="n">
        <f aca="false">(AB167*AC59)+AF185-AF179-AB185</f>
        <v>10227.6335675223</v>
      </c>
      <c r="AC182" s="99" t="n">
        <f aca="false">AC114</f>
        <v>239.99</v>
      </c>
      <c r="AD182" s="99"/>
      <c r="AE182" s="23"/>
      <c r="AF182" s="99" t="n">
        <f aca="false">AF179+AB182+AC182+AB185</f>
        <v>55946.3725675223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2239.988</v>
      </c>
      <c r="C185" s="99"/>
      <c r="D185" s="23"/>
      <c r="E185" s="99" t="n">
        <f aca="false">IF(A40=0,(E167),(E170+A185))</f>
        <v>5770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5780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5770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5770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</f>
        <v>0</v>
      </c>
      <c r="B188" s="99" t="n">
        <f aca="false">(G158*B67)/1.2</f>
        <v>552.65801875</v>
      </c>
      <c r="C188" s="130"/>
      <c r="D188" s="130"/>
      <c r="E188" s="99" t="n">
        <f aca="false">(E40*A108)*0.1*(C45/100)</f>
        <v>0</v>
      </c>
      <c r="F188" s="23"/>
      <c r="G188" s="23"/>
      <c r="H188" s="33"/>
      <c r="J188" s="107" t="n">
        <f aca="false">IF(N105="YES", H15*0.000002, 0)</f>
        <v>0.11705</v>
      </c>
      <c r="K188" s="99" t="n">
        <f aca="false">(P158*K67)/1.2</f>
        <v>2320.75086805556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484.560514241319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371.012361631944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652.64801875</v>
      </c>
      <c r="C191" s="130"/>
      <c r="D191" s="130"/>
      <c r="E191" s="99" t="n">
        <f aca="false">H148</f>
        <v>9754.17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3460.74086805556</v>
      </c>
      <c r="L191" s="130"/>
      <c r="M191" s="130"/>
      <c r="N191" s="99" t="n">
        <f aca="false">Q148</f>
        <v>-21870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1584.55051424132</v>
      </c>
      <c r="U191" s="130"/>
      <c r="V191" s="130"/>
      <c r="W191" s="99" t="n">
        <f aca="false">Z148</f>
        <v>-140.562510000003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1511.00236163194</v>
      </c>
      <c r="AD191" s="130"/>
      <c r="AE191" s="130"/>
      <c r="AF191" s="99" t="n">
        <f aca="false">AI148</f>
        <v>-14056.251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2200.89500595929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1506.2831870777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1960.8512366106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1468.71713433889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368</v>
      </c>
      <c r="B200" s="130" t="s">
        <v>369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7137.716</v>
      </c>
      <c r="B201" s="183" t="n">
        <f aca="false">E179+A201+(B182*1.2)+A185</f>
        <v>75117.708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2200.89500595929</v>
      </c>
      <c r="B212" s="174" t="str">
        <f aca="false">B167</f>
        <v>0</v>
      </c>
      <c r="C212" s="171"/>
      <c r="D212" s="171"/>
      <c r="E212" s="174" t="n">
        <f aca="false">E167</f>
        <v>2200.89500595929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57991.67</v>
      </c>
      <c r="B215" s="99" t="n">
        <f aca="false">B173</f>
        <v>11598.334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70230.004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67730.004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12860.4262026159</v>
      </c>
      <c r="B224" s="99" t="str">
        <f aca="false">B182</f>
        <v>199.99</v>
      </c>
      <c r="C224" s="99"/>
      <c r="D224" s="109"/>
      <c r="E224" s="99" t="n">
        <f aca="false">E182</f>
        <v>80840.4182026159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2200.89500595929</v>
      </c>
      <c r="B230" s="99" t="str">
        <f aca="false">B167</f>
        <v>0</v>
      </c>
      <c r="C230" s="183"/>
      <c r="D230" s="183"/>
      <c r="E230" s="99" t="n">
        <f aca="false">E167</f>
        <v>2200.89500595929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5760</v>
      </c>
      <c r="B233" s="99" t="n">
        <f aca="false">E185</f>
        <v>5770</v>
      </c>
      <c r="C233" s="130"/>
      <c r="D233" s="130"/>
      <c r="E233" s="99" t="n">
        <f aca="false">J18*0.000006*100</f>
        <v>34.731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</f>
        <v>0</v>
      </c>
      <c r="B236" s="99" t="n">
        <f aca="false">E233+A236</f>
        <v>34.731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9754.17</v>
      </c>
      <c r="B240" s="99" t="n">
        <f aca="false">B68</f>
        <v>552.65801875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10406.81801875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 t="n">
        <f aca="false">(E182-B182)-(B201-B182-A185)</f>
        <v>5732.71020261585</v>
      </c>
      <c r="C254" s="194"/>
      <c r="D254" s="195" t="s">
        <v>213</v>
      </c>
      <c r="E254" s="195"/>
      <c r="F254" s="196" t="n">
        <f aca="false">F261+F267+F269+B270+B271</f>
        <v>663.1896225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5169.51058011585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B254</f>
        <v>5732.71020261585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0.00979166666666667</v>
      </c>
      <c r="C261" s="32"/>
      <c r="D261" s="163" t="s">
        <v>218</v>
      </c>
      <c r="E261" s="163"/>
      <c r="F261" s="148" t="n">
        <f aca="false">B68*1.2</f>
        <v>663.1896225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5169.51058011585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ContractPurchase!$Z$19:$Z$20</formula1>
      <formula2>0</formula2>
    </dataValidation>
    <dataValidation allowBlank="true" operator="between" showDropDown="false" showErrorMessage="true" showInputMessage="true" sqref="E105" type="list">
      <formula1>ContractPurchase!$Z$19:$Z$20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 t="s">
        <v>18</v>
      </c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262" t="n">
        <v>46854.17</v>
      </c>
      <c r="C3" s="498" t="n">
        <v>0.0</v>
      </c>
      <c r="D3" s="262" t="n">
        <v>833.33</v>
      </c>
      <c r="E3" s="499" t="n">
        <v>0</v>
      </c>
      <c r="F3" s="63"/>
      <c r="G3" s="63" t="n">
        <v>25000</v>
      </c>
      <c r="H3" s="63"/>
      <c r="I3" s="63" t="s">
        <v>19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0" t="n">
        <v>0.0</v>
      </c>
      <c r="C4" s="0" t="n">
        <v>0.0</v>
      </c>
      <c r="D4" s="0" t="n">
        <v>0.0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0.0</v>
      </c>
      <c r="C5" s="498" t="n">
        <v>0.0</v>
      </c>
      <c r="D5" s="498" t="n">
        <v>0.0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455" t="n">
        <f aca="false">G9*100/B3</f>
        <v>-222.685622218897</v>
      </c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47687.5</v>
      </c>
      <c r="F9" s="63"/>
      <c r="G9" s="454" t="n">
        <f aca="false">E9-G11</f>
        <v>-104337.5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454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 E9 + E10 ) * 0.2</f>
        <v>9647.5</v>
      </c>
      <c r="F11" s="63"/>
      <c r="G11" s="454" t="n">
        <f aca="false">G13/1.2</f>
        <v>152025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454" t="n">
        <f aca="false">G15-E14-E13-E12</f>
        <v>182430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58525</v>
      </c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456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58345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349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19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7" t="n">
        <v>22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346</v>
      </c>
      <c r="C30" s="169"/>
      <c r="D30" s="211"/>
      <c r="E30" s="212"/>
      <c r="F30" s="63"/>
      <c r="G30" s="214" t="s">
        <v>32</v>
      </c>
      <c r="H30" s="457" t="n">
        <v>22000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14750</v>
      </c>
      <c r="I31" s="234" t="n">
        <f aca="false">IF(C107="YES",H31,0)</f>
        <v>14750</v>
      </c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8" t="s">
        <v>350</v>
      </c>
      <c r="E32" s="212"/>
      <c r="F32" s="63"/>
      <c r="G32" s="214" t="s">
        <v>36</v>
      </c>
      <c r="I32" s="448" t="n">
        <v>0</v>
      </c>
      <c r="J32" s="63"/>
      <c r="K32" s="63" t="n">
        <v>2160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22</v>
      </c>
      <c r="B33" s="225" t="n">
        <v>10000</v>
      </c>
      <c r="C33" s="226"/>
      <c r="D33" s="459" t="n">
        <f aca="false">H48</f>
        <v>1830.71247241309</v>
      </c>
      <c r="E33" s="212"/>
      <c r="F33" s="63"/>
      <c r="G33" s="215" t="s">
        <v>351</v>
      </c>
      <c r="H33" s="460" t="n">
        <f aca="false">E21-E11+((E16*20%)+(E19*20%)+(E20*20%))</f>
        <v>48727.5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370</v>
      </c>
      <c r="H34" s="63" t="n">
        <f aca="false">H29</f>
        <v>22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352</v>
      </c>
      <c r="B35" s="211" t="s">
        <v>353</v>
      </c>
      <c r="C35" s="211"/>
      <c r="D35" s="211" t="s">
        <v>354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1830.71247241309</v>
      </c>
      <c r="B36" s="99" t="str">
        <f aca="false">IF(B26="YES", H42, "")</f>
        <v/>
      </c>
      <c r="C36" s="217"/>
      <c r="D36" s="181" t="n">
        <f aca="false">I31</f>
        <v>14750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355</v>
      </c>
      <c r="B39" s="211" t="s">
        <v>356</v>
      </c>
      <c r="C39" s="211"/>
      <c r="D39" s="211" t="s">
        <v>357</v>
      </c>
      <c r="E39" s="212"/>
      <c r="F39" s="63"/>
      <c r="G39" s="63" t="s">
        <v>84</v>
      </c>
      <c r="H39" s="234" t="n">
        <f aca="false">H33</f>
        <v>48727.5</v>
      </c>
      <c r="I39" s="234" t="n">
        <f aca="false">(I48*H46)+H44</f>
        <v>39817.3455221928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14750</v>
      </c>
      <c r="B40" s="103" t="str">
        <f aca="false">IF(B26="YES",H42,"0")</f>
        <v>0</v>
      </c>
      <c r="C40" s="103"/>
      <c r="D40" s="181" t="n">
        <f aca="false">I32</f>
        <v>0</v>
      </c>
      <c r="E40" s="212"/>
      <c r="F40" s="63"/>
      <c r="G40" s="63" t="s">
        <v>106</v>
      </c>
      <c r="H40" s="234" t="n">
        <f aca="false">A40/1.2</f>
        <v>12291.6666666667</v>
      </c>
      <c r="I40" s="234" t="n">
        <f aca="false">H39-I39</f>
        <v>8910.15447780716</v>
      </c>
      <c r="J40" s="63" t="n">
        <v>24583.34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358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359</v>
      </c>
      <c r="H42" s="234" t="n">
        <f aca="false">(I32/H34)*(C45/100)</f>
        <v>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360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1"/>
      <c r="C44" s="362" t="s">
        <v>77</v>
      </c>
      <c r="D44" s="362"/>
      <c r="E44" s="212"/>
      <c r="F44" s="63"/>
      <c r="G44" s="63" t="s">
        <v>371</v>
      </c>
      <c r="H44" s="234" t="n">
        <f aca="false">(H40/(1+H41)^(H34+1))</f>
        <v>10855.527446569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1"/>
      <c r="C45" s="463" t="n">
        <v>100</v>
      </c>
      <c r="D45" s="463"/>
      <c r="E45" s="212"/>
      <c r="F45" s="63"/>
      <c r="G45" s="63" t="s">
        <v>372</v>
      </c>
      <c r="H45" s="234" t="n">
        <f aca="false">(H39-H44)</f>
        <v>37871.972553431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373</v>
      </c>
      <c r="H46" s="234" t="n">
        <f aca="false">((1-(1/((1+H41)^H34)))/H41)</f>
        <v>20.6870129111599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364</v>
      </c>
      <c r="H47" s="234" t="n">
        <f aca="false">H45/H46</f>
        <v>1830.71247241309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4" t="s">
        <v>365</v>
      </c>
      <c r="H48" s="234" t="n">
        <f aca="false">IF(B26="YES", H47+H42, H47)</f>
        <v>1830.71247241309</v>
      </c>
      <c r="I48" s="234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366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22000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22</v>
      </c>
      <c r="B52" s="74" t="n">
        <f aca="false">H48</f>
        <v>1830.71247241309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21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21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21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57885</v>
      </c>
      <c r="C61" s="211"/>
      <c r="D61" s="211"/>
      <c r="E61" s="212"/>
      <c r="F61" s="63"/>
      <c r="G61" s="210" t="s">
        <v>14</v>
      </c>
      <c r="H61" s="290" t="n">
        <f aca="false">G18</f>
        <v>57885</v>
      </c>
      <c r="I61" s="211"/>
      <c r="J61" s="211"/>
      <c r="K61" s="212"/>
      <c r="L61" s="63"/>
      <c r="M61" s="210" t="s">
        <v>14</v>
      </c>
      <c r="N61" s="290" t="n">
        <f aca="false">G18</f>
        <v>57885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0.0845833333333333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0.0845833333333333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0.0845833333333333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B61*B63</f>
        <v>4896.10625</v>
      </c>
      <c r="C64" s="211" t="n">
        <v>10000</v>
      </c>
      <c r="D64" s="290" t="n">
        <f aca="false">B64-A143</f>
        <v>4896.10625</v>
      </c>
      <c r="E64" s="212"/>
      <c r="F64" s="63"/>
      <c r="G64" s="284" t="s">
        <v>90</v>
      </c>
      <c r="H64" s="129" t="n">
        <f aca="false">H61*H63</f>
        <v>4896.10625</v>
      </c>
      <c r="I64" s="211"/>
      <c r="J64" s="290" t="n">
        <f aca="false">H64-G145</f>
        <v>4896.10625</v>
      </c>
      <c r="K64" s="212"/>
      <c r="L64" s="63"/>
      <c r="M64" s="284" t="s">
        <v>90</v>
      </c>
      <c r="N64" s="129" t="n">
        <f aca="false">N61*N63</f>
        <v>4896.10625</v>
      </c>
      <c r="O64" s="211"/>
      <c r="P64" s="290" t="n">
        <f aca="false">N64-M145</f>
        <v>4896.10625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11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0.0141666666666667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0.0141666666666667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0.0141666666666667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820.0375</v>
      </c>
      <c r="C67" s="211"/>
      <c r="D67" s="290"/>
      <c r="E67" s="212"/>
      <c r="F67" s="63"/>
      <c r="G67" s="284" t="s">
        <v>93</v>
      </c>
      <c r="H67" s="129" t="n">
        <f aca="false">(H61*H66)/1.2</f>
        <v>683.364583333333</v>
      </c>
      <c r="I67" s="211"/>
      <c r="J67" s="290"/>
      <c r="K67" s="212"/>
      <c r="L67" s="63"/>
      <c r="M67" s="284" t="s">
        <v>93</v>
      </c>
      <c r="N67" s="129" t="n">
        <f aca="false">(N61*N66)/1.2</f>
        <v>683.364583333333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471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1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110</v>
      </c>
      <c r="C73" s="211"/>
      <c r="D73" s="290" t="n">
        <f aca="false">B73+B71</f>
        <v>310</v>
      </c>
      <c r="E73" s="212"/>
      <c r="F73" s="63"/>
      <c r="G73" s="284" t="s">
        <v>99</v>
      </c>
      <c r="H73" s="129" t="n">
        <f aca="false">H72*H29</f>
        <v>99</v>
      </c>
      <c r="I73" s="211"/>
      <c r="J73" s="290" t="n">
        <f aca="false">H73+H71</f>
        <v>259</v>
      </c>
      <c r="K73" s="212"/>
      <c r="L73" s="63"/>
      <c r="M73" s="284" t="s">
        <v>99</v>
      </c>
      <c r="N73" s="129" t="n">
        <f aca="false">N72*H29</f>
        <v>99</v>
      </c>
      <c r="O73" s="211"/>
      <c r="P73" s="290" t="n">
        <f aca="false">N73+N71</f>
        <v>259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430" t="s">
        <v>277</v>
      </c>
      <c r="B74" s="431" t="n">
        <v>0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32" t="s">
        <v>278</v>
      </c>
      <c r="B75" s="433" t="n">
        <v>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434" t="s">
        <v>279</v>
      </c>
      <c r="B76" s="435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151.25</v>
      </c>
      <c r="I76" s="211"/>
      <c r="J76" s="290" t="n">
        <f aca="false">H76</f>
        <v>151.25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12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211"/>
      <c r="D79" s="290" t="n">
        <f aca="false">B79</f>
        <v>200</v>
      </c>
      <c r="E79" s="212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211"/>
      <c r="D80" s="290" t="n">
        <f aca="false">B80</f>
        <v>200</v>
      </c>
      <c r="E80" s="212"/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6272.77291666667</v>
      </c>
      <c r="C81" s="211"/>
      <c r="D81" s="211"/>
      <c r="E81" s="212"/>
      <c r="F81" s="63"/>
      <c r="G81" s="302" t="s">
        <v>102</v>
      </c>
      <c r="H81" s="303" t="n">
        <f aca="false">SUM(J64:J80)</f>
        <v>5706.35625</v>
      </c>
      <c r="I81" s="211"/>
      <c r="J81" s="211"/>
      <c r="K81" s="212"/>
      <c r="L81" s="63"/>
      <c r="M81" s="302" t="s">
        <v>102</v>
      </c>
      <c r="N81" s="303" t="n">
        <f aca="false">SUM(P64:P80)</f>
        <v>5555.10625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285.126041666667</v>
      </c>
      <c r="C82" s="211"/>
      <c r="D82" s="211"/>
      <c r="E82" s="212"/>
      <c r="F82" s="63"/>
      <c r="G82" s="210" t="s">
        <v>103</v>
      </c>
      <c r="H82" s="299" t="n">
        <f aca="false">H81/H29</f>
        <v>259.379829545455</v>
      </c>
      <c r="I82" s="211"/>
      <c r="J82" s="211"/>
      <c r="K82" s="212"/>
      <c r="L82" s="63"/>
      <c r="M82" s="210" t="s">
        <v>103</v>
      </c>
      <c r="N82" s="299" t="n">
        <f aca="false">N81/H29</f>
        <v>252.504829545455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1830.71247241309</v>
      </c>
      <c r="C83" s="211"/>
      <c r="D83" s="211"/>
      <c r="E83" s="212"/>
      <c r="F83" s="63"/>
      <c r="G83" s="304" t="s">
        <v>104</v>
      </c>
      <c r="H83" s="305" t="n">
        <f aca="false">H47</f>
        <v>1830.71247241309</v>
      </c>
      <c r="I83" s="211"/>
      <c r="J83" s="211"/>
      <c r="K83" s="212"/>
      <c r="L83" s="63"/>
      <c r="M83" s="304" t="s">
        <v>104</v>
      </c>
      <c r="N83" s="305" t="n">
        <f aca="false">H47</f>
        <v>1830.71247241309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</f>
        <v>46548.4473097546</v>
      </c>
      <c r="C85" s="211"/>
      <c r="D85" s="211"/>
      <c r="E85" s="212"/>
      <c r="F85" s="63"/>
      <c r="G85" s="287" t="s">
        <v>114</v>
      </c>
      <c r="H85" s="127" t="n">
        <f aca="false">((H83*H29)+H81)*1.2</f>
        <v>55178.4367717055</v>
      </c>
      <c r="I85" s="211"/>
      <c r="J85" s="211"/>
      <c r="K85" s="212"/>
      <c r="L85" s="63"/>
      <c r="M85" s="287" t="s">
        <v>114</v>
      </c>
      <c r="N85" s="127" t="n">
        <f aca="false">((N83*H29)+N81)</f>
        <v>45830.7806430879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(B85/(1-B70))*B70</f>
        <v>394.31923900962</v>
      </c>
      <c r="C86" s="211"/>
      <c r="D86" s="211"/>
      <c r="E86" s="212"/>
      <c r="F86" s="63"/>
      <c r="G86" s="210" t="s">
        <v>115</v>
      </c>
      <c r="H86" s="299" t="n">
        <f aca="false">((((H83*H29)+H81))/(1-H70))*H70</f>
        <v>389.52103408828</v>
      </c>
      <c r="I86" s="211"/>
      <c r="J86" s="211"/>
      <c r="K86" s="212"/>
      <c r="L86" s="63"/>
      <c r="M86" s="210" t="s">
        <v>115</v>
      </c>
      <c r="N86" s="299" t="n">
        <f aca="false">(N85/(1-N70))*N70</f>
        <v>388.239771482391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IF(B110="YES",((B85+B86)-E114),(B85+B86))</f>
        <v>46942.7665487642</v>
      </c>
      <c r="C87" s="211"/>
      <c r="D87" s="211"/>
      <c r="E87" s="212"/>
      <c r="F87" s="63"/>
      <c r="G87" s="284" t="s">
        <v>116</v>
      </c>
      <c r="H87" s="129" t="n">
        <f aca="false">IF(H110="YES",((H85+H86)-K114),(H85+H86))</f>
        <v>55567.9578057938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46219.0204145703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(D40+(D40*B105))/(B58), (D40+(D40*B105))/(B57+B58))*(C45/100)</f>
        <v>0</v>
      </c>
      <c r="C89" s="211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0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0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2133.76211585292</v>
      </c>
      <c r="C90" s="211"/>
      <c r="D90" s="211"/>
      <c r="E90" s="212"/>
      <c r="F90" s="63"/>
      <c r="G90" s="307" t="s">
        <v>118</v>
      </c>
      <c r="H90" s="308" t="n">
        <f aca="false">IF(H99=Y98, (H87-J105)/(H58), H87/(H57+H58))</f>
        <v>2058.0725113257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1711.81557091001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2133.76211585292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2058.0725113257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1711.81557091001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340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261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</v>
      </c>
      <c r="E99" s="103"/>
      <c r="F99" s="63"/>
      <c r="G99" s="216" t="s">
        <v>284</v>
      </c>
      <c r="H99" s="311" t="s">
        <v>263</v>
      </c>
      <c r="I99" s="311"/>
      <c r="J99" s="103" t="n">
        <v>0</v>
      </c>
      <c r="K99" s="103"/>
      <c r="L99" s="63"/>
      <c r="M99" s="216" t="s">
        <v>284</v>
      </c>
      <c r="N99" s="311" t="s">
        <v>263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262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263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264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0.0</v>
      </c>
      <c r="C102" s="103"/>
      <c r="D102" s="103" t="n">
        <v>0.0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19</v>
      </c>
      <c r="B105" s="313" t="n">
        <v>0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 t="s">
        <v>341</v>
      </c>
      <c r="C107" s="218" t="s">
        <v>18</v>
      </c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s">
        <v>290</v>
      </c>
      <c r="B108" s="213"/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18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(E118*1.2)+E117-E114</f>
        <v>-2760.012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22</v>
      </c>
      <c r="C125" s="324"/>
      <c r="D125" s="323" t="n">
        <f aca="false">B160</f>
        <v>22000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250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2058.0725113257</v>
      </c>
      <c r="H127" s="174" t="n">
        <f aca="false">IF(G105="YES", H89*H57, 0)</f>
        <v>0</v>
      </c>
      <c r="I127" s="174"/>
      <c r="J127" s="333" t="n">
        <f aca="false">H91</f>
        <v>2058.0725113257</v>
      </c>
      <c r="K127" s="212"/>
      <c r="L127" s="63"/>
      <c r="M127" s="332" t="n">
        <f aca="false">N90</f>
        <v>1711.81557091001</v>
      </c>
      <c r="N127" s="174" t="n">
        <f aca="false">IF(M105="YES", N89*N57, 0)</f>
        <v>0</v>
      </c>
      <c r="O127" s="174"/>
      <c r="P127" s="174" t="n">
        <f aca="false">N91</f>
        <v>1711.81557091001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2133.76211585292</v>
      </c>
      <c r="B128" s="320" t="n">
        <f aca="false">IF(A105="YES", B89, 0)</f>
        <v>0</v>
      </c>
      <c r="C128" s="324"/>
      <c r="D128" s="320" t="n">
        <f aca="false">B91</f>
        <v>2133.76211585292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22</v>
      </c>
      <c r="H130" s="225" t="n">
        <f aca="false">B151</f>
        <v>0</v>
      </c>
      <c r="I130" s="226"/>
      <c r="J130" s="225" t="n">
        <f aca="false">B58</f>
        <v>21</v>
      </c>
      <c r="K130" s="212"/>
      <c r="L130" s="63"/>
      <c r="M130" s="224" t="n">
        <f aca="false">M155</f>
        <v>22</v>
      </c>
      <c r="N130" s="225" t="n">
        <f aca="false">B151</f>
        <v>0</v>
      </c>
      <c r="O130" s="226"/>
      <c r="P130" s="225" t="n">
        <f aca="false">B58</f>
        <v>21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2133.76211585292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239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12348.4350679542</v>
      </c>
      <c r="H133" s="99" t="n">
        <f aca="false">IF(G105="YES", H89*H57, 0)</f>
        <v>0</v>
      </c>
      <c r="I133" s="217"/>
      <c r="J133" s="181" t="n">
        <f aca="false">H91*H57</f>
        <v>12348.4350679542</v>
      </c>
      <c r="K133" s="212"/>
      <c r="L133" s="63"/>
      <c r="M133" s="182" t="n">
        <f aca="false">N90*N57</f>
        <v>10270.8934254601</v>
      </c>
      <c r="N133" s="99" t="n">
        <f aca="false">IF(M105="YES", N89*N57, 0)</f>
        <v>0</v>
      </c>
      <c r="O133" s="217"/>
      <c r="P133" s="181" t="n">
        <f aca="false">N91*N57</f>
        <v>10270.8934254601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2133.76211585292</v>
      </c>
      <c r="B134" s="38" t="n">
        <f aca="false">E114</f>
        <v>4000</v>
      </c>
      <c r="C134" s="316"/>
      <c r="D134" s="336" t="n">
        <f aca="false">B58</f>
        <v>21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252</v>
      </c>
      <c r="N135" s="211" t="s">
        <v>253</v>
      </c>
      <c r="O135" s="211"/>
      <c r="P135" s="211" t="s">
        <v>257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0.35115</v>
      </c>
      <c r="H136" s="99" t="n">
        <f aca="false">IF(G105="YES", E15*0.000002, 0)</f>
        <v>0.11705</v>
      </c>
      <c r="I136" s="99"/>
      <c r="J136" s="99" t="n">
        <f aca="false">G136+H136</f>
        <v>0.4682</v>
      </c>
      <c r="K136" s="101"/>
      <c r="L136" s="63"/>
      <c r="M136" s="107" t="n">
        <f aca="false">E15*0.000006</f>
        <v>0.35115</v>
      </c>
      <c r="N136" s="99" t="n">
        <f aca="false">IF(M105="YES", E15*0.000002, 0)</f>
        <v>0.11705</v>
      </c>
      <c r="O136" s="99"/>
      <c r="P136" s="99" t="n">
        <f aca="false">M136+N136</f>
        <v>0.4682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2133.76211585292</v>
      </c>
      <c r="B137" s="38" t="n">
        <f aca="false">IF(A105="YES", B89, 0)</f>
        <v>0</v>
      </c>
      <c r="C137" s="316"/>
      <c r="D137" s="38" t="n">
        <f aca="false">B91</f>
        <v>2133.76211585292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683.364583333333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683.364583333333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41.6772</v>
      </c>
      <c r="B140" s="342" t="n">
        <f aca="false">IF(A105="YES", G18*0.000002, 0)*1.2*100</f>
        <v>0</v>
      </c>
      <c r="C140" s="316"/>
      <c r="D140" s="342" t="n">
        <f aca="false">A140+B140</f>
        <v>41.6772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e">
        <f aca="false">IF(G105="YES", ((B36*H105)*0.1)*(G130), 0)</f>
        <v>#VALUE!</v>
      </c>
      <c r="H142" s="99" t="n">
        <f aca="false">G102-100</f>
        <v>99.99</v>
      </c>
      <c r="I142" s="99"/>
      <c r="J142" s="99" t="e">
        <f aca="false">(H139+J139+G142+H142)-H145</f>
        <v>#VALUE!</v>
      </c>
      <c r="K142" s="101"/>
      <c r="L142" s="63"/>
      <c r="M142" s="107" t="e">
        <f aca="false">IF(M105="YES", ((B36*N105)*0.1)*(M130), 0)</f>
        <v>#VALUE!</v>
      </c>
      <c r="N142" s="99" t="n">
        <f aca="false">M102-100</f>
        <v>99.99</v>
      </c>
      <c r="O142" s="99"/>
      <c r="P142" s="99" t="e">
        <f aca="false">(N139+P139+M142+N142)-N145</f>
        <v>#VALUE!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#VALUE!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#VALUE!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820.0375</v>
      </c>
      <c r="B148" s="38" t="n">
        <f aca="false">B102</f>
        <v>400</v>
      </c>
      <c r="C148" s="38"/>
      <c r="D148" s="38" t="n">
        <f aca="false">IF(A105="YES", (B40*B105)*B125, 0)*0.1</f>
        <v>0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1320.0275</v>
      </c>
      <c r="E151" s="101"/>
      <c r="F151" s="63"/>
      <c r="G151" s="246"/>
      <c r="H151" s="248" t="n">
        <f aca="false">B51</f>
        <v>22000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22</v>
      </c>
      <c r="H152" s="74" t="n">
        <f aca="false">H91</f>
        <v>2058.0725113257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22000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22</v>
      </c>
      <c r="N155" s="74" t="n">
        <f aca="false">N91</f>
        <v>1711.81557091001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22000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22</v>
      </c>
      <c r="B161" s="74" t="n">
        <f aca="false">B91</f>
        <v>2133.76211585292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22</v>
      </c>
      <c r="C174" s="356"/>
      <c r="D174" s="323" t="n">
        <f aca="false">D125</f>
        <v>22000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2133.76211585292</v>
      </c>
      <c r="B177" s="354" t="n">
        <f aca="false">IF(A105="YES", B89, 0)</f>
        <v>0</v>
      </c>
      <c r="C177" s="356"/>
      <c r="D177" s="354" t="n">
        <f aca="false">B91</f>
        <v>2133.76211585292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2133.76211585292</v>
      </c>
      <c r="C180" s="352"/>
      <c r="D180" s="99" t="n">
        <f aca="false">IF(A105="YES", B89*B57,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2133.76211585292</v>
      </c>
      <c r="B183" s="99" t="n">
        <f aca="false">E114</f>
        <v>4000</v>
      </c>
      <c r="C183" s="352"/>
      <c r="D183" s="360" t="n">
        <f aca="false">B58</f>
        <v>21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2133.76211585292</v>
      </c>
      <c r="B186" s="99" t="n">
        <f aca="false">IF(A105="YES", B89, 0)</f>
        <v>0</v>
      </c>
      <c r="C186" s="352"/>
      <c r="D186" s="99" t="n">
        <f aca="false">B91</f>
        <v>2133.76211585292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IF(A105="YES", G18*0.000002, 0)*1.2*100</f>
        <v>0</v>
      </c>
      <c r="C189" s="352"/>
      <c r="D189" s="364" t="n">
        <f aca="false">A189+B189</f>
        <v>41.6772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820.0375</v>
      </c>
      <c r="B197" s="99" t="n">
        <f aca="false">B102</f>
        <v>400</v>
      </c>
      <c r="C197" s="99"/>
      <c r="D197" s="99" t="n">
        <f aca="false">IF(A105="YES", (B40*B105)*B125,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1320.0275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4896.10625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820.0375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4416.05875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4896.10625</v>
      </c>
      <c r="C217" s="374" t="s">
        <v>218</v>
      </c>
      <c r="D217" s="316"/>
      <c r="E217" s="375" t="n">
        <f aca="false">B66</f>
        <v>0.0141666666666667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820.0375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200</v>
      </c>
      <c r="C223" s="335" t="s">
        <v>215</v>
      </c>
      <c r="D223" s="316"/>
      <c r="E223" s="33" t="n">
        <f aca="false">(B217-B211+D211)</f>
        <v>4416.05875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200</v>
      </c>
      <c r="C229" s="335" t="s">
        <v>223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310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394.31923900962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200</v>
      </c>
      <c r="C233" s="381" t="s">
        <v>330</v>
      </c>
      <c r="D233" s="382"/>
      <c r="E233" s="146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200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8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'Formula1-FL'!$Y$97:$Y$105</formula1>
      <formula2>0</formula2>
    </dataValidation>
    <dataValidation allowBlank="true" operator="between" showDropDown="false" showErrorMessage="true" showInputMessage="false" sqref="C107" type="list">
      <formula1>"YES,NO"</formula1>
      <formula2>0</formula2>
    </dataValidation>
    <dataValidation allowBlank="true" operator="between" showDropDown="false" showErrorMessage="true" showInputMessage="false" sqref="B26" type="list">
      <formula1>'Formula1-FL'!$I$2:$I$3</formula1>
      <formula2>0</formula2>
    </dataValidation>
    <dataValidation allowBlank="true" operator="between" showDropDown="false" showErrorMessage="true" showInputMessage="false" sqref="A105" type="list">
      <formula1>'Formula1-FL'!$I$2:$I$3</formula1>
      <formula2>0</formula2>
    </dataValidation>
    <dataValidation allowBlank="true" operator="between" showDropDown="false" showErrorMessage="true" showInputMessage="false" sqref="B110" type="list">
      <formula1>'Formula1-FL'!$I$2:$I$3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93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262" t="n">
        <v>46854.17</v>
      </c>
      <c r="C3" s="498" t="n">
        <v>0.0</v>
      </c>
      <c r="D3" s="262" t="n">
        <v>833.33</v>
      </c>
      <c r="E3" s="499" t="n">
        <v>0</v>
      </c>
      <c r="F3" s="63"/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0" t="n">
        <v>0.0</v>
      </c>
      <c r="C4" s="0" t="n">
        <v>0.0</v>
      </c>
      <c r="D4" s="0" t="n">
        <v>0.0</v>
      </c>
      <c r="E4" s="293"/>
      <c r="F4" s="63"/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0.0</v>
      </c>
      <c r="C5" s="498" t="n">
        <v>0.0</v>
      </c>
      <c r="D5" s="498" t="n">
        <v>0.0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455" t="n">
        <f aca="false">G9*100/B3</f>
        <v>-222.685622218897</v>
      </c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47687.5</v>
      </c>
      <c r="F9" s="63"/>
      <c r="G9" s="454" t="n">
        <f aca="false">E9-G11</f>
        <v>-104337.5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454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 E9 + E10 ) * 0.2</f>
        <v>9647.5</v>
      </c>
      <c r="F11" s="63"/>
      <c r="G11" s="454" t="n">
        <f aca="false">G13/1.2</f>
        <v>152025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454" t="n">
        <f aca="false">G15-E14-E13-E12</f>
        <v>182430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58525</v>
      </c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456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349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390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7" t="n">
        <v>22.0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387</v>
      </c>
      <c r="C30" s="169"/>
      <c r="D30" s="211"/>
      <c r="E30" s="212"/>
      <c r="F30" s="63"/>
      <c r="G30" s="214" t="s">
        <v>32</v>
      </c>
      <c r="H30" s="457" t="n">
        <v>22000.0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29500.0</v>
      </c>
      <c r="I31" s="63"/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8" t="s">
        <v>350</v>
      </c>
      <c r="E32" s="212"/>
      <c r="F32" s="63"/>
      <c r="G32" s="214" t="s">
        <v>36</v>
      </c>
      <c r="I32" s="448" t="n">
        <v>0.0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35</v>
      </c>
      <c r="B33" s="225" t="n">
        <v>10000</v>
      </c>
      <c r="C33" s="226"/>
      <c r="D33" s="459" t="n">
        <f aca="false">H48</f>
        <v>1256.6365051246</v>
      </c>
      <c r="E33" s="212"/>
      <c r="F33" s="63"/>
      <c r="G33" s="215" t="s">
        <v>351</v>
      </c>
      <c r="H33" s="460" t="n">
        <f aca="false">E21-E11+((E16*20%)+(E19*20%)+(E20*20%))</f>
        <v>48877.5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370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352</v>
      </c>
      <c r="B35" s="211" t="s">
        <v>353</v>
      </c>
      <c r="C35" s="211"/>
      <c r="D35" s="211" t="s">
        <v>354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1122.6565051246</v>
      </c>
      <c r="B36" s="99" t="n">
        <f aca="false">IF(B26="YES", H42, "")</f>
        <v>133.98</v>
      </c>
      <c r="C36" s="217"/>
      <c r="D36" s="181" t="n">
        <f aca="false">H31</f>
        <v>19200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355</v>
      </c>
      <c r="B39" s="211" t="s">
        <v>356</v>
      </c>
      <c r="C39" s="211"/>
      <c r="D39" s="211" t="s">
        <v>357</v>
      </c>
      <c r="E39" s="212"/>
      <c r="F39" s="63"/>
      <c r="G39" s="63" t="s">
        <v>84</v>
      </c>
      <c r="H39" s="234" t="n">
        <f aca="false">H33</f>
        <v>48877.5</v>
      </c>
      <c r="I39" s="234" t="n">
        <f aca="false">(I48*H46)+H44</f>
        <v>53437.0642878025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19200</v>
      </c>
      <c r="B40" s="103" t="n">
        <f aca="false">IF(B26="YES",H42,"0")</f>
        <v>133.98</v>
      </c>
      <c r="C40" s="103"/>
      <c r="D40" s="181" t="n">
        <f aca="false">I32</f>
        <v>4689.3</v>
      </c>
      <c r="E40" s="212"/>
      <c r="F40" s="63"/>
      <c r="G40" s="63" t="s">
        <v>106</v>
      </c>
      <c r="H40" s="234" t="n">
        <f aca="false">(A40)/1.2</f>
        <v>16000</v>
      </c>
      <c r="I40" s="234" t="n">
        <f aca="false">H39-I39</f>
        <v>-4559.56428780247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358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359</v>
      </c>
      <c r="H42" s="234" t="n">
        <f aca="false">(I32/H34)*(C45/100)</f>
        <v>133.98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360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1"/>
      <c r="C44" s="362" t="s">
        <v>77</v>
      </c>
      <c r="D44" s="362"/>
      <c r="E44" s="212"/>
      <c r="F44" s="63"/>
      <c r="G44" s="63" t="s">
        <v>371</v>
      </c>
      <c r="H44" s="234" t="n">
        <f aca="false">(H40/(1+H41)^(H34+1))</f>
        <v>13172.2842985835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1"/>
      <c r="C45" s="510" t="n">
        <v>100.0</v>
      </c>
      <c r="D45" s="510"/>
      <c r="E45" s="212"/>
      <c r="F45" s="63"/>
      <c r="G45" s="63" t="s">
        <v>372</v>
      </c>
      <c r="H45" s="234" t="n">
        <f aca="false">(H39-H44)</f>
        <v>35705.2157014165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373</v>
      </c>
      <c r="H46" s="234" t="n">
        <f aca="false">((1-(1/((1+H41)^H34)))/H41)</f>
        <v>31.8042210938366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364</v>
      </c>
      <c r="H47" s="234" t="n">
        <f aca="false">H45/H46</f>
        <v>1122.6565051246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4" t="s">
        <v>365</v>
      </c>
      <c r="H48" s="234" t="n">
        <f aca="false">IF(B26="YES", H47+H42, H47)</f>
        <v>1256.6365051246</v>
      </c>
      <c r="I48" s="234" t="n">
        <f aca="false">I49-H42</f>
        <v>1266.02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366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35</v>
      </c>
      <c r="B52" s="74" t="n">
        <f aca="false">H48</f>
        <v>1256.6365051246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9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26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34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34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57885</v>
      </c>
      <c r="C61" s="211"/>
      <c r="D61" s="211"/>
      <c r="E61" s="212"/>
      <c r="F61" s="63"/>
      <c r="G61" s="210" t="s">
        <v>14</v>
      </c>
      <c r="H61" s="290" t="n">
        <f aca="false">G18</f>
        <v>57885</v>
      </c>
      <c r="I61" s="211"/>
      <c r="J61" s="211"/>
      <c r="K61" s="212"/>
      <c r="L61" s="63"/>
      <c r="M61" s="210" t="s">
        <v>14</v>
      </c>
      <c r="N61" s="290" t="n">
        <f aca="false">G18</f>
        <v>57885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0.103541666666667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0.103541666666667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0.103541666666667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B61*B63</f>
        <v>5993.509375</v>
      </c>
      <c r="C64" s="211" t="n">
        <v>10000.0</v>
      </c>
      <c r="D64" s="290" t="n">
        <f aca="false">B64-A143</f>
        <v>5993.509375</v>
      </c>
      <c r="E64" s="466" t="n">
        <f aca="false">D64/(B58+B57)</f>
        <v>171.243125</v>
      </c>
      <c r="F64" s="63"/>
      <c r="G64" s="284" t="s">
        <v>90</v>
      </c>
      <c r="H64" s="129" t="n">
        <f aca="false">H61*H63</f>
        <v>5993.509375</v>
      </c>
      <c r="I64" s="211"/>
      <c r="J64" s="290" t="n">
        <f aca="false">H64-G145</f>
        <v>5993.509375</v>
      </c>
      <c r="K64" s="212"/>
      <c r="L64" s="63"/>
      <c r="M64" s="284" t="s">
        <v>90</v>
      </c>
      <c r="N64" s="129" t="n">
        <f aca="false">N61*N63</f>
        <v>5993.509375</v>
      </c>
      <c r="O64" s="211"/>
      <c r="P64" s="290" t="n">
        <f aca="false">N64-M145</f>
        <v>5993.509375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11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0.0195833333333333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0.0195833333333333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0.0195833333333333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1133.58125</v>
      </c>
      <c r="C67" s="211"/>
      <c r="D67" s="290"/>
      <c r="E67" s="212"/>
      <c r="F67" s="63"/>
      <c r="G67" s="284" t="s">
        <v>93</v>
      </c>
      <c r="H67" s="129" t="n">
        <f aca="false">(H61*H66)/1.2</f>
        <v>944.651041666667</v>
      </c>
      <c r="I67" s="211"/>
      <c r="J67" s="290"/>
      <c r="K67" s="212"/>
      <c r="L67" s="63"/>
      <c r="M67" s="284" t="s">
        <v>93</v>
      </c>
      <c r="N67" s="129" t="n">
        <f aca="false">(N61*N66)/1.2</f>
        <v>944.651041666667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1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200.0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5.0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175</v>
      </c>
      <c r="C73" s="211"/>
      <c r="D73" s="290" t="n">
        <f aca="false">B73+B71</f>
        <v>375</v>
      </c>
      <c r="E73" s="212"/>
      <c r="F73" s="63"/>
      <c r="G73" s="284" t="s">
        <v>99</v>
      </c>
      <c r="H73" s="129" t="n">
        <f aca="false">H72*H29</f>
        <v>157.5</v>
      </c>
      <c r="I73" s="211"/>
      <c r="J73" s="290" t="n">
        <f aca="false">H73+H71</f>
        <v>317.5</v>
      </c>
      <c r="K73" s="212"/>
      <c r="L73" s="63"/>
      <c r="M73" s="284" t="s">
        <v>99</v>
      </c>
      <c r="N73" s="129" t="n">
        <f aca="false">N72*H29</f>
        <v>157.5</v>
      </c>
      <c r="O73" s="211"/>
      <c r="P73" s="290" t="n">
        <f aca="false">N73+N71</f>
        <v>317.5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165.0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355.0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((B74+B75)/12)*(H29-11)</f>
        <v>1040</v>
      </c>
      <c r="C76" s="211"/>
      <c r="D76" s="290" t="n">
        <f aca="false">B76</f>
        <v>1040</v>
      </c>
      <c r="E76" s="212"/>
      <c r="F76" s="63"/>
      <c r="G76" s="284" t="s">
        <v>279</v>
      </c>
      <c r="H76" s="129" t="n">
        <f aca="false">((H74+H75)/12)*(H29-11)</f>
        <v>330</v>
      </c>
      <c r="I76" s="211"/>
      <c r="J76" s="290" t="n">
        <f aca="false">H76</f>
        <v>330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127" t="n">
        <f aca="false">B102/(1-0.1)</f>
        <v>0</v>
      </c>
      <c r="C77" s="211"/>
      <c r="D77" s="290" t="n">
        <f aca="false">B77</f>
        <v>0</v>
      </c>
      <c r="E77" s="466" t="n">
        <f aca="false">D77/(B58+B57)</f>
        <v>0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0</v>
      </c>
      <c r="C78" s="211"/>
      <c r="D78" s="290" t="n">
        <f aca="false">B78</f>
        <v>0</v>
      </c>
      <c r="E78" s="466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200.0</v>
      </c>
      <c r="C79" s="211"/>
      <c r="D79" s="290" t="n">
        <f aca="false">B79</f>
        <v>200</v>
      </c>
      <c r="E79" s="466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200.0</v>
      </c>
      <c r="C80" s="211"/>
      <c r="D80" s="290" t="n">
        <f aca="false">B80</f>
        <v>200</v>
      </c>
      <c r="E80" s="466" t="n">
        <f aca="false">(D73+D76+D79+D80)/(B58+B57)</f>
        <v>51.8571428571429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7808.509375</v>
      </c>
      <c r="C81" s="211"/>
      <c r="D81" s="211"/>
      <c r="E81" s="466"/>
      <c r="F81" s="63"/>
      <c r="G81" s="302" t="s">
        <v>102</v>
      </c>
      <c r="H81" s="303" t="n">
        <f aca="false">SUM(J64:J80)</f>
        <v>7041.009375</v>
      </c>
      <c r="I81" s="211"/>
      <c r="J81" s="211"/>
      <c r="K81" s="212"/>
      <c r="L81" s="63"/>
      <c r="M81" s="302" t="s">
        <v>102</v>
      </c>
      <c r="N81" s="303" t="n">
        <f aca="false">SUM(P64:P80)</f>
        <v>6711.009375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223.100267857143</v>
      </c>
      <c r="C82" s="211"/>
      <c r="D82" s="211"/>
      <c r="E82" s="466"/>
      <c r="F82" s="63"/>
      <c r="G82" s="210" t="s">
        <v>103</v>
      </c>
      <c r="H82" s="299" t="n">
        <f aca="false">H81/H29</f>
        <v>201.171696428571</v>
      </c>
      <c r="I82" s="211"/>
      <c r="J82" s="211"/>
      <c r="K82" s="212"/>
      <c r="L82" s="63"/>
      <c r="M82" s="210" t="s">
        <v>103</v>
      </c>
      <c r="N82" s="299" t="n">
        <f aca="false">N81/H29</f>
        <v>191.743125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1122.6565051246</v>
      </c>
      <c r="C83" s="211"/>
      <c r="D83" s="211"/>
      <c r="E83" s="466" t="n">
        <f aca="false">B83+E80+E77+E64</f>
        <v>1345.75677298174</v>
      </c>
      <c r="F83" s="63"/>
      <c r="G83" s="304" t="s">
        <v>104</v>
      </c>
      <c r="H83" s="305" t="n">
        <f aca="false">H47</f>
        <v>1122.6565051246</v>
      </c>
      <c r="I83" s="211"/>
      <c r="J83" s="211"/>
      <c r="K83" s="212"/>
      <c r="L83" s="63"/>
      <c r="M83" s="304" t="s">
        <v>104</v>
      </c>
      <c r="N83" s="305" t="n">
        <f aca="false">H47</f>
        <v>1122.6565051246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466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((B83*H29)+B81)*1.2</f>
        <v>56521.784465233</v>
      </c>
      <c r="C85" s="211"/>
      <c r="D85" s="211"/>
      <c r="E85" s="466" t="n">
        <f aca="false">B85/(B58+B57)</f>
        <v>1614.90812757809</v>
      </c>
      <c r="F85" s="63"/>
      <c r="G85" s="287" t="s">
        <v>114</v>
      </c>
      <c r="H85" s="127" t="n">
        <f aca="false">((H83*H29)+H81)*1.2</f>
        <v>55600.784465233</v>
      </c>
      <c r="I85" s="211"/>
      <c r="J85" s="211"/>
      <c r="K85" s="212"/>
      <c r="L85" s="63"/>
      <c r="M85" s="287" t="s">
        <v>114</v>
      </c>
      <c r="N85" s="127" t="n">
        <f aca="false">((N83*H29)+N81)</f>
        <v>46003.9870543609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((((B83*H29)+B81))/(1-B70))*B70</f>
        <v>399.004125914311</v>
      </c>
      <c r="C86" s="211"/>
      <c r="D86" s="211"/>
      <c r="E86" s="466" t="n">
        <f aca="false">B86/(B58+B57)</f>
        <v>11.400117883266</v>
      </c>
      <c r="F86" s="63"/>
      <c r="G86" s="210" t="s">
        <v>115</v>
      </c>
      <c r="H86" s="299" t="n">
        <f aca="false">((((H83*H29)+H81))/(1-H70))*H70</f>
        <v>392.502512360459</v>
      </c>
      <c r="I86" s="211"/>
      <c r="J86" s="211"/>
      <c r="K86" s="212"/>
      <c r="L86" s="63"/>
      <c r="M86" s="210" t="s">
        <v>115</v>
      </c>
      <c r="N86" s="299" t="n">
        <f aca="false">(N85/(1-N70))*N70</f>
        <v>389.707030311246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IF(B110="YES",((B85+B86)-E114),(B85+B86))</f>
        <v>56920.7885911473</v>
      </c>
      <c r="C87" s="211"/>
      <c r="D87" s="211"/>
      <c r="E87" s="466" t="n">
        <f aca="false">E86+E85</f>
        <v>1626.30824546135</v>
      </c>
      <c r="F87" s="63"/>
      <c r="G87" s="284" t="s">
        <v>116</v>
      </c>
      <c r="H87" s="129" t="n">
        <f aca="false">IF(H110="YES",((H85+H86)-K114),(H85+H86))</f>
        <v>55993.2869775935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46393.6940846721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(D40+(D40*B105))/(B58), (D40+(D40*B105))/(B57+B58))*1.2*(C45/100)</f>
        <v>209.0088</v>
      </c>
      <c r="C89" s="211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168.8148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140.679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1626.30824546135</v>
      </c>
      <c r="C90" s="211"/>
      <c r="D90" s="211"/>
      <c r="E90" s="212"/>
      <c r="F90" s="63"/>
      <c r="G90" s="307" t="s">
        <v>118</v>
      </c>
      <c r="H90" s="308" t="n">
        <f aca="false">IF(H99=Y98, (H87-J105)/(H58), H87/(H57+H58))</f>
        <v>1399.83217443984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1159.8423521168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1835.31704546135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1568.64697443984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1300.5213521168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282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261</v>
      </c>
      <c r="Z98" s="63"/>
    </row>
    <row r="99" customFormat="false" ht="18.75" hidden="false" customHeight="true" outlineLevel="0" collapsed="false">
      <c r="A99" s="216" t="s">
        <v>284</v>
      </c>
      <c r="B99" s="311" t="s">
        <v>285</v>
      </c>
      <c r="C99" s="311"/>
      <c r="D99" s="103" t="n">
        <v>1000.0</v>
      </c>
      <c r="E99" s="103"/>
      <c r="F99" s="63"/>
      <c r="G99" s="216" t="s">
        <v>284</v>
      </c>
      <c r="H99" s="311" t="s">
        <v>263</v>
      </c>
      <c r="I99" s="311"/>
      <c r="J99" s="103" t="n">
        <v>0</v>
      </c>
      <c r="K99" s="103"/>
      <c r="L99" s="63"/>
      <c r="M99" s="216" t="s">
        <v>284</v>
      </c>
      <c r="N99" s="311" t="s">
        <v>263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262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263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264</v>
      </c>
      <c r="Z101" s="63"/>
    </row>
    <row r="102" customFormat="false" ht="18.75" hidden="false" customHeight="true" outlineLevel="0" collapsed="false">
      <c r="A102" s="312" t="n">
        <v>239.99</v>
      </c>
      <c r="B102" s="103" t="n">
        <v>400.0</v>
      </c>
      <c r="C102" s="103"/>
      <c r="D102" s="103" t="n">
        <v>200.0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390</v>
      </c>
      <c r="B105" s="313" t="n">
        <v>0.0</v>
      </c>
      <c r="C105" s="313"/>
      <c r="D105" s="103" t="s">
        <v>410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s">
        <v>290</v>
      </c>
      <c r="B108" s="213"/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390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0.0</v>
      </c>
      <c r="E112" s="103" t="n">
        <v>6000.0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2000.0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E118+E117-E114</f>
        <v>-2760.01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0.0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35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250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1399.83217443984</v>
      </c>
      <c r="H127" s="174" t="n">
        <f aca="false">IF(G105="YES", H89*H57, 0)</f>
        <v>1012.8888</v>
      </c>
      <c r="I127" s="174"/>
      <c r="J127" s="333" t="n">
        <f aca="false">H91</f>
        <v>1568.64697443984</v>
      </c>
      <c r="K127" s="212"/>
      <c r="L127" s="63"/>
      <c r="M127" s="332" t="n">
        <f aca="false">N90</f>
        <v>1159.8423521168</v>
      </c>
      <c r="N127" s="174" t="n">
        <f aca="false">IF(M105="YES", N89*N57, 0)</f>
        <v>844.074</v>
      </c>
      <c r="O127" s="174"/>
      <c r="P127" s="174" t="n">
        <f aca="false">N91</f>
        <v>1300.5213521168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1626.30824546135</v>
      </c>
      <c r="B128" s="320" t="n">
        <f aca="false">IF(A105="YES", B89, 0)</f>
        <v>209.0088</v>
      </c>
      <c r="C128" s="324"/>
      <c r="D128" s="320" t="n">
        <f aca="false">B91</f>
        <v>1835.31704546135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35</v>
      </c>
      <c r="H130" s="225" t="n">
        <f aca="false">B151</f>
        <v>0</v>
      </c>
      <c r="I130" s="226"/>
      <c r="J130" s="225" t="n">
        <f aca="false">B58</f>
        <v>26</v>
      </c>
      <c r="K130" s="212"/>
      <c r="L130" s="63"/>
      <c r="M130" s="224" t="n">
        <f aca="false">M155</f>
        <v>35</v>
      </c>
      <c r="N130" s="225" t="n">
        <f aca="false">B151</f>
        <v>0</v>
      </c>
      <c r="O130" s="226"/>
      <c r="P130" s="225" t="n">
        <f aca="false">B58</f>
        <v>26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14636.7742091522</v>
      </c>
      <c r="C131" s="316"/>
      <c r="D131" s="38" t="n">
        <f aca="false">IF(A105="YES", B89*B57, 0)</f>
        <v>1881.0792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239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8398.99304663902</v>
      </c>
      <c r="H133" s="99" t="n">
        <f aca="false">IF(G105="YES", H89*H57, 0)</f>
        <v>1012.8888</v>
      </c>
      <c r="I133" s="217"/>
      <c r="J133" s="181" t="n">
        <f aca="false">H91*H57</f>
        <v>9411.88184663902</v>
      </c>
      <c r="K133" s="212"/>
      <c r="L133" s="63"/>
      <c r="M133" s="182" t="n">
        <f aca="false">N90*N57</f>
        <v>6959.05411270082</v>
      </c>
      <c r="N133" s="99" t="n">
        <f aca="false">IF(M105="YES", N89*N57, 0)</f>
        <v>844.074</v>
      </c>
      <c r="O133" s="217"/>
      <c r="P133" s="181" t="n">
        <f aca="false">N91*N57</f>
        <v>7803.12811270082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16517.8534091522</v>
      </c>
      <c r="B134" s="38" t="n">
        <f aca="false">E114</f>
        <v>4000</v>
      </c>
      <c r="C134" s="316"/>
      <c r="D134" s="336" t="n">
        <f aca="false">B58</f>
        <v>26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252</v>
      </c>
      <c r="N135" s="211" t="s">
        <v>253</v>
      </c>
      <c r="O135" s="211"/>
      <c r="P135" s="211" t="s">
        <v>257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0.35115</v>
      </c>
      <c r="H136" s="99" t="n">
        <f aca="false">IF(G105="YES", E15*0.000002, 0)</f>
        <v>0.11705</v>
      </c>
      <c r="I136" s="99"/>
      <c r="J136" s="99" t="n">
        <f aca="false">G136+H136</f>
        <v>0.4682</v>
      </c>
      <c r="K136" s="101"/>
      <c r="L136" s="63"/>
      <c r="M136" s="107" t="n">
        <f aca="false">E15*0.000006</f>
        <v>0.35115</v>
      </c>
      <c r="N136" s="99" t="n">
        <f aca="false">IF(M105="YES", E15*0.000002, 0)</f>
        <v>0.11705</v>
      </c>
      <c r="O136" s="99"/>
      <c r="P136" s="99" t="n">
        <f aca="false">M136+N136</f>
        <v>0.4682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1626.30824546135</v>
      </c>
      <c r="B137" s="38" t="n">
        <f aca="false">IF(A105="YES", B89, 0)</f>
        <v>209.0088</v>
      </c>
      <c r="C137" s="316"/>
      <c r="D137" s="38" t="n">
        <f aca="false">B91</f>
        <v>1835.31704546135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944.651041666667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944.651041666667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41.6772</v>
      </c>
      <c r="B140" s="342" t="n">
        <f aca="false">IF(A105="YES", G18*0.000002, 0)*1.2*100</f>
        <v>13.8924</v>
      </c>
      <c r="C140" s="316"/>
      <c r="D140" s="342" t="n">
        <f aca="false">A140+B140</f>
        <v>55.5696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93.786</v>
      </c>
      <c r="H142" s="99" t="n">
        <f aca="false">G102-100</f>
        <v>99.99</v>
      </c>
      <c r="I142" s="99"/>
      <c r="J142" s="99" t="n">
        <f aca="false">(H139+J139+G142+H142)-H145</f>
        <v>1138.42704166667</v>
      </c>
      <c r="K142" s="101"/>
      <c r="L142" s="63"/>
      <c r="M142" s="107" t="n">
        <f aca="false">IF(M105="YES", ((B36*N105)*0.1)*(M130), 0)</f>
        <v>93.786</v>
      </c>
      <c r="N142" s="99" t="n">
        <f aca="false">M102-100</f>
        <v>99.99</v>
      </c>
      <c r="O142" s="99"/>
      <c r="P142" s="99" t="n">
        <f aca="false">(N139+P139+M142+N142)-N145</f>
        <v>1138.42704166667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239.99</v>
      </c>
      <c r="C143" s="316"/>
      <c r="D143" s="148" t="n">
        <f aca="false">B102</f>
        <v>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107" t="n">
        <v>0</v>
      </c>
      <c r="N145" s="99" t="n">
        <f aca="false">(N139+P139+M142+N142)*(M145/N64)</f>
        <v>0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1133.58125</v>
      </c>
      <c r="B148" s="38" t="n">
        <f aca="false">B102</f>
        <v>0</v>
      </c>
      <c r="C148" s="38"/>
      <c r="D148" s="38" t="n">
        <f aca="false">IF(A105="YES", (B40*B105)*B125, 0)*0.1</f>
        <v>140.679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1374.25191666667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35</v>
      </c>
      <c r="H152" s="74" t="n">
        <f aca="false">H91</f>
        <v>1568.64697443984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35</v>
      </c>
      <c r="N155" s="74" t="n">
        <f aca="false">N91</f>
        <v>1300.5213521168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35</v>
      </c>
      <c r="B161" s="74" t="n">
        <f aca="false">B91</f>
        <v>1835.31704546135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35</v>
      </c>
      <c r="C174" s="356"/>
      <c r="D174" s="323" t="n">
        <f aca="false">D125</f>
        <v>35000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1626.30824546135</v>
      </c>
      <c r="B177" s="354" t="n">
        <f aca="false">IF(A105="YES", B89, 0)</f>
        <v>209.0088</v>
      </c>
      <c r="C177" s="356"/>
      <c r="D177" s="354" t="n">
        <f aca="false">B91</f>
        <v>1835.31704546135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Terminal pause with 9 down </v>
      </c>
      <c r="B180" s="99" t="n">
        <f aca="false">B90*B57</f>
        <v>14636.7742091522</v>
      </c>
      <c r="C180" s="352"/>
      <c r="D180" s="99" t="n">
        <f aca="false">IF(A105="YES", B89*B57, 0)</f>
        <v>1881.0792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16517.8534091522</v>
      </c>
      <c r="B183" s="99" t="n">
        <f aca="false">E114</f>
        <v>4000</v>
      </c>
      <c r="C183" s="352"/>
      <c r="D183" s="360" t="n">
        <f aca="false">B58</f>
        <v>26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1626.30824546135</v>
      </c>
      <c r="B186" s="99" t="n">
        <f aca="false">IF(A105="YES", B89, 0)</f>
        <v>209.0088</v>
      </c>
      <c r="C186" s="352"/>
      <c r="D186" s="99" t="n">
        <f aca="false">B91</f>
        <v>1835.31704546135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IF(A105="YES", G18*0.000002, 0)*1.2*100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239.99</v>
      </c>
      <c r="C192" s="352"/>
      <c r="D192" s="148" t="n">
        <f aca="false">B102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1133.58125</v>
      </c>
      <c r="B197" s="99" t="n">
        <f aca="false">B102</f>
        <v>0</v>
      </c>
      <c r="C197" s="99"/>
      <c r="D197" s="99" t="n">
        <f aca="false">IF(A105="YES", (B40*B105)*B125, 0)*0.1</f>
        <v>140.679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(E118/1.2)-100</f>
        <v>99.9916666666667</v>
      </c>
      <c r="B200" s="99" t="n">
        <f aca="false">(A148+B148+D148+A151)*(A143/B64)</f>
        <v>0</v>
      </c>
      <c r="C200" s="99"/>
      <c r="D200" s="99" t="n">
        <f aca="false">(A148+B148+D148+A151)-B151</f>
        <v>1374.25191666667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5993.509375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1133.58125</v>
      </c>
      <c r="C211" s="319" t="s">
        <v>214</v>
      </c>
      <c r="D211" s="369" t="n">
        <f aca="false">B225+E221+B221+B223</f>
        <v>1506.78166666667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6366.70979166667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5993.509375</v>
      </c>
      <c r="C217" s="374" t="s">
        <v>218</v>
      </c>
      <c r="D217" s="316"/>
      <c r="E217" s="375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1133.58125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0</v>
      </c>
      <c r="C223" s="335" t="s">
        <v>215</v>
      </c>
      <c r="D223" s="316"/>
      <c r="E223" s="33" t="n">
        <f aca="false">(B217-B211+D211)</f>
        <v>6366.70979166667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1406.79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200</v>
      </c>
      <c r="C229" s="335" t="s">
        <v>223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399.004125914311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200</v>
      </c>
      <c r="C233" s="381" t="s">
        <v>330</v>
      </c>
      <c r="D233" s="382"/>
      <c r="E233" s="146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200</v>
      </c>
      <c r="C235" s="385" t="s">
        <v>331</v>
      </c>
      <c r="D235" s="385"/>
      <c r="E235" s="146" t="n">
        <f aca="false">B75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'Formula1-PCH'!$Y$97:$Y$105</formula1>
      <formula2>0</formula2>
    </dataValidation>
    <dataValidation allowBlank="true" operator="between" showDropDown="false" showErrorMessage="true" showInputMessage="false" sqref="B26" type="list">
      <formula1>'Formula1-PCH'!$I$3:$I$4</formula1>
      <formula2>0</formula2>
    </dataValidation>
    <dataValidation allowBlank="true" operator="between" showDropDown="false" showErrorMessage="true" showInputMessage="false" sqref="A105 B110" type="list">
      <formula1>'Formula1-PCH'!$I$3:$I$4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true" showOutlineSymbols="true" defaultGridColor="true" view="normal" topLeftCell="A58" colorId="64" zoomScale="85" zoomScaleNormal="85" zoomScalePageLayoutView="100" workbookViewId="0">
      <selection pane="topLeft" activeCell="B65" activeCellId="0" sqref="B65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262" t="n">
        <v>46854.17</v>
      </c>
      <c r="C3" s="498" t="n">
        <v>0.0</v>
      </c>
      <c r="D3" s="262" t="n">
        <v>833.33</v>
      </c>
      <c r="E3" s="499" t="n">
        <v>0</v>
      </c>
      <c r="F3" s="63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0" t="n">
        <v>0.0</v>
      </c>
      <c r="C4" s="0" t="n">
        <v>0.0</v>
      </c>
      <c r="D4" s="0" t="n">
        <v>0.0</v>
      </c>
      <c r="E4" s="293"/>
      <c r="F4" s="63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0.0</v>
      </c>
      <c r="C5" s="498" t="n">
        <v>0.0</v>
      </c>
      <c r="D5" s="498" t="n">
        <v>0.0</v>
      </c>
      <c r="E5" s="299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10"/>
      <c r="B8" s="211"/>
      <c r="C8" s="211"/>
      <c r="D8" s="211"/>
      <c r="E8" s="212"/>
      <c r="F8" s="63"/>
      <c r="G8" s="455" t="n">
        <f aca="false">G9*100/B3</f>
        <v>-222.685622218897</v>
      </c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8" t="n">
        <f aca="false">(B7+C7+D7+E3)</f>
        <v>47687.5</v>
      </c>
      <c r="F9" s="63"/>
      <c r="G9" s="454" t="n">
        <f aca="false">E9-G11</f>
        <v>-104337.5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454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299" t="n">
        <f aca="false">( E9 + E10 ) * 0.2</f>
        <v>9647.5</v>
      </c>
      <c r="F11" s="63"/>
      <c r="G11" s="454" t="n">
        <f aca="false">G13/1.2</f>
        <v>152025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585.0</v>
      </c>
      <c r="F13" s="63"/>
      <c r="G13" s="454" t="n">
        <f aca="false">G15-E14-E13-E12</f>
        <v>182430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58525</v>
      </c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456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349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386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7" t="n">
        <v>35.0</v>
      </c>
      <c r="I29" s="386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387</v>
      </c>
      <c r="C30" s="169"/>
      <c r="D30" s="211"/>
      <c r="E30" s="212"/>
      <c r="F30" s="63"/>
      <c r="G30" s="214" t="s">
        <v>32</v>
      </c>
      <c r="H30" s="457" t="n">
        <v>35000.0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19200.0</v>
      </c>
      <c r="I31" s="63"/>
      <c r="J31" s="63"/>
      <c r="K31" s="63" t="n">
        <v>10000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8" t="s">
        <v>350</v>
      </c>
      <c r="E32" s="212"/>
      <c r="F32" s="63"/>
      <c r="G32" s="214" t="s">
        <v>36</v>
      </c>
      <c r="I32" s="448" t="n">
        <v>2344.6499999999996</v>
      </c>
      <c r="J32" s="63"/>
      <c r="K32" s="63" t="n">
        <v>14400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35</v>
      </c>
      <c r="B33" s="225" t="n">
        <v>10000</v>
      </c>
      <c r="C33" s="226"/>
      <c r="D33" s="459" t="n">
        <f aca="false">H48</f>
        <v>1189.6465051246</v>
      </c>
      <c r="E33" s="212"/>
      <c r="F33" s="63"/>
      <c r="G33" s="215" t="s">
        <v>351</v>
      </c>
      <c r="H33" s="460" t="n">
        <f aca="false">E21-E11+((E16*20%)+(E19*20%)+(E20*20%))</f>
        <v>48877.5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370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352</v>
      </c>
      <c r="B35" s="211" t="s">
        <v>353</v>
      </c>
      <c r="C35" s="211"/>
      <c r="D35" s="211" t="s">
        <v>354</v>
      </c>
      <c r="E35" s="212"/>
      <c r="F35" s="63"/>
      <c r="G35" s="229" t="s">
        <v>46</v>
      </c>
      <c r="H35" s="230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1122.6565051246</v>
      </c>
      <c r="B36" s="99" t="n">
        <f aca="false">IF(B26="YES", H42, "")</f>
        <v>66.99</v>
      </c>
      <c r="C36" s="217"/>
      <c r="D36" s="181" t="n">
        <f aca="false">H31</f>
        <v>19200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355</v>
      </c>
      <c r="B39" s="211" t="s">
        <v>356</v>
      </c>
      <c r="C39" s="211"/>
      <c r="D39" s="211" t="s">
        <v>357</v>
      </c>
      <c r="E39" s="212"/>
      <c r="F39" s="63"/>
      <c r="G39" s="63" t="s">
        <v>84</v>
      </c>
      <c r="H39" s="234" t="n">
        <f aca="false">H33</f>
        <v>48877.5</v>
      </c>
      <c r="I39" s="234" t="n">
        <f aca="false">(I48*H46)+H44</f>
        <v>55567.6290588786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19200</v>
      </c>
      <c r="B40" s="103" t="n">
        <f aca="false">IF(B26="YES",H42,"0")</f>
        <v>66.99</v>
      </c>
      <c r="C40" s="103"/>
      <c r="D40" s="181" t="n">
        <f aca="false">I32</f>
        <v>2344.65</v>
      </c>
      <c r="E40" s="212"/>
      <c r="F40" s="63"/>
      <c r="G40" s="63" t="s">
        <v>106</v>
      </c>
      <c r="H40" s="234" t="n">
        <f aca="false">A40/1.2</f>
        <v>16000</v>
      </c>
      <c r="I40" s="234" t="n">
        <f aca="false">H39-I39</f>
        <v>-6690.12905887858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358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359</v>
      </c>
      <c r="H42" s="234" t="n">
        <f aca="false">(I32/H34)*(C45/100)</f>
        <v>66.99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360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1"/>
      <c r="C44" s="362" t="s">
        <v>77</v>
      </c>
      <c r="D44" s="362"/>
      <c r="E44" s="212"/>
      <c r="F44" s="63"/>
      <c r="G44" s="63" t="s">
        <v>371</v>
      </c>
      <c r="H44" s="234" t="n">
        <f aca="false">(H40/(1+H41)^(H34+1))</f>
        <v>13172.2842985835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1"/>
      <c r="C45" s="463" t="n">
        <v>100.0</v>
      </c>
      <c r="D45" s="463"/>
      <c r="E45" s="212"/>
      <c r="F45" s="63"/>
      <c r="G45" s="63" t="s">
        <v>372</v>
      </c>
      <c r="H45" s="234" t="n">
        <f aca="false">(H39-H44)</f>
        <v>35705.2157014165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373</v>
      </c>
      <c r="H46" s="234" t="n">
        <f aca="false">((1-(1/((1+H41)^H34)))/H41)</f>
        <v>31.8042210938366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364</v>
      </c>
      <c r="H47" s="234" t="n">
        <f aca="false">H45/H46</f>
        <v>1122.6565051246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4" t="s">
        <v>365</v>
      </c>
      <c r="H48" s="234" t="n">
        <f aca="false">IF(B26="YES", H47+H42, H47)</f>
        <v>1189.6465051246</v>
      </c>
      <c r="I48" s="234" t="n">
        <f aca="false">I49-H42</f>
        <v>1333.01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366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35</v>
      </c>
      <c r="B52" s="74" t="n">
        <f aca="false">H48</f>
        <v>1189.6465051246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34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34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34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57885</v>
      </c>
      <c r="C61" s="211"/>
      <c r="D61" s="211"/>
      <c r="E61" s="212"/>
      <c r="F61" s="63"/>
      <c r="G61" s="210" t="s">
        <v>14</v>
      </c>
      <c r="H61" s="290" t="n">
        <f aca="false">G18</f>
        <v>57885</v>
      </c>
      <c r="I61" s="211"/>
      <c r="J61" s="211"/>
      <c r="K61" s="212"/>
      <c r="L61" s="63"/>
      <c r="M61" s="210" t="s">
        <v>14</v>
      </c>
      <c r="N61" s="290" t="n">
        <f aca="false">G18</f>
        <v>57885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0.103541666666667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0.103541666666667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0.103541666666667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C64</f>
        <v>5993.509375</v>
      </c>
      <c r="C64" s="465" t="n">
        <v>10000.0</v>
      </c>
      <c r="D64" s="290" t="n">
        <f aca="false">B64</f>
        <v>5993.509375</v>
      </c>
      <c r="E64" s="466" t="n">
        <f aca="false">D64/(B58+B57)</f>
        <v>171.243125</v>
      </c>
      <c r="F64" s="63"/>
      <c r="G64" s="284" t="s">
        <v>90</v>
      </c>
      <c r="H64" s="129" t="n">
        <f aca="false">H61*H63</f>
        <v>5993.509375</v>
      </c>
      <c r="I64" s="211"/>
      <c r="J64" s="290" t="n">
        <f aca="false">H64-G145</f>
        <v>5993.509375</v>
      </c>
      <c r="K64" s="212"/>
      <c r="L64" s="63"/>
      <c r="M64" s="284" t="s">
        <v>90</v>
      </c>
      <c r="N64" s="129" t="n">
        <f aca="false">N61*N63</f>
        <v>5993.509375</v>
      </c>
      <c r="O64" s="211"/>
      <c r="P64" s="290" t="n">
        <f aca="false">N64-M145</f>
        <v>5993.509375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0.0195833333333333</v>
      </c>
      <c r="C66" s="467" t="s">
        <v>218</v>
      </c>
      <c r="D66" s="211"/>
      <c r="E66" s="212"/>
      <c r="F66" s="63"/>
      <c r="G66" s="210" t="s">
        <v>92</v>
      </c>
      <c r="H66" s="293" t="n">
        <f aca="false">H65+(H65*0.5*(H29/12-1))</f>
        <v>0.0195833333333333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0.0195833333333333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1133.58125</v>
      </c>
      <c r="C67" s="468" t="s">
        <v>218</v>
      </c>
      <c r="D67" s="469"/>
      <c r="E67" s="212"/>
      <c r="F67" s="63"/>
      <c r="G67" s="284" t="s">
        <v>93</v>
      </c>
      <c r="H67" s="129" t="n">
        <f aca="false">(H61*H66)/1.2</f>
        <v>944.651041666667</v>
      </c>
      <c r="I67" s="211"/>
      <c r="J67" s="290"/>
      <c r="K67" s="212"/>
      <c r="L67" s="63"/>
      <c r="M67" s="284" t="s">
        <v>93</v>
      </c>
      <c r="N67" s="129" t="n">
        <f aca="false">(N61*N66)/1.2</f>
        <v>944.651041666667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70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1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200.0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5.0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175</v>
      </c>
      <c r="C73" s="211"/>
      <c r="D73" s="472" t="n">
        <f aca="false">B73+B71</f>
        <v>375</v>
      </c>
      <c r="E73" s="212" t="s">
        <v>224</v>
      </c>
      <c r="F73" s="63"/>
      <c r="G73" s="284" t="s">
        <v>99</v>
      </c>
      <c r="H73" s="129" t="n">
        <f aca="false">H72*H29</f>
        <v>157.5</v>
      </c>
      <c r="I73" s="211"/>
      <c r="J73" s="290" t="n">
        <f aca="false">H73+H71</f>
        <v>317.5</v>
      </c>
      <c r="K73" s="212"/>
      <c r="L73" s="63"/>
      <c r="M73" s="284" t="s">
        <v>99</v>
      </c>
      <c r="N73" s="129" t="n">
        <f aca="false">N72*H29</f>
        <v>157.5</v>
      </c>
      <c r="O73" s="211"/>
      <c r="P73" s="290" t="n">
        <f aca="false">N73+N71</f>
        <v>317.5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165.0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355.0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((B74+B75)/12)*(H29-11)</f>
        <v>1040</v>
      </c>
      <c r="C76" s="211"/>
      <c r="D76" s="290" t="n">
        <f aca="false">B76</f>
        <v>1040</v>
      </c>
      <c r="E76" s="212"/>
      <c r="F76" s="63"/>
      <c r="G76" s="284" t="s">
        <v>279</v>
      </c>
      <c r="H76" s="129" t="n">
        <f aca="false">((H74+H75)/12)*(H29-11)</f>
        <v>330</v>
      </c>
      <c r="I76" s="211"/>
      <c r="J76" s="290" t="n">
        <f aca="false">H76</f>
        <v>330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0</v>
      </c>
      <c r="C77" s="473"/>
      <c r="D77" s="290" t="n">
        <f aca="false">B77</f>
        <v>0</v>
      </c>
      <c r="E77" s="466" t="n">
        <f aca="false">D77/(B58+B57)</f>
        <v>0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0</v>
      </c>
      <c r="C78" s="473"/>
      <c r="D78" s="290" t="n">
        <f aca="false">B78</f>
        <v>0</v>
      </c>
      <c r="E78" s="466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200.0</v>
      </c>
      <c r="C79" s="473"/>
      <c r="D79" s="290" t="n">
        <f aca="false">B79</f>
        <v>200</v>
      </c>
      <c r="E79" s="466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200.0</v>
      </c>
      <c r="C80" s="473"/>
      <c r="D80" s="290" t="n">
        <f aca="false">B80</f>
        <v>200</v>
      </c>
      <c r="E80" s="466" t="n">
        <f aca="false">(D73+D76+D79+D80)/(B58+B57)</f>
        <v>51.8571428571429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7808.509375</v>
      </c>
      <c r="C81" s="473"/>
      <c r="D81" s="474"/>
      <c r="E81" s="466"/>
      <c r="F81" s="63"/>
      <c r="G81" s="302" t="s">
        <v>102</v>
      </c>
      <c r="H81" s="303" t="n">
        <f aca="false">SUM(J64:J80)</f>
        <v>7041.009375</v>
      </c>
      <c r="I81" s="211"/>
      <c r="J81" s="211"/>
      <c r="K81" s="212"/>
      <c r="L81" s="63"/>
      <c r="M81" s="302" t="s">
        <v>102</v>
      </c>
      <c r="N81" s="303" t="n">
        <f aca="false">SUM(P64:P80)</f>
        <v>6711.009375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223.100267857143</v>
      </c>
      <c r="C82" s="473"/>
      <c r="D82" s="211"/>
      <c r="E82" s="466"/>
      <c r="F82" s="63"/>
      <c r="G82" s="210" t="s">
        <v>103</v>
      </c>
      <c r="H82" s="299" t="n">
        <f aca="false">H81/H29</f>
        <v>201.171696428571</v>
      </c>
      <c r="I82" s="211"/>
      <c r="J82" s="211"/>
      <c r="K82" s="212"/>
      <c r="L82" s="63"/>
      <c r="M82" s="210" t="s">
        <v>103</v>
      </c>
      <c r="N82" s="299" t="n">
        <f aca="false">N81/H29</f>
        <v>191.743125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1122.6565051246</v>
      </c>
      <c r="C83" s="473"/>
      <c r="D83" s="211"/>
      <c r="E83" s="466" t="n">
        <f aca="false">B83+E80+E77+E64</f>
        <v>1345.75677298174</v>
      </c>
      <c r="F83" s="63"/>
      <c r="G83" s="304" t="s">
        <v>104</v>
      </c>
      <c r="H83" s="305" t="n">
        <f aca="false">H47</f>
        <v>1122.6565051246</v>
      </c>
      <c r="I83" s="211"/>
      <c r="J83" s="211"/>
      <c r="K83" s="212"/>
      <c r="L83" s="63"/>
      <c r="M83" s="304" t="s">
        <v>104</v>
      </c>
      <c r="N83" s="305" t="n">
        <f aca="false">H47</f>
        <v>1122.6565051246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3"/>
      <c r="D84" s="473"/>
      <c r="E84" s="466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</f>
        <v>47101.4870543609</v>
      </c>
      <c r="C85" s="473"/>
      <c r="D85" s="473"/>
      <c r="E85" s="466" t="n">
        <f aca="false">B85/(B58+B57)</f>
        <v>1345.75677298174</v>
      </c>
      <c r="F85" s="63"/>
      <c r="G85" s="287" t="s">
        <v>114</v>
      </c>
      <c r="H85" s="127" t="n">
        <f aca="false">((H83*H29)+H81)*1.2</f>
        <v>55600.784465233</v>
      </c>
      <c r="I85" s="211"/>
      <c r="J85" s="211"/>
      <c r="K85" s="212"/>
      <c r="L85" s="63"/>
      <c r="M85" s="287" t="s">
        <v>114</v>
      </c>
      <c r="N85" s="127" t="n">
        <f aca="false">((N83*H29)+N81)</f>
        <v>46003.9870543609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399.004125914311</v>
      </c>
      <c r="C86" s="473" t="s">
        <v>227</v>
      </c>
      <c r="D86" s="211"/>
      <c r="E86" s="466" t="n">
        <f aca="false">B86/(B58+B57)</f>
        <v>11.400117883266</v>
      </c>
      <c r="F86" s="63"/>
      <c r="G86" s="210" t="s">
        <v>115</v>
      </c>
      <c r="H86" s="299" t="n">
        <f aca="false">((((H83*H29)+H81))/(1-H70))*H70</f>
        <v>392.502512360459</v>
      </c>
      <c r="I86" s="211"/>
      <c r="J86" s="211"/>
      <c r="K86" s="212"/>
      <c r="L86" s="63"/>
      <c r="M86" s="210" t="s">
        <v>115</v>
      </c>
      <c r="N86" s="299" t="n">
        <f aca="false">(N85/(1-N70))*N70</f>
        <v>389.707030311246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47500.4911802752</v>
      </c>
      <c r="C87" s="473"/>
      <c r="D87" s="475"/>
      <c r="E87" s="466" t="n">
        <f aca="false">E86+E85</f>
        <v>1357.156890865</v>
      </c>
      <c r="F87" s="63"/>
      <c r="G87" s="284" t="s">
        <v>116</v>
      </c>
      <c r="H87" s="129" t="n">
        <f aca="false">IF(H110="YES",((H85+H86)-K114),(H85+H86))</f>
        <v>55993.2869775935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46393.6940846721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3"/>
      <c r="D88" s="211"/>
      <c r="E88" s="466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</f>
        <v>80.388</v>
      </c>
      <c r="C89" s="473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84.4074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70.3395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1357.156890865</v>
      </c>
      <c r="C90" s="473"/>
      <c r="D90" s="211"/>
      <c r="E90" s="476"/>
      <c r="F90" s="63"/>
      <c r="G90" s="307" t="s">
        <v>118</v>
      </c>
      <c r="H90" s="308" t="n">
        <f aca="false">IF(H99=Y98, (H87-J105)/(H58), H87/(H57+H58))</f>
        <v>1399.83217443984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1159.8423521168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1437.544890865</v>
      </c>
      <c r="C91" s="473"/>
      <c r="D91" s="477"/>
      <c r="E91" s="429"/>
      <c r="F91" s="63"/>
      <c r="G91" s="309" t="s">
        <v>119</v>
      </c>
      <c r="H91" s="310" t="n">
        <f aca="false">IF(G105="YES", H90+H89, H90)</f>
        <v>1484.23957443984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1230.1818521168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8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375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9"/>
      <c r="C97" s="479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261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1000.0</v>
      </c>
      <c r="E99" s="103"/>
      <c r="F99" s="63"/>
      <c r="G99" s="216" t="s">
        <v>284</v>
      </c>
      <c r="H99" s="311" t="s">
        <v>263</v>
      </c>
      <c r="I99" s="311"/>
      <c r="J99" s="103" t="n">
        <v>0</v>
      </c>
      <c r="K99" s="103"/>
      <c r="L99" s="63"/>
      <c r="M99" s="216" t="s">
        <v>284</v>
      </c>
      <c r="N99" s="311" t="s">
        <v>263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262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263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376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264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0.0</v>
      </c>
      <c r="C102" s="103"/>
      <c r="D102" s="103" t="n">
        <v>0.0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386</v>
      </c>
      <c r="B105" s="313" t="n">
        <v>0.3</v>
      </c>
      <c r="C105" s="313"/>
      <c r="D105" s="103" t="n">
        <v>200.0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390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0.0</v>
      </c>
      <c r="E112" s="103" t="n">
        <v>6000.0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2000.0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 t="s">
        <v>19</v>
      </c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(E118*1.2)+E117-E114</f>
        <v>-2760.012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0.0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35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250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1399.83217443984</v>
      </c>
      <c r="H127" s="174" t="n">
        <f aca="false">IF(G105="YES", H89*H57, 0)</f>
        <v>506.4444</v>
      </c>
      <c r="I127" s="174"/>
      <c r="J127" s="333" t="n">
        <f aca="false">H91</f>
        <v>1484.23957443984</v>
      </c>
      <c r="K127" s="212"/>
      <c r="L127" s="63"/>
      <c r="M127" s="332" t="n">
        <f aca="false">N90</f>
        <v>1159.8423521168</v>
      </c>
      <c r="N127" s="174" t="n">
        <f aca="false">IF(M105="YES", N89*N57, 0)</f>
        <v>422.037</v>
      </c>
      <c r="O127" s="174"/>
      <c r="P127" s="174" t="n">
        <f aca="false">N91</f>
        <v>1230.1818521168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1357.156890865</v>
      </c>
      <c r="B128" s="320" t="n">
        <f aca="false">IF(A105="YES", B89, 0)</f>
        <v>80.388</v>
      </c>
      <c r="C128" s="324"/>
      <c r="D128" s="320" t="n">
        <f aca="false">B91</f>
        <v>1437.544890865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35</v>
      </c>
      <c r="H130" s="225" t="n">
        <f aca="false">B151</f>
        <v>0</v>
      </c>
      <c r="I130" s="226"/>
      <c r="J130" s="225" t="n">
        <f aca="false">B58</f>
        <v>34</v>
      </c>
      <c r="K130" s="212"/>
      <c r="L130" s="63"/>
      <c r="M130" s="224" t="n">
        <f aca="false">M155</f>
        <v>35</v>
      </c>
      <c r="N130" s="225" t="n">
        <f aca="false">B151</f>
        <v>0</v>
      </c>
      <c r="O130" s="226"/>
      <c r="P130" s="225" t="n">
        <f aca="false">B58</f>
        <v>34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1357.156890865</v>
      </c>
      <c r="C131" s="316"/>
      <c r="D131" s="38" t="n">
        <f aca="false">IF(A105="YES", B89*B57, 0)</f>
        <v>80.388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239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8398.99304663902</v>
      </c>
      <c r="H133" s="99" t="n">
        <f aca="false">IF(G105="YES", H89*H57, 0)</f>
        <v>506.4444</v>
      </c>
      <c r="I133" s="217"/>
      <c r="J133" s="181" t="n">
        <f aca="false">H91*H57</f>
        <v>8905.43744663902</v>
      </c>
      <c r="K133" s="212"/>
      <c r="L133" s="63"/>
      <c r="M133" s="182" t="n">
        <f aca="false">N90*N57</f>
        <v>6959.05411270082</v>
      </c>
      <c r="N133" s="99" t="n">
        <f aca="false">IF(M105="YES", N89*N57, 0)</f>
        <v>422.037</v>
      </c>
      <c r="O133" s="217"/>
      <c r="P133" s="181" t="n">
        <f aca="false">N91*N57</f>
        <v>7381.09111270081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1437.544890865</v>
      </c>
      <c r="B134" s="38" t="n">
        <f aca="false">E114</f>
        <v>4000</v>
      </c>
      <c r="C134" s="316"/>
      <c r="D134" s="336" t="n">
        <f aca="false">B58</f>
        <v>34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252</v>
      </c>
      <c r="N135" s="211" t="s">
        <v>253</v>
      </c>
      <c r="O135" s="211"/>
      <c r="P135" s="211" t="s">
        <v>257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0.35115</v>
      </c>
      <c r="H136" s="99" t="n">
        <f aca="false">IF(G105="YES", E15*0.000002, 0)</f>
        <v>0.11705</v>
      </c>
      <c r="I136" s="99"/>
      <c r="J136" s="99" t="n">
        <f aca="false">G136+H136</f>
        <v>0.4682</v>
      </c>
      <c r="K136" s="101"/>
      <c r="L136" s="63"/>
      <c r="M136" s="107" t="n">
        <f aca="false">E15*0.000006</f>
        <v>0.35115</v>
      </c>
      <c r="N136" s="99" t="n">
        <f aca="false">IF(M105="YES", E15*0.000002, 0)</f>
        <v>0.11705</v>
      </c>
      <c r="O136" s="99"/>
      <c r="P136" s="99" t="n">
        <f aca="false">M136+N136</f>
        <v>0.4682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1357.156890865</v>
      </c>
      <c r="B137" s="38" t="n">
        <f aca="false">IF(A105="YES", B89, 0)</f>
        <v>80.388</v>
      </c>
      <c r="C137" s="316"/>
      <c r="D137" s="38" t="n">
        <f aca="false">B91</f>
        <v>1437.544890865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944.651041666667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944.651041666667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41.6772</v>
      </c>
      <c r="B140" s="342" t="n">
        <f aca="false">IF(A105="YES", G18*0.000002, 0)*1.2*100</f>
        <v>13.8924</v>
      </c>
      <c r="C140" s="316"/>
      <c r="D140" s="342" t="n">
        <f aca="false">A140+B140</f>
        <v>55.5696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46.893</v>
      </c>
      <c r="H142" s="99" t="n">
        <f aca="false">G102-100</f>
        <v>99.99</v>
      </c>
      <c r="I142" s="99"/>
      <c r="J142" s="99" t="n">
        <f aca="false">(H139+J139+G142+H142)-H145</f>
        <v>1091.53404166667</v>
      </c>
      <c r="K142" s="101"/>
      <c r="L142" s="63"/>
      <c r="M142" s="107" t="n">
        <f aca="false">IF(M105="YES", ((B36*N105)*0.1)*(M130), 0)</f>
        <v>46.893</v>
      </c>
      <c r="N142" s="99" t="n">
        <f aca="false">M102-100</f>
        <v>99.99</v>
      </c>
      <c r="O142" s="99"/>
      <c r="P142" s="99" t="n">
        <f aca="false">(N139+P139+M142+N142)-N145</f>
        <v>1091.53404166667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107" t="n">
        <v>0</v>
      </c>
      <c r="N145" s="99" t="n">
        <f aca="false">(N139+P139+M142+N142)*(M145/N64)</f>
        <v>0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1133.58125</v>
      </c>
      <c r="B148" s="99" t="n">
        <f aca="false">B102</f>
        <v>0</v>
      </c>
      <c r="C148" s="38"/>
      <c r="D148" s="38" t="n">
        <f aca="false">IF(A105="YES", (B40*B105)*B125, 0)*0.1</f>
        <v>46.893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1280.46425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35</v>
      </c>
      <c r="H152" s="74" t="n">
        <f aca="false">H91</f>
        <v>1484.23957443984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35</v>
      </c>
      <c r="N155" s="74" t="n">
        <f aca="false">N91</f>
        <v>1230.1818521168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35</v>
      </c>
      <c r="B161" s="74" t="n">
        <f aca="false">B91</f>
        <v>1437.544890865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35</v>
      </c>
      <c r="C174" s="356"/>
      <c r="D174" s="323" t="n">
        <f aca="false">D125</f>
        <v>35000</v>
      </c>
      <c r="E174" s="321"/>
      <c r="F174" s="63"/>
      <c r="G174" s="386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1357.156890865</v>
      </c>
      <c r="B177" s="354" t="n">
        <f aca="false">IF(A105="YES", B89, 0)</f>
        <v>80.388</v>
      </c>
      <c r="C177" s="356"/>
      <c r="D177" s="354" t="n">
        <f aca="false">B91</f>
        <v>1437.544890865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1357.156890865</v>
      </c>
      <c r="C180" s="352"/>
      <c r="D180" s="99" t="n">
        <f aca="false">IF(A105="YES", B89*B57, 0)</f>
        <v>80.388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1437.544890865</v>
      </c>
      <c r="B183" s="99" t="n">
        <f aca="false">E114</f>
        <v>4000</v>
      </c>
      <c r="C183" s="352"/>
      <c r="D183" s="360" t="n">
        <f aca="false">B58</f>
        <v>34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1357.156890865</v>
      </c>
      <c r="B186" s="99" t="n">
        <f aca="false">IF(A105="YES", B89, 0)</f>
        <v>80.388</v>
      </c>
      <c r="C186" s="352"/>
      <c r="D186" s="99" t="n">
        <f aca="false">B91</f>
        <v>1437.544890865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IF(A105="YES", G18*0.000002, 0)*1.2*100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1133.58125</v>
      </c>
      <c r="B197" s="99" t="n">
        <f aca="false">B102</f>
        <v>0</v>
      </c>
      <c r="C197" s="99"/>
      <c r="D197" s="99" t="n">
        <f aca="false">IF(A105="YES", (B40*B105)*B125, 0)*0.1</f>
        <v>46.893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1280.46425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5993.509375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1133.58125</v>
      </c>
      <c r="C211" s="319" t="s">
        <v>214</v>
      </c>
      <c r="D211" s="369" t="n">
        <f aca="false">B225+E221+B221+B223</f>
        <v>568.92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5428.848125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5993.509375</v>
      </c>
      <c r="C217" s="374" t="s">
        <v>218</v>
      </c>
      <c r="D217" s="316"/>
      <c r="E217" s="375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1133.58125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0</v>
      </c>
      <c r="C223" s="335" t="s">
        <v>215</v>
      </c>
      <c r="D223" s="316"/>
      <c r="E223" s="33" t="n">
        <f aca="false">(B217-B211+D211)</f>
        <v>5428.848125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468.93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200</v>
      </c>
      <c r="C229" s="335" t="s">
        <v>223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399.004125914311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200</v>
      </c>
      <c r="C233" s="381" t="s">
        <v>330</v>
      </c>
      <c r="D233" s="382"/>
      <c r="E233" s="146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200</v>
      </c>
      <c r="C235" s="385" t="s">
        <v>331</v>
      </c>
      <c r="D235" s="385"/>
      <c r="E235" s="146" t="n">
        <f aca="false">B75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B97" activeCellId="0" sqref="B9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500" t="n">
        <v>0</v>
      </c>
      <c r="C4" s="500" t="n">
        <v>0</v>
      </c>
      <c r="D4" s="500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</v>
      </c>
      <c r="C5" s="498" t="n">
        <v>0</v>
      </c>
      <c r="D5" s="498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(E9+E10)*20%</f>
        <v>9647.5</v>
      </c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18.7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241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n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6000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12</v>
      </c>
      <c r="B44" s="100" t="n">
        <v>1</v>
      </c>
      <c r="C44" s="100"/>
      <c r="D44" s="100" t="n">
        <v>1</v>
      </c>
      <c r="E44" s="100"/>
      <c r="F44" s="63"/>
      <c r="G44" s="63" t="s">
        <v>255</v>
      </c>
      <c r="H44" s="234" t="n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n">
        <v>0.01</v>
      </c>
      <c r="C47" s="428"/>
      <c r="D47" s="100" t="n">
        <v>1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 t="s">
        <v>385</v>
      </c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18" t="s">
        <v>19</v>
      </c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272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81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12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4051.95</v>
      </c>
      <c r="C70" s="211"/>
      <c r="D70" s="290" t="n">
        <f aca="false">B70-A151</f>
        <v>4051.95</v>
      </c>
      <c r="E70" s="212" t="n">
        <f aca="false">D70/12</f>
        <v>337.6625</v>
      </c>
      <c r="F70" s="63"/>
      <c r="G70" s="284" t="s">
        <v>90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90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578.85</v>
      </c>
      <c r="C73" s="211"/>
      <c r="D73" s="290"/>
      <c r="E73" s="212"/>
      <c r="F73" s="63"/>
      <c r="G73" s="284" t="s">
        <v>93</v>
      </c>
      <c r="H73" s="129" t="n">
        <f aca="false">H67*H72</f>
        <v>289.425</v>
      </c>
      <c r="I73" s="211"/>
      <c r="J73" s="290"/>
      <c r="K73" s="212"/>
      <c r="L73" s="63"/>
      <c r="M73" s="284" t="s">
        <v>93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0</v>
      </c>
      <c r="C80" s="211"/>
      <c r="D80" s="211"/>
      <c r="E80" s="429" t="n">
        <f aca="false">E79+D82</f>
        <v>660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55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v>0</v>
      </c>
      <c r="C83" s="211"/>
      <c r="D83" s="290" t="n">
        <f aca="false">B83</f>
        <v>0</v>
      </c>
      <c r="E83" s="212" t="n">
        <f aca="false">D83/12</f>
        <v>0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v>0</v>
      </c>
      <c r="C84" s="211"/>
      <c r="D84" s="290" t="n">
        <f aca="false">B84</f>
        <v>0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4711.95</v>
      </c>
      <c r="C87" s="211"/>
      <c r="D87" s="211"/>
      <c r="E87" s="212"/>
      <c r="F87" s="63"/>
      <c r="G87" s="302" t="s">
        <v>102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102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392.6625</v>
      </c>
      <c r="C88" s="211"/>
      <c r="D88" s="211"/>
      <c r="E88" s="212"/>
      <c r="F88" s="63"/>
      <c r="G88" s="210" t="s">
        <v>103</v>
      </c>
      <c r="H88" s="299" t="n">
        <f aca="false">H87/H29</f>
        <v>600.461111111111</v>
      </c>
      <c r="I88" s="211"/>
      <c r="J88" s="211"/>
      <c r="K88" s="212"/>
      <c r="L88" s="63"/>
      <c r="M88" s="210" t="s">
        <v>103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10723.95</v>
      </c>
      <c r="C91" s="211"/>
      <c r="D91" s="211"/>
      <c r="E91" s="212"/>
      <c r="F91" s="63"/>
      <c r="G91" s="287" t="s">
        <v>114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114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90.8442718838241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115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10814.7942718838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((H44*B35)+((H44*B35)*B111))/(B63+B64)</f>
        <v>31.304347826087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IF(B105=Y104, (B93-D111)/(B64), B93/(B63+B64))</f>
        <v>470.208446603645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501.512794429732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 t="s">
        <v>284</v>
      </c>
      <c r="B105" s="311" t="s">
        <v>265</v>
      </c>
      <c r="C105" s="311"/>
      <c r="D105" s="420" t="n">
        <v>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0</v>
      </c>
      <c r="C108" s="103"/>
      <c r="D108" s="103" t="n">
        <v>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3" t="n">
        <v>0.2</v>
      </c>
      <c r="C111" s="313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/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0</v>
      </c>
      <c r="E119" s="103" t="n">
        <v>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0</v>
      </c>
      <c r="E120" s="164" t="n">
        <f aca="false">E118-E119</f>
        <v>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199.99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10"/>
      <c r="B129" s="211"/>
      <c r="C129" s="211"/>
      <c r="D129" s="211"/>
      <c r="E129" s="212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210" t="s">
        <v>181</v>
      </c>
      <c r="B130" s="169" t="n">
        <v>1200</v>
      </c>
      <c r="C130" s="169"/>
      <c r="D130" s="211"/>
      <c r="E130" s="212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210"/>
      <c r="B131" s="211"/>
      <c r="C131" s="211"/>
      <c r="D131" s="211"/>
      <c r="E131" s="212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210" t="s">
        <v>82</v>
      </c>
      <c r="B132" s="211" t="s">
        <v>83</v>
      </c>
      <c r="C132" s="211"/>
      <c r="D132" s="211" t="s">
        <v>85</v>
      </c>
      <c r="E132" s="212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224" t="n">
        <f aca="false">A158</f>
        <v>12</v>
      </c>
      <c r="B133" s="225" t="n">
        <f aca="false">B157</f>
        <v>5000</v>
      </c>
      <c r="C133" s="226"/>
      <c r="D133" s="225" t="n">
        <f aca="false">B64</f>
        <v>11</v>
      </c>
      <c r="E133" s="212"/>
      <c r="F133" s="63"/>
      <c r="G133" s="224" t="n">
        <f aca="false">G158</f>
        <v>12</v>
      </c>
      <c r="H133" s="225" t="n">
        <f aca="false">B157</f>
        <v>5000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5000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210"/>
      <c r="B134" s="211"/>
      <c r="C134" s="211"/>
      <c r="D134" s="211"/>
      <c r="E134" s="212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26" t="s">
        <v>342</v>
      </c>
      <c r="B135" s="327" t="s">
        <v>250</v>
      </c>
      <c r="C135" s="327"/>
      <c r="D135" s="327" t="s">
        <v>119</v>
      </c>
      <c r="E135" s="212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2" t="n">
        <f aca="false">B96</f>
        <v>470.208446603645</v>
      </c>
      <c r="B136" s="174" t="n">
        <f aca="false">IF(A111="YES", B95*B63, 0)</f>
        <v>375.652173913043</v>
      </c>
      <c r="C136" s="174"/>
      <c r="D136" s="174" t="n">
        <f aca="false">B97</f>
        <v>501.512794429732</v>
      </c>
      <c r="E136" s="212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210"/>
      <c r="B137" s="211"/>
      <c r="C137" s="211"/>
      <c r="D137" s="211"/>
      <c r="E137" s="212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10" t="s">
        <v>343</v>
      </c>
      <c r="B138" s="211" t="s">
        <v>239</v>
      </c>
      <c r="C138" s="211"/>
      <c r="D138" s="211" t="s">
        <v>243</v>
      </c>
      <c r="E138" s="212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82" t="n">
        <f aca="false">B96*B63</f>
        <v>5642.50135924373</v>
      </c>
      <c r="B139" s="99" t="n">
        <f aca="false">IF(A111="YES", B95*B63, 0)</f>
        <v>375.652173913043</v>
      </c>
      <c r="C139" s="217"/>
      <c r="D139" s="181" t="n">
        <f aca="false">B97*B63</f>
        <v>6018.15353315678</v>
      </c>
      <c r="E139" s="212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210"/>
      <c r="B140" s="211"/>
      <c r="C140" s="211"/>
      <c r="D140" s="211"/>
      <c r="E140" s="212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210" t="s">
        <v>252</v>
      </c>
      <c r="B141" s="211" t="s">
        <v>253</v>
      </c>
      <c r="C141" s="211"/>
      <c r="D141" s="211" t="s">
        <v>257</v>
      </c>
      <c r="E141" s="212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107" t="n">
        <f aca="false">E15*0.000006</f>
        <v>0.35115</v>
      </c>
      <c r="B142" s="99" t="n">
        <f aca="false">IF(A111="YES", E15*0.000002, 0)</f>
        <v>0.11705</v>
      </c>
      <c r="C142" s="99"/>
      <c r="D142" s="99" t="n">
        <f aca="false">A142+B142</f>
        <v>0.4682</v>
      </c>
      <c r="E142" s="101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210"/>
      <c r="B143" s="211"/>
      <c r="C143" s="211"/>
      <c r="D143" s="211"/>
      <c r="E143" s="212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10" t="s">
        <v>139</v>
      </c>
      <c r="B144" s="211" t="s">
        <v>310</v>
      </c>
      <c r="C144" s="211"/>
      <c r="D144" s="211" t="s">
        <v>311</v>
      </c>
      <c r="E144" s="212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107" t="n">
        <f aca="false">A108</f>
        <v>199.99</v>
      </c>
      <c r="B145" s="99" t="n">
        <f aca="false">B73/1.2</f>
        <v>482.375</v>
      </c>
      <c r="C145" s="99"/>
      <c r="D145" s="99" t="n">
        <f aca="false">B108*0.9</f>
        <v>0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210"/>
      <c r="B146" s="211"/>
      <c r="C146" s="211"/>
      <c r="D146" s="211"/>
      <c r="E146" s="212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10" t="s">
        <v>313</v>
      </c>
      <c r="B147" s="211" t="s">
        <v>314</v>
      </c>
      <c r="C147" s="211"/>
      <c r="D147" s="211" t="s">
        <v>315</v>
      </c>
      <c r="E147" s="212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IF(A111="YES", ((A41*B111)*0.1)*(A133), 0)</f>
        <v>12</v>
      </c>
      <c r="B148" s="99" t="n">
        <f aca="false">A108-100</f>
        <v>99.99</v>
      </c>
      <c r="C148" s="99"/>
      <c r="D148" s="99" t="n">
        <f aca="false">(B145+D145+A148+B148)-B151</f>
        <v>594.365</v>
      </c>
      <c r="E148" s="101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1473.1755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1433.1775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10"/>
      <c r="B149" s="211"/>
      <c r="C149" s="211"/>
      <c r="D149" s="211"/>
      <c r="E149" s="212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10" t="s">
        <v>317</v>
      </c>
      <c r="B150" s="211" t="s">
        <v>318</v>
      </c>
      <c r="C150" s="211"/>
      <c r="D150" s="211"/>
      <c r="E150" s="212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v>0</v>
      </c>
      <c r="B151" s="99" t="n">
        <f aca="false">(B145+D145+A148+B148)*(A151/B70)</f>
        <v>0</v>
      </c>
      <c r="C151" s="211"/>
      <c r="D151" s="211"/>
      <c r="E151" s="212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10"/>
      <c r="B152" s="211"/>
      <c r="C152" s="211"/>
      <c r="D152" s="211"/>
      <c r="E152" s="212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10"/>
      <c r="B153" s="211"/>
      <c r="C153" s="211"/>
      <c r="D153" s="211"/>
      <c r="E153" s="212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280" t="s">
        <v>323</v>
      </c>
      <c r="B154" s="211"/>
      <c r="C154" s="211"/>
      <c r="D154" s="281"/>
      <c r="E154" s="282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10"/>
      <c r="B155" s="245"/>
      <c r="C155" s="245"/>
      <c r="D155" s="211"/>
      <c r="E155" s="212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46" t="s">
        <v>82</v>
      </c>
      <c r="B156" s="247" t="s">
        <v>83</v>
      </c>
      <c r="C156" s="247"/>
      <c r="D156" s="211"/>
      <c r="E156" s="212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46"/>
      <c r="B157" s="248" t="n">
        <f aca="false">B57</f>
        <v>5000</v>
      </c>
      <c r="C157" s="248"/>
      <c r="D157" s="211"/>
      <c r="E157" s="212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50" t="n">
        <f aca="false">A58</f>
        <v>12</v>
      </c>
      <c r="B158" s="74" t="n">
        <f aca="false">B97</f>
        <v>501.512794429732</v>
      </c>
      <c r="C158" s="74"/>
      <c r="D158" s="211"/>
      <c r="E158" s="212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10"/>
      <c r="B159" s="211"/>
      <c r="C159" s="211"/>
      <c r="D159" s="211"/>
      <c r="E159" s="212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10"/>
      <c r="B160" s="211"/>
      <c r="C160" s="211"/>
      <c r="D160" s="211"/>
      <c r="E160" s="212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10"/>
      <c r="B161" s="211"/>
      <c r="C161" s="211"/>
      <c r="D161" s="211"/>
      <c r="E161" s="212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10"/>
      <c r="B162" s="211"/>
      <c r="C162" s="211"/>
      <c r="D162" s="211"/>
      <c r="E162" s="212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4"/>
      <c r="B163" s="285"/>
      <c r="C163" s="285"/>
      <c r="D163" s="285"/>
      <c r="E163" s="286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63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63"/>
      <c r="B222" s="63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63"/>
      <c r="B223" s="63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63"/>
      <c r="B224" s="6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63"/>
      <c r="B226" s="63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63"/>
      <c r="B227" s="63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63"/>
      <c r="B228" s="63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63"/>
      <c r="B229" s="63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63"/>
      <c r="B230" s="63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63"/>
      <c r="B231" s="63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63"/>
      <c r="B232" s="63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63"/>
      <c r="B233" s="63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63"/>
      <c r="B234" s="63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63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63"/>
      <c r="B236" s="63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5">
    <dataValidation allowBlank="true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  <dataValidation allowBlank="true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4" activeCellId="0" sqref="B6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500" t="n">
        <v>0</v>
      </c>
      <c r="C4" s="511" t="n">
        <v>0</v>
      </c>
      <c r="D4" s="500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</v>
      </c>
      <c r="C5" s="498" t="n">
        <v>0</v>
      </c>
      <c r="D5" s="498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(B3+C3+E10+D3+E3)*1.2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0</v>
      </c>
      <c r="E32" s="222"/>
      <c r="F32" s="63"/>
      <c r="G32" s="223" t="s">
        <v>241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139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n">
        <f aca="false">IF(B38="YES", D38+A41, D38)</f>
        <v>500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252</v>
      </c>
      <c r="B43" s="236" t="s">
        <v>253</v>
      </c>
      <c r="C43" s="226"/>
      <c r="D43" s="236" t="s">
        <v>257</v>
      </c>
      <c r="E43" s="239"/>
      <c r="F43" s="63"/>
      <c r="G43" s="63" t="s">
        <v>254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0</v>
      </c>
      <c r="C44" s="100"/>
      <c r="D44" s="278" t="n">
        <f aca="false">A44+B44</f>
        <v>1</v>
      </c>
      <c r="E44" s="278"/>
      <c r="F44" s="63"/>
      <c r="G44" s="63" t="s">
        <v>255</v>
      </c>
      <c r="H44" s="234" t="n">
        <f aca="false">((A41*(B35-1))+D32)/B35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272</v>
      </c>
      <c r="B46" s="226"/>
      <c r="C46" s="226"/>
      <c r="D46" s="226"/>
      <c r="E46" s="239"/>
      <c r="F46" s="63"/>
      <c r="G46" s="63" t="s">
        <v>260</v>
      </c>
      <c r="H46" s="234" t="n">
        <f aca="false">H43</f>
        <v>501</v>
      </c>
      <c r="I46" s="234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501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IF(B99=Z101,1,IF(B99=Z102,1,IF(B99=Z103,3,IF(B99=Z104,6,IF(B99=Z105,9,IF(B99=Z106,12,IF(B99=Z107,3,IF(B99=Z108,6,IF(B99=Z109,9,0)))))))))</f>
        <v>1</v>
      </c>
      <c r="C57" s="211"/>
      <c r="D57" s="211"/>
      <c r="E57" s="212"/>
      <c r="F57" s="63"/>
      <c r="G57" s="210" t="s">
        <v>84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IF(B99=Z101,H29-B57,IF(B99=Z102,H29-B57,IF(B99=Z103,H29-1,IF(B99=Z104,H29-1,IF(B99=Z105,H29-1,IF(B99=Z106,H29-1,IF(B99=Z107,H29-B57,IF(B99=Z108,H29-B57,IF(B99=Z109,H29-B57,0)))))))))</f>
        <v>11</v>
      </c>
      <c r="C58" s="211" t="s">
        <v>273</v>
      </c>
      <c r="D58" s="211"/>
      <c r="E58" s="212"/>
      <c r="F58" s="63"/>
      <c r="G58" s="210" t="s">
        <v>85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57885</v>
      </c>
      <c r="C61" s="211"/>
      <c r="D61" s="211"/>
      <c r="E61" s="212"/>
      <c r="F61" s="63"/>
      <c r="G61" s="210" t="s">
        <v>14</v>
      </c>
      <c r="H61" s="290" t="n">
        <f aca="false">G18</f>
        <v>57885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B61*B63</f>
        <v>4051.95</v>
      </c>
      <c r="C64" s="211" t="n">
        <v>10000</v>
      </c>
      <c r="D64" s="290" t="n">
        <f aca="false">B64</f>
        <v>4051.95</v>
      </c>
      <c r="E64" s="212"/>
      <c r="F64" s="63"/>
      <c r="G64" s="284" t="s">
        <v>90</v>
      </c>
      <c r="H64" s="129" t="n">
        <f aca="false">H61*H63</f>
        <v>4051.95</v>
      </c>
      <c r="I64" s="211"/>
      <c r="J64" s="290" t="n">
        <f aca="false">H64</f>
        <v>4051.95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11"/>
      <c r="E65" s="212"/>
      <c r="F65" s="63"/>
      <c r="G65" s="291" t="s">
        <v>91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578.85</v>
      </c>
      <c r="C67" s="211"/>
      <c r="D67" s="290"/>
      <c r="E67" s="212"/>
      <c r="F67" s="63"/>
      <c r="G67" s="284" t="s">
        <v>93</v>
      </c>
      <c r="H67" s="129" t="n">
        <f aca="false">H61*H66</f>
        <v>289.425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60</v>
      </c>
      <c r="C73" s="211"/>
      <c r="D73" s="290" t="n">
        <f aca="false">B73+B71</f>
        <v>260</v>
      </c>
      <c r="E73" s="212"/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 t="n">
        <f aca="false">IF(G18&gt;40000, 325, 0)</f>
        <v>325</v>
      </c>
      <c r="D75" s="211"/>
      <c r="E75" s="212"/>
      <c r="F75" s="63"/>
      <c r="G75" s="294" t="s">
        <v>278</v>
      </c>
      <c r="H75" s="298" t="n">
        <f aca="false">IF(G18&gt;40000, 325, 0)</f>
        <v>325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39.5833333333333</v>
      </c>
      <c r="I76" s="211"/>
      <c r="J76" s="290" t="n">
        <f aca="false">H76</f>
        <v>39.5833333333333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280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281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211"/>
      <c r="D79" s="290" t="n">
        <f aca="false">B79</f>
        <v>200</v>
      </c>
      <c r="E79" s="212"/>
      <c r="F79" s="63"/>
      <c r="G79" s="294" t="s">
        <v>100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211"/>
      <c r="D80" s="290" t="n">
        <f aca="false">B80</f>
        <v>200</v>
      </c>
      <c r="E80" s="212"/>
      <c r="F80" s="63"/>
      <c r="G80" s="300" t="s">
        <v>101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5378.61666666667</v>
      </c>
      <c r="C81" s="211"/>
      <c r="D81" s="211"/>
      <c r="E81" s="212"/>
      <c r="F81" s="63"/>
      <c r="G81" s="302" t="s">
        <v>102</v>
      </c>
      <c r="H81" s="303" t="n">
        <f aca="false">SUM(J64:J80)</f>
        <v>5705.53333333333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448.218055555556</v>
      </c>
      <c r="C82" s="211"/>
      <c r="D82" s="211"/>
      <c r="E82" s="212"/>
      <c r="F82" s="63"/>
      <c r="G82" s="210" t="s">
        <v>103</v>
      </c>
      <c r="H82" s="299" t="n">
        <f aca="false">H81/H29</f>
        <v>475.461111111111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H46</f>
        <v>501</v>
      </c>
      <c r="C83" s="211"/>
      <c r="D83" s="211"/>
      <c r="E83" s="212"/>
      <c r="F83" s="63"/>
      <c r="G83" s="304" t="s">
        <v>104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((B83*(H29)+B81))*1.2</f>
        <v>13668.74</v>
      </c>
      <c r="C85" s="211"/>
      <c r="D85" s="211"/>
      <c r="E85" s="212"/>
      <c r="F85" s="63"/>
      <c r="G85" s="287" t="s">
        <v>114</v>
      </c>
      <c r="H85" s="127" t="n">
        <f aca="false">((H83*(H27+H28))+H81)*1.2</f>
        <v>14061.04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(((B83*(H29))+B81)/(1-B70))*B70</f>
        <v>96.4917103670835</v>
      </c>
      <c r="C86" s="211"/>
      <c r="D86" s="211"/>
      <c r="E86" s="212"/>
      <c r="F86" s="63"/>
      <c r="G86" s="210" t="s">
        <v>115</v>
      </c>
      <c r="H86" s="299" t="n">
        <f aca="false">(((H83*(H27+H28))+H81)/(1-H70))*H70</f>
        <v>99.2610730133118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13765.2317103671</v>
      </c>
      <c r="C87" s="211"/>
      <c r="D87" s="211"/>
      <c r="E87" s="212"/>
      <c r="F87" s="63"/>
      <c r="G87" s="284" t="s">
        <v>116</v>
      </c>
      <c r="H87" s="129" t="n">
        <f aca="false">IF(H110="YES",((H85+H86)-A151-K114),((H85+H86)-A151))</f>
        <v>14060.3110730133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6" t="n">
        <f aca="false">IF(B99=Z102,(((H44*B35)+(H44*B35)*(B105/100))/(B58))*1.2,(((H44*B35)+(H44*B35)*(B105/100))/(B57+B58))*1.2)</f>
        <v>0</v>
      </c>
      <c r="C89" s="211"/>
      <c r="D89" s="211"/>
      <c r="E89" s="212"/>
      <c r="F89" s="63"/>
      <c r="G89" s="302" t="s">
        <v>117</v>
      </c>
      <c r="H89" s="303" t="n">
        <f aca="false">(A41+(A41*H105))*1.2</f>
        <v>0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IF(B99=Z102, (B87-D105)/(B58), B87/(B57+B58))</f>
        <v>1147.10264253059</v>
      </c>
      <c r="C90" s="211"/>
      <c r="D90" s="211"/>
      <c r="E90" s="212"/>
      <c r="F90" s="63"/>
      <c r="G90" s="307" t="s">
        <v>118</v>
      </c>
      <c r="H90" s="308" t="n">
        <f aca="false">IF(H99=AE98, (H87-J105)/(H58), H87/(H57+H58))</f>
        <v>1171.69258941778</v>
      </c>
      <c r="I90" s="211"/>
      <c r="J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1147.10264253059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1171.69258941778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282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</v>
      </c>
      <c r="E99" s="103"/>
      <c r="F99" s="63"/>
      <c r="G99" s="216" t="s">
        <v>284</v>
      </c>
      <c r="H99" s="311" t="s">
        <v>128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2" t="n">
        <f aca="false">199.99*1.2</f>
        <v>239.988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261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262</v>
      </c>
      <c r="AA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263</v>
      </c>
      <c r="AA104" s="63"/>
    </row>
    <row r="105" customFormat="false" ht="18.75" hidden="false" customHeight="true" outlineLevel="0" collapsed="false">
      <c r="A105" s="218" t="s">
        <v>19</v>
      </c>
      <c r="B105" s="311" t="n">
        <v>0</v>
      </c>
      <c r="C105" s="311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264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290</v>
      </c>
      <c r="B108" s="213"/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10000</v>
      </c>
      <c r="E112" s="103" t="n">
        <v>6000</v>
      </c>
      <c r="F112" s="63"/>
      <c r="G112" s="210" t="s">
        <v>174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4000</v>
      </c>
      <c r="E115" s="212"/>
      <c r="F115" s="63"/>
      <c r="G115" s="210" t="s">
        <v>177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239.988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((E118)+E117)-E114</f>
        <v>-2760.012</v>
      </c>
      <c r="F119" s="63"/>
      <c r="G119" s="314" t="s">
        <v>292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82</v>
      </c>
      <c r="H126" s="211" t="s">
        <v>83</v>
      </c>
      <c r="I126" s="211"/>
      <c r="J126" s="211" t="s">
        <v>85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1147.10264253059</v>
      </c>
      <c r="B128" s="320" t="n">
        <f aca="false">IF(A105="YES", B89, 0)</f>
        <v>0</v>
      </c>
      <c r="C128" s="325"/>
      <c r="D128" s="320" t="n">
        <f aca="false">B91</f>
        <v>1147.10264253059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296</v>
      </c>
      <c r="H129" s="327" t="s">
        <v>297</v>
      </c>
      <c r="I129" s="327"/>
      <c r="J129" s="327" t="s">
        <v>298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332" t="n">
        <f aca="false">H90</f>
        <v>1171.69258941778</v>
      </c>
      <c r="H130" s="174" t="n">
        <f aca="false">IF(G105="YES", H89*H57, 0)</f>
        <v>0</v>
      </c>
      <c r="I130" s="174"/>
      <c r="J130" s="333" t="n">
        <f aca="false">H91</f>
        <v>1171.69258941778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1147.10264253059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1171.69258941778</v>
      </c>
      <c r="H133" s="99" t="n">
        <f aca="false">IF(G105="YES", H89*H57, 0)</f>
        <v>0</v>
      </c>
      <c r="I133" s="217"/>
      <c r="J133" s="181" t="n">
        <f aca="false">H91*H57</f>
        <v>1171.69258941778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1147.10264253059</v>
      </c>
      <c r="B134" s="38" t="n">
        <f aca="false">E114</f>
        <v>4000</v>
      </c>
      <c r="C134" s="316"/>
      <c r="D134" s="336" t="n">
        <f aca="false">B58</f>
        <v>11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0.35115</v>
      </c>
      <c r="H136" s="99" t="n">
        <f aca="false">IF(G105="YES", E15*0.000002, 0)</f>
        <v>0.11705</v>
      </c>
      <c r="I136" s="99"/>
      <c r="J136" s="99" t="n">
        <f aca="false">G136+H136</f>
        <v>0.4682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1147.10264253059</v>
      </c>
      <c r="B137" s="38" t="n">
        <f aca="false">IF(A105="YES", B89, 0)</f>
        <v>0</v>
      </c>
      <c r="C137" s="316"/>
      <c r="D137" s="38" t="n">
        <f aca="false">B91</f>
        <v>1147.10264253059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239.988</v>
      </c>
      <c r="H139" s="99" t="n">
        <f aca="false">H67</f>
        <v>289.425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41.6772</v>
      </c>
      <c r="B140" s="342" t="n">
        <f aca="false">G18*0.000002 *1.2*100</f>
        <v>13.8924</v>
      </c>
      <c r="C140" s="316"/>
      <c r="D140" s="342" t="n">
        <f aca="false">A140+B140</f>
        <v>55.5696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H89*0.1, 0)</f>
        <v>0</v>
      </c>
      <c r="H142" s="99" t="n">
        <f aca="false">G102-100</f>
        <v>139.988</v>
      </c>
      <c r="I142" s="99"/>
      <c r="J142" s="99" t="n">
        <f aca="false">(H139+J139+G142+H142)-H145</f>
        <v>1509.413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239.988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578.85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1078.84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1171.69258941778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1147.10264253059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125</v>
      </c>
      <c r="B167" s="353" t="s">
        <v>39</v>
      </c>
      <c r="C167" s="354"/>
      <c r="D167" s="353" t="s">
        <v>83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284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118</v>
      </c>
      <c r="B170" s="353" t="s">
        <v>294</v>
      </c>
      <c r="C170" s="354"/>
      <c r="D170" s="353" t="s">
        <v>295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1147.10264253059</v>
      </c>
      <c r="B171" s="354" t="n">
        <f aca="false">IF(A105="YES", B89, 0)</f>
        <v>0</v>
      </c>
      <c r="C171" s="357"/>
      <c r="D171" s="354" t="n">
        <f aca="false">B91</f>
        <v>1147.10264253059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6"/>
      <c r="D173" s="358" t="s">
        <v>300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Monthly in advance </v>
      </c>
      <c r="B174" s="99" t="n">
        <f aca="false">B90*B57</f>
        <v>1147.10264253059</v>
      </c>
      <c r="C174" s="352"/>
      <c r="D174" s="99" t="n">
        <f aca="false">IF(A105="YES", B89*B57, 0)</f>
        <v>0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304</v>
      </c>
      <c r="B176" s="163" t="s">
        <v>305</v>
      </c>
      <c r="C176" s="359"/>
      <c r="D176" s="237" t="s">
        <v>203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1147.10264253059</v>
      </c>
      <c r="B177" s="99" t="n">
        <f aca="false">E114</f>
        <v>4000</v>
      </c>
      <c r="C177" s="352"/>
      <c r="D177" s="360" t="n">
        <f aca="false">B58</f>
        <v>11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2" t="s">
        <v>294</v>
      </c>
      <c r="C179" s="352"/>
      <c r="D179" s="352" t="s">
        <v>295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1147.10264253059</v>
      </c>
      <c r="B180" s="99" t="n">
        <f aca="false">IF(A105="YES", B89, 0)</f>
        <v>0</v>
      </c>
      <c r="C180" s="352"/>
      <c r="D180" s="99" t="n">
        <f aca="false">B91</f>
        <v>1147.10264253059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99"/>
      <c r="D182" s="363" t="s">
        <v>72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41.6772</v>
      </c>
      <c r="B183" s="364" t="n">
        <f aca="false">G18*0.000002 *1.2*100</f>
        <v>13.8924</v>
      </c>
      <c r="C183" s="352"/>
      <c r="D183" s="364" t="n">
        <f aca="false">A183+B183</f>
        <v>55.5696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99"/>
      <c r="D185" s="363" t="s">
        <v>280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239.988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578.85</v>
      </c>
      <c r="B191" s="99" t="n">
        <f aca="false">B102</f>
        <v>400</v>
      </c>
      <c r="C191" s="99"/>
      <c r="D191" s="99" t="n">
        <f aca="false">IF(A105="YES", (A38/100*B105)*B125, 0)*0.001</f>
        <v>0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(E118/1.2)-100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1078.84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209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210</v>
      </c>
      <c r="B203" s="368" t="n">
        <f aca="false">B209</f>
        <v>0.065</v>
      </c>
      <c r="C203" s="320" t="s">
        <v>212</v>
      </c>
      <c r="D203" s="369" t="n">
        <f aca="false">D64</f>
        <v>4051.95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213</v>
      </c>
      <c r="B205" s="320" t="n">
        <f aca="false">B213</f>
        <v>578.85</v>
      </c>
      <c r="C205" s="319" t="s">
        <v>214</v>
      </c>
      <c r="D205" s="369" t="n">
        <f aca="false">B219+E215+B215+B217</f>
        <v>339.99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215</v>
      </c>
      <c r="B207" s="320" t="n">
        <f aca="false">E217</f>
        <v>3813.09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210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212</v>
      </c>
      <c r="B211" s="100" t="n">
        <f aca="false">D64</f>
        <v>4051.95</v>
      </c>
      <c r="C211" s="374" t="s">
        <v>218</v>
      </c>
      <c r="D211" s="316"/>
      <c r="E211" s="375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218</v>
      </c>
      <c r="B213" s="100" t="n">
        <f aca="false">B67</f>
        <v>578.85</v>
      </c>
      <c r="C213" s="335" t="s">
        <v>326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326</v>
      </c>
      <c r="B215" s="237" t="n">
        <f aca="false">B191*E213*100</f>
        <v>40</v>
      </c>
      <c r="C215" s="335" t="s">
        <v>220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327</v>
      </c>
      <c r="B217" s="237" t="n">
        <f aca="false">B78-(B78*(E213*100))</f>
        <v>200</v>
      </c>
      <c r="C217" s="335" t="s">
        <v>215</v>
      </c>
      <c r="D217" s="316"/>
      <c r="E217" s="33" t="n">
        <f aca="false">(B211-B205+D205)</f>
        <v>3813.09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328</v>
      </c>
      <c r="B219" s="340" t="n">
        <f aca="false">D191/0.1</f>
        <v>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329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222</v>
      </c>
      <c r="B223" s="100" t="n">
        <f aca="false">B71</f>
        <v>200</v>
      </c>
      <c r="C223" s="335" t="s">
        <v>223</v>
      </c>
      <c r="D223" s="342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224</v>
      </c>
      <c r="D224" s="342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225</v>
      </c>
      <c r="B225" s="380" t="n">
        <f aca="false">B68</f>
        <v>0.0075</v>
      </c>
      <c r="C225" s="335" t="s">
        <v>226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227</v>
      </c>
      <c r="D226" s="342"/>
      <c r="E226" s="33" t="n">
        <f aca="false">B86</f>
        <v>96.4917103670835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228</v>
      </c>
      <c r="B227" s="100" t="n">
        <f aca="false">B79</f>
        <v>200</v>
      </c>
      <c r="C227" s="381" t="s">
        <v>330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229</v>
      </c>
      <c r="B229" s="100" t="n">
        <f aca="false">B80</f>
        <v>200</v>
      </c>
      <c r="C229" s="385" t="s">
        <v>331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96" colorId="64" zoomScale="85" zoomScaleNormal="85" zoomScalePageLayoutView="100" workbookViewId="0">
      <selection pane="topLeft" activeCell="B204" activeCellId="0" sqref="B20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500" t="n">
        <v>0.0</v>
      </c>
      <c r="C4" s="500" t="n">
        <v>0.0</v>
      </c>
      <c r="D4" s="500" t="n">
        <v>0.0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0.0</v>
      </c>
      <c r="C5" s="498" t="n">
        <v>0.0</v>
      </c>
      <c r="D5" s="498" t="n">
        <v>0.0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(B3+C3+E10+D3+E3)*1.2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50</v>
      </c>
      <c r="E32" s="222"/>
      <c r="F32" s="63"/>
      <c r="G32" s="223" t="s">
        <v>241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390</v>
      </c>
      <c r="C38" s="219"/>
      <c r="D38" s="100" t="n">
        <v>500.0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139</v>
      </c>
      <c r="E40" s="212"/>
      <c r="F40" s="63"/>
      <c r="G40" s="386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0.0</v>
      </c>
      <c r="B41" s="237" t="n">
        <f aca="false">IF(B38="YES", D38+A41, D38)</f>
        <v>550</v>
      </c>
      <c r="C41" s="237"/>
      <c r="D41" s="100" t="n">
        <v>12.0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252</v>
      </c>
      <c r="B43" s="236" t="s">
        <v>253</v>
      </c>
      <c r="C43" s="226"/>
      <c r="D43" s="236" t="s">
        <v>257</v>
      </c>
      <c r="E43" s="239"/>
      <c r="F43" s="63"/>
      <c r="G43" s="63" t="s">
        <v>254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1.0</v>
      </c>
      <c r="B44" s="100" t="n">
        <v>0.0</v>
      </c>
      <c r="C44" s="100"/>
      <c r="D44" s="278" t="n">
        <f aca="false">A44+B44</f>
        <v>2</v>
      </c>
      <c r="E44" s="278"/>
      <c r="F44" s="63"/>
      <c r="G44" s="63" t="s">
        <v>255</v>
      </c>
      <c r="H44" s="234" t="n">
        <f aca="false">((A41*(B35-1))+D32)/B35</f>
        <v>50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272</v>
      </c>
      <c r="B46" s="226"/>
      <c r="C46" s="226"/>
      <c r="D46" s="226"/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63"/>
      <c r="H48" s="234" t="n">
        <f aca="false">(A41*(B58+B57))</f>
        <v>600</v>
      </c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84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273</v>
      </c>
      <c r="D58" s="211"/>
      <c r="E58" s="212"/>
      <c r="F58" s="63"/>
      <c r="G58" s="210" t="s">
        <v>85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57885</v>
      </c>
      <c r="C61" s="211"/>
      <c r="D61" s="211"/>
      <c r="E61" s="212"/>
      <c r="F61" s="63"/>
      <c r="G61" s="210" t="s">
        <v>14</v>
      </c>
      <c r="H61" s="290" t="n">
        <f aca="false">G18</f>
        <v>57885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B61*B63</f>
        <v>4051.95</v>
      </c>
      <c r="C64" s="211" t="n">
        <v>10000.0</v>
      </c>
      <c r="D64" s="290" t="n">
        <f aca="false">B64</f>
        <v>4051.95</v>
      </c>
      <c r="E64" s="212"/>
      <c r="F64" s="63"/>
      <c r="G64" s="284" t="s">
        <v>90</v>
      </c>
      <c r="H64" s="129" t="n">
        <f aca="false">H61*H63</f>
        <v>4051.95</v>
      </c>
      <c r="I64" s="211"/>
      <c r="J64" s="290" t="n">
        <f aca="false">H64</f>
        <v>4051.95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11"/>
      <c r="E65" s="212"/>
      <c r="F65" s="63"/>
      <c r="G65" s="291" t="s">
        <v>91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578.85</v>
      </c>
      <c r="C67" s="211"/>
      <c r="D67" s="290"/>
      <c r="E67" s="212"/>
      <c r="F67" s="63"/>
      <c r="G67" s="284" t="s">
        <v>93</v>
      </c>
      <c r="H67" s="129" t="n">
        <f aca="false">H61*H66</f>
        <v>289.425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200.0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5.0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60</v>
      </c>
      <c r="C73" s="211"/>
      <c r="D73" s="290" t="n">
        <f aca="false">B73+B71</f>
        <v>260</v>
      </c>
      <c r="E73" s="212"/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0.0</v>
      </c>
      <c r="C74" s="211"/>
      <c r="D74" s="211"/>
      <c r="E74" s="212"/>
      <c r="F74" s="63"/>
      <c r="G74" s="291" t="s">
        <v>277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0.0</v>
      </c>
      <c r="C75" s="211"/>
      <c r="D75" s="211"/>
      <c r="E75" s="212"/>
      <c r="F75" s="63"/>
      <c r="G75" s="294" t="s">
        <v>278</v>
      </c>
      <c r="H75" s="298" t="n">
        <f aca="false">IF(G18&gt;40000, 325, 0)</f>
        <v>325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39.5833333333333</v>
      </c>
      <c r="I76" s="211"/>
      <c r="J76" s="290" t="n">
        <f aca="false">H76</f>
        <v>39.5833333333333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297" t="n">
        <f aca="false">B102/(1-0.1)</f>
        <v>0</v>
      </c>
      <c r="C77" s="211"/>
      <c r="D77" s="290" t="n">
        <f aca="false">B77</f>
        <v>0</v>
      </c>
      <c r="E77" s="212"/>
      <c r="F77" s="63"/>
      <c r="G77" s="291" t="s">
        <v>280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0</v>
      </c>
      <c r="C78" s="211"/>
      <c r="D78" s="290" t="n">
        <f aca="false">B78</f>
        <v>0</v>
      </c>
      <c r="E78" s="212"/>
      <c r="F78" s="63"/>
      <c r="G78" s="210" t="s">
        <v>281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200.0</v>
      </c>
      <c r="C79" s="211"/>
      <c r="D79" s="290" t="n">
        <f aca="false">B79</f>
        <v>200</v>
      </c>
      <c r="E79" s="212"/>
      <c r="F79" s="63"/>
      <c r="G79" s="294" t="s">
        <v>100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200.0</v>
      </c>
      <c r="C80" s="211"/>
      <c r="D80" s="290" t="n">
        <f aca="false">B80</f>
        <v>200</v>
      </c>
      <c r="E80" s="212"/>
      <c r="F80" s="63"/>
      <c r="G80" s="300" t="s">
        <v>101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4711.95</v>
      </c>
      <c r="C81" s="211"/>
      <c r="D81" s="211"/>
      <c r="E81" s="212"/>
      <c r="F81" s="63"/>
      <c r="G81" s="302" t="s">
        <v>102</v>
      </c>
      <c r="H81" s="303" t="n">
        <f aca="false">SUM(J64:J80)</f>
        <v>5705.53333333333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392.6625</v>
      </c>
      <c r="C82" s="211"/>
      <c r="D82" s="211"/>
      <c r="E82" s="212"/>
      <c r="F82" s="63"/>
      <c r="G82" s="210" t="s">
        <v>103</v>
      </c>
      <c r="H82" s="299" t="n">
        <f aca="false">H81/H29</f>
        <v>475.461111111111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H46</f>
        <v>501</v>
      </c>
      <c r="C83" s="211"/>
      <c r="D83" s="211"/>
      <c r="E83" s="212"/>
      <c r="F83" s="63"/>
      <c r="G83" s="304" t="s">
        <v>104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((B83*(H29)+B81))</f>
        <v>10723.95</v>
      </c>
      <c r="C85" s="211"/>
      <c r="D85" s="211"/>
      <c r="E85" s="212"/>
      <c r="F85" s="63"/>
      <c r="G85" s="287" t="s">
        <v>114</v>
      </c>
      <c r="H85" s="127" t="n">
        <f aca="false">((H83*(H27+H28))+H81)*1.2</f>
        <v>14061.04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(B85/(1-B70))*B70</f>
        <v>90.8442718838241</v>
      </c>
      <c r="C86" s="211"/>
      <c r="D86" s="211"/>
      <c r="E86" s="212"/>
      <c r="F86" s="63"/>
      <c r="G86" s="210" t="s">
        <v>115</v>
      </c>
      <c r="H86" s="299" t="n">
        <f aca="false">(((H83*(H27+H28))+H81)/(1-H70))*H70</f>
        <v>99.2610730133118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10814.7942718838</v>
      </c>
      <c r="C87" s="211"/>
      <c r="D87" s="211"/>
      <c r="E87" s="212"/>
      <c r="F87" s="63"/>
      <c r="G87" s="284" t="s">
        <v>116</v>
      </c>
      <c r="H87" s="129" t="n">
        <f aca="false">IF(H110="YES",((H85+H86)-A151-K114),((H85+H86)-A151))</f>
        <v>14060.3110730133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6" t="n">
        <f aca="false">IF(B99=Z102,(((H44*B35)+(H44*B35)*(B105/100))/(B58)),(((H44*B35)+(H44*B35)*(B105/100))/(B57+B58)))</f>
        <v>50</v>
      </c>
      <c r="C89" s="211" t="s">
        <v>4</v>
      </c>
      <c r="D89" s="211"/>
      <c r="E89" s="212"/>
      <c r="F89" s="63"/>
      <c r="G89" s="302" t="s">
        <v>117</v>
      </c>
      <c r="H89" s="303" t="n">
        <f aca="false">(A41+(A41*H105))*1.2</f>
        <v>72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IF(B99=Z102, (B87-D105)/(B58), B87/(B57+B58))</f>
        <v>901.232855990319</v>
      </c>
      <c r="C90" s="211"/>
      <c r="D90" s="211"/>
      <c r="E90" s="212"/>
      <c r="F90" s="63"/>
      <c r="G90" s="307" t="s">
        <v>118</v>
      </c>
      <c r="H90" s="308" t="n">
        <f aca="false">IF(H99=AE98, (H87-J105)/(H58), H87/(H57+H58))</f>
        <v>1171.69258941778</v>
      </c>
      <c r="I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901.232855990319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1243.69258941778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284</v>
      </c>
      <c r="B99" s="311" t="s">
        <v>285</v>
      </c>
      <c r="C99" s="311"/>
      <c r="D99" s="103" t="n">
        <v>1000</v>
      </c>
      <c r="E99" s="103"/>
      <c r="F99" s="63"/>
      <c r="G99" s="216" t="s">
        <v>284</v>
      </c>
      <c r="H99" s="311" t="s">
        <v>128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2" t="n">
        <v>199.99</v>
      </c>
      <c r="B102" s="103" t="n">
        <v>400.0</v>
      </c>
      <c r="C102" s="103"/>
      <c r="D102" s="103" t="n">
        <v>200.0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261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262</v>
      </c>
      <c r="AA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263</v>
      </c>
      <c r="AA104" s="63"/>
    </row>
    <row r="105" customFormat="false" ht="18.75" hidden="false" customHeight="true" outlineLevel="0" collapsed="false">
      <c r="A105" s="218" t="s">
        <v>390</v>
      </c>
      <c r="B105" s="311" t="n">
        <v>0.0</v>
      </c>
      <c r="C105" s="311"/>
      <c r="D105" s="103" t="s">
        <v>410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264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290</v>
      </c>
      <c r="B108" s="213"/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291</v>
      </c>
      <c r="B110" s="218" t="s">
        <v>390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10000.0</v>
      </c>
      <c r="E112" s="103" t="n">
        <v>6000.0</v>
      </c>
      <c r="F112" s="63"/>
      <c r="G112" s="210" t="s">
        <v>174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2000.0</v>
      </c>
      <c r="F113" s="63"/>
      <c r="G113" s="210" t="s">
        <v>175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4000</v>
      </c>
      <c r="E115" s="212"/>
      <c r="F115" s="63"/>
      <c r="G115" s="210" t="s">
        <v>177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((E118*1.2)+E117)-E114</f>
        <v>-2760.012</v>
      </c>
      <c r="F119" s="63"/>
      <c r="G119" s="314" t="s">
        <v>292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0.0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82</v>
      </c>
      <c r="H126" s="211" t="s">
        <v>83</v>
      </c>
      <c r="I126" s="211"/>
      <c r="J126" s="211" t="s">
        <v>85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901.232855990319</v>
      </c>
      <c r="B128" s="320" t="n">
        <f aca="false">IF(A105="YES", B89, 0)</f>
        <v>0</v>
      </c>
      <c r="C128" s="325"/>
      <c r="D128" s="320" t="n">
        <f aca="false">B91</f>
        <v>901.232855990319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296</v>
      </c>
      <c r="H129" s="327" t="s">
        <v>297</v>
      </c>
      <c r="I129" s="327"/>
      <c r="J129" s="327" t="s">
        <v>298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332" t="n">
        <f aca="false">H90</f>
        <v>1171.69258941778</v>
      </c>
      <c r="H130" s="174" t="n">
        <f aca="false">IF(G105="YES", H89*H57, 0)</f>
        <v>72</v>
      </c>
      <c r="I130" s="174"/>
      <c r="J130" s="333" t="n">
        <f aca="false">H91</f>
        <v>1243.69258941778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8111.09570391287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1171.69258941778</v>
      </c>
      <c r="H133" s="99" t="n">
        <f aca="false">IF(G105="YES", H89*H57, 0)</f>
        <v>72</v>
      </c>
      <c r="I133" s="217"/>
      <c r="J133" s="181" t="n">
        <f aca="false">H91*H57</f>
        <v>1243.69258941778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8111.09570391287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0.35115</v>
      </c>
      <c r="H136" s="99" t="n">
        <f aca="false">IF(G105="YES", E15*0.000002, 0)</f>
        <v>0.11705</v>
      </c>
      <c r="I136" s="99"/>
      <c r="J136" s="99" t="n">
        <f aca="false">G136+H136</f>
        <v>0.4682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901.232855990319</v>
      </c>
      <c r="B137" s="38" t="n">
        <f aca="false">IF(A105="YES", B89, 0)</f>
        <v>0</v>
      </c>
      <c r="C137" s="316"/>
      <c r="D137" s="38" t="n">
        <f aca="false">B91</f>
        <v>901.232855990319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239.988</v>
      </c>
      <c r="H139" s="99" t="n">
        <f aca="false">H67</f>
        <v>289.425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41.6772</v>
      </c>
      <c r="B140" s="342" t="n">
        <f aca="false">G18*0.000002 *1.2*100</f>
        <v>13.8924</v>
      </c>
      <c r="C140" s="316"/>
      <c r="D140" s="342" t="n">
        <f aca="false">A140+B140</f>
        <v>55.5696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H89*0.1, 0)</f>
        <v>7.2</v>
      </c>
      <c r="H142" s="99" t="n">
        <f aca="false">G102-100</f>
        <v>139.988</v>
      </c>
      <c r="I142" s="99"/>
      <c r="J142" s="99" t="n">
        <f aca="false">(H139+J139+G142+H142)-H145</f>
        <v>1516.613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578.85</v>
      </c>
      <c r="B148" s="38" t="n">
        <f aca="false">B102</f>
        <v>0</v>
      </c>
      <c r="C148" s="38"/>
      <c r="D148" s="38" t="n">
        <f aca="false">IF(A105="YES", (A38/100*B105)*B125, 0)*0.001</f>
        <v>0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678.84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1243.69258941778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901.232855990319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125</v>
      </c>
      <c r="B167" s="353" t="s">
        <v>39</v>
      </c>
      <c r="C167" s="354"/>
      <c r="D167" s="353" t="s">
        <v>83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284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118</v>
      </c>
      <c r="B170" s="353" t="s">
        <v>294</v>
      </c>
      <c r="C170" s="354"/>
      <c r="D170" s="353" t="s">
        <v>295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901.232855990319</v>
      </c>
      <c r="B171" s="354" t="n">
        <f aca="false">IF(A105="YES", B89, 0)</f>
        <v>0</v>
      </c>
      <c r="C171" s="357"/>
      <c r="D171" s="354" t="n">
        <f aca="false">B91</f>
        <v>901.232855990319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6"/>
      <c r="D173" s="358" t="s">
        <v>300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Terminal pause with 9 down </v>
      </c>
      <c r="B174" s="99" t="n">
        <f aca="false">B90*B57</f>
        <v>8111.09570391287</v>
      </c>
      <c r="C174" s="352"/>
      <c r="D174" s="99" t="n">
        <f aca="false">IF(A105="YES", B89*B57, 0)</f>
        <v>0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304</v>
      </c>
      <c r="B176" s="163" t="s">
        <v>305</v>
      </c>
      <c r="C176" s="359"/>
      <c r="D176" s="237" t="s">
        <v>203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8111.09570391287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2" t="s">
        <v>294</v>
      </c>
      <c r="C179" s="352"/>
      <c r="D179" s="352" t="s">
        <v>295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901.232855990319</v>
      </c>
      <c r="B180" s="99" t="n">
        <f aca="false">IF(A105="YES", B89, 0)</f>
        <v>0</v>
      </c>
      <c r="C180" s="352"/>
      <c r="D180" s="99" t="n">
        <f aca="false">B91</f>
        <v>901.232855990319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99"/>
      <c r="D182" s="363" t="s">
        <v>72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41.6772</v>
      </c>
      <c r="B183" s="364" t="n">
        <f aca="false">G18*0.000002 *1.2*100</f>
        <v>13.8924</v>
      </c>
      <c r="C183" s="352"/>
      <c r="D183" s="364" t="n">
        <f aca="false">A183+B183</f>
        <v>55.5696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99"/>
      <c r="D185" s="363" t="s">
        <v>280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199.99</v>
      </c>
      <c r="C186" s="352"/>
      <c r="D186" s="148" t="n">
        <f aca="false">B102</f>
        <v>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578.85</v>
      </c>
      <c r="B191" s="99" t="n">
        <f aca="false">B102</f>
        <v>0</v>
      </c>
      <c r="C191" s="99"/>
      <c r="D191" s="99" t="n">
        <f aca="false">IF(A105="YES", (A38/100*B105)*B125, 0)*0.001</f>
        <v>0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E118-100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678.84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209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210</v>
      </c>
      <c r="B203" s="368" t="n">
        <f aca="false">B209</f>
        <v>0.065</v>
      </c>
      <c r="C203" s="320" t="s">
        <v>212</v>
      </c>
      <c r="D203" s="369" t="n">
        <f aca="false">D64</f>
        <v>4051.95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213</v>
      </c>
      <c r="B205" s="320" t="n">
        <f aca="false">B213</f>
        <v>578.85</v>
      </c>
      <c r="C205" s="319" t="s">
        <v>214</v>
      </c>
      <c r="D205" s="369" t="n">
        <f aca="false">B219+E215+B215+B217</f>
        <v>99.99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215</v>
      </c>
      <c r="B207" s="320" t="n">
        <f aca="false">E217</f>
        <v>3573.09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210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212</v>
      </c>
      <c r="B211" s="100" t="n">
        <f aca="false">D64</f>
        <v>4051.95</v>
      </c>
      <c r="C211" s="374" t="s">
        <v>218</v>
      </c>
      <c r="D211" s="316"/>
      <c r="E211" s="375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218</v>
      </c>
      <c r="B213" s="100" t="n">
        <f aca="false">B67</f>
        <v>578.85</v>
      </c>
      <c r="C213" s="335" t="s">
        <v>326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326</v>
      </c>
      <c r="B215" s="237" t="n">
        <f aca="false">B191*E213*100</f>
        <v>0</v>
      </c>
      <c r="C215" s="335" t="s">
        <v>220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327</v>
      </c>
      <c r="B217" s="237" t="n">
        <f aca="false">B78-(B78*(E213*100))</f>
        <v>0</v>
      </c>
      <c r="C217" s="335" t="s">
        <v>215</v>
      </c>
      <c r="D217" s="316"/>
      <c r="E217" s="33" t="n">
        <f aca="false">(B211-B205+D205)</f>
        <v>3573.09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328</v>
      </c>
      <c r="B219" s="340" t="n">
        <f aca="false">D191/0.1</f>
        <v>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329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222</v>
      </c>
      <c r="B223" s="100" t="n">
        <f aca="false">B71</f>
        <v>200</v>
      </c>
      <c r="C223" s="335" t="s">
        <v>223</v>
      </c>
      <c r="D223" s="342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224</v>
      </c>
      <c r="D224" s="342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225</v>
      </c>
      <c r="B225" s="380" t="n">
        <f aca="false">B68</f>
        <v>0.0075</v>
      </c>
      <c r="C225" s="335" t="s">
        <v>226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227</v>
      </c>
      <c r="D226" s="342"/>
      <c r="E226" s="33" t="n">
        <f aca="false">B86</f>
        <v>90.8442718838241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228</v>
      </c>
      <c r="B227" s="100" t="n">
        <f aca="false">B79</f>
        <v>200</v>
      </c>
      <c r="C227" s="381" t="s">
        <v>330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229</v>
      </c>
      <c r="B229" s="100" t="n">
        <f aca="false">B80</f>
        <v>200</v>
      </c>
      <c r="C229" s="385" t="s">
        <v>331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4753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2020-12-02T11:02:33Z</dcterms:created>
  <dc:creator>Kushal Panchal</dc:creator>
  <dc:language>en-US</dc:language>
  <dcterms:modified xsi:type="dcterms:W3CDTF">2023-07-20T19:34:49Z</dcterms:modified>
  <cp:revision>842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0</vt:bool>
  </property>
  <property fmtid="{D5CDD505-2E9C-101B-9397-08002B2CF9AE}" pid="4" name="LinksUpToDate">
    <vt:bool>0</vt:bool>
  </property>
  <property fmtid="{D5CDD505-2E9C-101B-9397-08002B2CF9AE}" pid="5" name="ScaleCrop">
    <vt:bool>0</vt:bool>
  </property>
  <property fmtid="{D5CDD505-2E9C-101B-9397-08002B2CF9AE}" pid="6" name="ShareDoc">
    <vt:bool>0</vt:bool>
  </property>
</Properties>
</file>