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<sst xmlns="http://schemas.openxmlformats.org/spreadsheetml/2006/main" count="40174" uniqueCount="422">
  <si>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</si>
  <si>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</si>
  <si>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</si>
  <si>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</si>
  <si>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</si>
  <si>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</si>
  <si>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</si>
  <si>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</si>
  <si>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</si>
  <si>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</si>
  <si>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</si>
  <si>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</si>
  <si>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</si>
  <si>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</si>
  <si>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</si>
  <si>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</si>
  <si>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</si>
  <si>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</si>
  <si>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</si>
  <si>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</si>
  <si>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</si>
  <si>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</si>
  <si>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</si>
  <si>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</si>
  <si>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</si>
  <si>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</si>
  <si>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</si>
  <si>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</si>
  <si>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</si>
  <si>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</si>
  <si>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</si>
  <si>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</si>
  <si>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</si>
  <si>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</si>
  <si>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</si>
  <si>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</si>
  <si>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</si>
  <si>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</si>
  <si>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</si>
  <si>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</si>
  <si>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</si>
  <si>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</si>
  <si>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</si>
  <si>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</si>
  <si>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</si>
  <si>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</si>
  <si>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</si>
  <si>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</si>
  <si>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</si>
  <si>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</si>
  <si>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</si>
  <si>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</si>
  <si>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</si>
  <si>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</si>
  <si>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</si>
  <si>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</si>
  <si>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</si>
  <si>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</si>
  <si>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</si>
  <si>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</si>
  <si>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</si>
  <si>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</si>
  <si>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</si>
  <si>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</si>
  <si>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</si>
  <si>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</si>
  <si>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</si>
  <si>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</si>
  <si>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</si>
  <si>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</si>
  <si>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</si>
  <si>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</si>
  <si>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</si>
  <si>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</si>
  <si>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</si>
  <si>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</si>
  <si>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</si>
  <si>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</si>
  <si>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</si>
  <si>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</si>
  <si>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</si>
  <si>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</si>
  <si>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</si>
  <si>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</si>
  <si>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</si>
  <si>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</si>
  <si>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</si>
  <si>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</si>
  <si>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</si>
  <si>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</si>
  <si>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</si>
  <si>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</si>
  <si>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</si>
  <si>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</si>
  <si>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</si>
  <si>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</si>
  <si>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</si>
  <si>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</si>
  <si>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</si>
  <si>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</si>
  <si>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</si>
  <si>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</si>
  <si>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</si>
  <si>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</si>
  <si>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</si>
  <si>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</si>
  <si>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</si>
  <si>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</si>
  <si>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</si>
  <si>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</si>
  <si>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</si>
  <si>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</si>
  <si>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</si>
  <si>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</si>
  <si>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</si>
  <si>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</si>
  <si>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</si>
  <si>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</si>
  <si>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</si>
  <si>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</si>
  <si>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</si>
  <si>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</si>
  <si>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</si>
  <si>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</si>
  <si>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</si>
  <si>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</si>
  <si>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</si>
  <si>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</si>
  <si>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</si>
  <si>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</si>
  <si>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</si>
  <si>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</si>
  <si>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</si>
  <si>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</si>
  <si>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</si>
  <si>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</si>
  <si>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</si>
  <si>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</si>
  <si>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</si>
  <si>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</si>
  <si>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</si>
  <si>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</si>
  <si>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</si>
  <si>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</si>
  <si>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</si>
  <si>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</si>
  <si>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</si>
  <si>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</si>
  <si>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</si>
  <si>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</si>
  <si>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</si>
  <si>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</si>
  <si>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</si>
  <si>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</si>
  <si>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</si>
  <si>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</si>
  <si>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</si>
  <si>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</si>
  <si>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</si>
  <si>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</si>
  <si>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</si>
  <si>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</si>
  <si>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</si>
  <si>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</si>
  <si>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</si>
  <si>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</si>
  <si>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</si>
  <si>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</si>
  <si>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</si>
  <si>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</si>
  <si>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</si>
  <si>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</si>
  <si>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</si>
  <si>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</si>
  <si>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</si>
  <si>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</si>
  <si>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</si>
  <si>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</si>
  <si>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</si>
  <si>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</si>
  <si>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</si>
  <si>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</si>
  <si>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</si>
  <si>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</si>
  <si>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</si>
  <si>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</si>
  <si>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</si>
  <si>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</si>
  <si>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</si>
  <si>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</si>
  <si>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</si>
  <si>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</si>
  <si>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</si>
  <si>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</si>
  <si>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</si>
  <si>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</si>
  <si>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</si>
  <si>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</si>
  <si>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</si>
  <si>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</si>
  <si>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</si>
  <si>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</si>
  <si>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</si>
  <si>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</si>
  <si>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</si>
  <si>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</si>
  <si>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</si>
  <si>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</si>
  <si>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</si>
  <si>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</si>
  <si>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</si>
  <si>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</si>
  <si>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</si>
  <si>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</si>
  <si>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</si>
  <si>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</si>
  <si>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</si>
  <si>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</si>
  <si>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</si>
  <si>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</si>
  <si>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</si>
  <si>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</si>
  <si>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</si>
  <si>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</si>
  <si>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</si>
  <si>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</si>
  <si>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</si>
  <si>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</si>
  <si>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</si>
  <si>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</si>
  <si>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</si>
  <si>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</si>
  <si>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</si>
  <si>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</si>
  <si>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107.00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</si>
  <si>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</si>
  <si>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</si>
  <si>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</si>
  <si>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</si>
  <si>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</si>
  <si>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</si>
  <si>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</si>
  <si>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</si>
  <si>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</si>
  <si>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</si>
  <si>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</si>
  <si>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</si>
  <si>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</si>
  <si>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</si>
  <si>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</si>
  <si>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</si>
  <si>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</si>
  <si>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</si>
  <si>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</si>
  <si>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</si>
  <si>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</si>
  <si>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</si>
  <si>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</si>
  <si>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</si>
  <si>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</si>
  <si>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</si>
  <si>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</si>
  <si>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</si>
  <si>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</si>
  <si>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</si>
  <si>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</si>
  <si>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</si>
  <si>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</si>
  <si>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</si>
  <si>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</si>
  <si>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</si>
  <si>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</si>
  <si>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</si>
  <si>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</si>
  <si>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</si>
  <si>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</si>
  <si>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</si>
  <si>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</si>
  <si>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</si>
  <si>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</si>
  <si>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</si>
  <si>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</si>
  <si>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</si>
  <si>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</si>
  <si>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</si>
  <si>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</si>
  <si>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</si>
  <si>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</si>
  <si>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</si>
  <si>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</si>
  <si>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</si>
  <si>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</si>
  <si>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</si>
  <si>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</si>
  <si>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</si>
  <si>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</si>
  <si>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</si>
  <si>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</si>
  <si>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</si>
  <si>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</si>
  <si>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</si>
  <si>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</si>
  <si>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</si>
  <si>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</si>
  <si>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</si>
  <si>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</si>
  <si>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</si>
  <si>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</si>
  <si>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</si>
  <si>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</si>
  <si>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</si>
  <si>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</si>
  <si>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</si>
  <si>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</si>
  <si>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</si>
  <si>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</si>
  <si>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</si>
  <si>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</si>
  <si>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</si>
  <si>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</si>
  <si>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</si>
  <si>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</si>
  <si>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</si>
  <si>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</si>
  <si>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</si>
  <si>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</si>
  <si>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</si>
  <si>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</si>
  <si>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</si>
  <si>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</si>
  <si>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</si>
  <si>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</si>
  <si>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</si>
  <si>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</si>
  <si>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</si>
  <si>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</si>
  <si>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</si>
  <si>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</si>
  <si>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</si>
  <si>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</si>
  <si>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</si>
  <si>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</si>
  <si>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</si>
  <si>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</si>
  <si>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</si>
  <si>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</si>
  <si>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</si>
  <si>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</si>
  <si>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</si>
  <si>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</si>
  <si>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</si>
  <si>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</si>
  <si>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</si>
  <si>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</si>
  <si>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</si>
  <si>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</si>
  <si>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</si>
  <si>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</si>
  <si>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</si>
  <si>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</si>
  <si>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</si>
  <si>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</si>
  <si>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</si>
  <si>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</si>
  <si>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</si>
  <si>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</si>
  <si>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</si>
  <si>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</si>
  <si>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</si>
  <si>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</si>
  <si>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</si>
  <si>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</si>
  <si>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</si>
  <si>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</si>
  <si>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</si>
  <si>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</si>
  <si>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</si>
  <si>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</si>
  <si>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22000.00</t>
  </si>
  <si>
    <t xml:space="preserve">OTR Calculation</t>
  </si>
  <si>
    <t xml:space="preserve">660.00</t>
  </si>
  <si>
    <t xml:space="preserve">48937.50</t>
  </si>
  <si>
    <t xml:space="preserve">8.19</t>
  </si>
  <si>
    <t xml:space="preserve">60</t>
  </si>
  <si>
    <t xml:space="preserve">2</t>
  </si>
  <si>
    <t xml:space="preserve">RFL included?</t>
  </si>
  <si>
    <t>NO</t>
  </si>
  <si>
    <t>500</t>
  </si>
  <si>
    <t>0</t>
  </si>
  <si>
    <t>6000</t>
  </si>
  <si>
    <t>12</t>
  </si>
  <si>
    <t>10</t>
  </si>
  <si>
    <t>1</t>
  </si>
  <si>
    <t>30</t>
  </si>
  <si>
    <t>1000</t>
  </si>
  <si>
    <t>20</t>
  </si>
  <si>
    <t>200</t>
  </si>
  <si>
    <t xml:space="preserve"> Terminal pause with 6 down </t>
  </si>
  <si>
    <t>YES</t>
  </si>
  <si>
    <t>100</t>
  </si>
  <si>
    <t>Limited Credit</t>
  </si>
  <si>
    <t>199.99</t>
  </si>
  <si>
    <t>239.99</t>
  </si>
  <si>
    <t>50</t>
  </si>
  <si>
    <t>A1 Credit</t>
  </si>
  <si>
    <t>17785.00</t>
  </si>
  <si>
    <t>33</t>
  </si>
  <si>
    <t>5000</t>
  </si>
  <si>
    <t>341.00</t>
  </si>
  <si>
    <t>60</t>
  </si>
  <si>
    <t>2</t>
  </si>
  <si>
    <t>40</t>
  </si>
  <si>
    <t>0.00</t>
  </si>
  <si>
    <t>48937.50</t>
  </si>
  <si>
    <t>660.00</t>
  </si>
  <si>
    <t>70</t>
  </si>
  <si>
    <t>8.19</t>
  </si>
  <si>
    <t>22000.00</t>
  </si>
  <si>
    <t>108.00</t>
  </si>
  <si>
    <t>9.00</t>
  </si>
  <si>
    <t>460.00</t>
  </si>
  <si>
    <t>4.38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</si>
</sst>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71" colorId="64" zoomScale="85" zoomScaleNormal="85" zoomScalePageLayoutView="100" workbookViewId="0">
      <selection pane="topLeft" activeCell="B263" activeCellId="0" sqref="B263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1098.2218865263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181" colorId="64" zoomScale="85" zoomScaleNormal="85" zoomScalePageLayoutView="100" workbookViewId="0">
      <selection pane="topLeft" activeCell="E191" activeCellId="0" sqref="E19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19500.0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390</v>
      </c>
      <c r="B34" s="32"/>
      <c r="C34" s="41" t="s">
        <v>407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20500</v>
      </c>
      <c r="B37" s="32"/>
      <c r="C37" s="41" t="s">
        <v>394</v>
      </c>
      <c r="D37" s="41"/>
      <c r="E37" s="32"/>
      <c r="F37" s="43" t="n">
        <f aca="false">A37-C37</f>
        <v>19500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11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C15</f>
        <v>4100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258.333333333333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291.666666666667</v>
      </c>
      <c r="L45" s="2"/>
    </row>
    <row r="46" customFormat="false" ht="17.35" hidden="false" customHeight="false" outlineLevel="0" collapsed="false">
      <c r="A46" s="40" t="s">
        <v>403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294.333333333333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244.333333333333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294.333333333333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14269.273195982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294.333333333333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294.333333333333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294.333333333333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19500</v>
      </c>
      <c r="C90" s="32"/>
      <c r="D90" s="32"/>
      <c r="E90" s="23"/>
      <c r="F90" s="25" t="s">
        <v>105</v>
      </c>
      <c r="G90" s="27" t="n">
        <f aca="false">F37</f>
        <v>19500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13281.8018648348</v>
      </c>
      <c r="C97" s="32"/>
      <c r="D97" s="32"/>
      <c r="E97" s="23"/>
      <c r="F97" s="31" t="s">
        <v>112</v>
      </c>
      <c r="G97" s="33" t="n">
        <f aca="false">G90-G95</f>
        <v>12751.930698559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1298.29756327109</v>
      </c>
      <c r="C98" s="32"/>
      <c r="D98" s="32"/>
      <c r="E98" s="23"/>
      <c r="F98" s="31" t="s">
        <v>113</v>
      </c>
      <c r="G98" s="33" t="n">
        <f aca="false">(G97/G96)</f>
        <v>1197.28178000975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14281.273195982</v>
      </c>
      <c r="C99" s="32"/>
      <c r="D99" s="32"/>
      <c r="E99" s="23"/>
      <c r="F99" s="31" t="s">
        <v>114</v>
      </c>
      <c r="G99" s="33" t="n">
        <f aca="false">((G98*(G94))+G86)</f>
        <v>13170.0995801073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14281.273195982</v>
      </c>
      <c r="C101" s="32"/>
      <c r="D101" s="32"/>
      <c r="E101" s="23"/>
      <c r="F101" s="56" t="s">
        <v>116</v>
      </c>
      <c r="G101" s="65" t="n">
        <f aca="false">(G99+G100)</f>
        <v>13170.0995801073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1298.29756327109</v>
      </c>
      <c r="C104" s="32"/>
      <c r="D104" s="32"/>
      <c r="E104" s="23"/>
      <c r="F104" s="95" t="s">
        <v>118</v>
      </c>
      <c r="G104" s="96" t="n">
        <f aca="false">G101/(G94)</f>
        <v>1197.28178000975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1363.75210872564</v>
      </c>
      <c r="C105" s="32"/>
      <c r="D105" s="32"/>
      <c r="E105" s="23" t="s">
        <v>398</v>
      </c>
      <c r="F105" s="97" t="s">
        <v>119</v>
      </c>
      <c r="G105" s="98" t="n">
        <f aca="false">G103+G104</f>
        <v>1197.28178000975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400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398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24600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24600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24600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24600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24600</v>
      </c>
      <c r="C134" s="133" t="n">
        <f aca="false">C130-C133</f>
        <v>22500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20500</v>
      </c>
      <c r="H144" s="153" t="n">
        <f aca="false">C134+E134+G134+H137</f>
        <v>22500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4100</v>
      </c>
      <c r="H146" s="33" t="n">
        <f aca="false">(H144+H145)*20%</f>
        <v>4500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24600</v>
      </c>
      <c r="H150" s="157" t="n">
        <f aca="false">(H144+H145+H148+H149+H146)-H147</f>
        <v>27000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24600</v>
      </c>
      <c r="H156" s="164" t="n">
        <f aca="false">H150-((H153*1.2)+(H154*1.2)+(H155*1.2)+(H151*1.2))</f>
        <v>27000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2000</v>
      </c>
      <c r="I157" s="1" t="n">
        <f aca="false">(H157-G90)/1.2</f>
        <v>-14583.3333333333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27000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1298.29756327109</v>
      </c>
      <c r="B176" s="177" t="n">
        <f aca="false">B103</f>
        <v>65.4545454545455</v>
      </c>
      <c r="C176" s="174"/>
      <c r="D176" s="174"/>
      <c r="E176" s="177" t="n">
        <f aca="false">B105</f>
        <v>1363.75210872564</v>
      </c>
      <c r="F176" s="23"/>
      <c r="G176" s="23" t="n">
        <f aca="false">ROUND(G104, 2)</f>
        <v>1197.28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22500</v>
      </c>
      <c r="B182" s="103" t="n">
        <f aca="false">H146</f>
        <v>4500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27000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27000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-6718.72680401801</v>
      </c>
      <c r="B191" s="103" t="str">
        <f aca="false">B123</f>
        <v>199.99</v>
      </c>
      <c r="C191" s="103"/>
      <c r="D191" s="23"/>
      <c r="E191" s="103" t="n">
        <f aca="false">E188+A191+(B191*1.2)+A194</f>
        <v>20531.261195982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112.5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212.49</v>
      </c>
      <c r="C200" s="93"/>
      <c r="D200" s="93"/>
      <c r="E200" s="103" t="n">
        <f aca="false">H157</f>
        <v>2000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1363.75210872564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-7829.92</v>
      </c>
      <c r="B210" s="186" t="n">
        <f aca="false">E188+A210+(B191*1.2)+A194</f>
        <v>19420.068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1298.29756327109</v>
      </c>
      <c r="B221" s="177" t="n">
        <f aca="false">B176</f>
        <v>65.4545454545455</v>
      </c>
      <c r="C221" s="174"/>
      <c r="D221" s="174"/>
      <c r="E221" s="177" t="n">
        <f aca="false">E176</f>
        <v>1363.75210872564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22500</v>
      </c>
      <c r="B224" s="103" t="n">
        <f aca="false">B182</f>
        <v>4500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27000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27000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-6718.72680401801</v>
      </c>
      <c r="B233" s="103" t="str">
        <f aca="false">B191</f>
        <v>199.99</v>
      </c>
      <c r="C233" s="103"/>
      <c r="D233" s="113"/>
      <c r="E233" s="103" t="n">
        <f aca="false">E191</f>
        <v>20531.261195982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1298.29756327109</v>
      </c>
      <c r="B239" s="103" t="n">
        <f aca="false">B176</f>
        <v>65.4545454545455</v>
      </c>
      <c r="C239" s="186"/>
      <c r="D239" s="186"/>
      <c r="E239" s="103" t="n">
        <f aca="false">E176</f>
        <v>1363.75210872564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2000</v>
      </c>
      <c r="B249" s="103" t="n">
        <f aca="false">B197</f>
        <v>112.5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2212.49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1121.19319598199</v>
      </c>
      <c r="C263" s="197"/>
      <c r="D263" s="198" t="s">
        <v>216</v>
      </c>
      <c r="E263" s="198"/>
      <c r="F263" s="200" t="n">
        <f aca="false">F270+F276+F278+B279+B280</f>
        <v>135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1086.18319598199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14281.273195982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1086.18319598199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1903.7564571067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5" colorId="64" zoomScale="85" zoomScaleNormal="85" zoomScalePageLayoutView="100" workbookViewId="0">
      <selection pane="topLeft" activeCell="A182" activeCellId="0" sqref="A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G83" activeCellId="0" sqref="G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824.130427820895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789.122094487562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789.122094487562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824.130427820906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394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4100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403</v>
      </c>
      <c r="B44" s="104" t="s">
        <v>391</v>
      </c>
      <c r="C44" s="104"/>
      <c r="D44" s="104" t="s">
        <v>391</v>
      </c>
      <c r="E44" s="104"/>
      <c r="F44" s="388"/>
      <c r="G44" s="2" t="s">
        <v>65</v>
      </c>
      <c r="H44" s="2" t="n">
        <f aca="false">((H40-(((H42/(1.2))*0.2)))/(H43))</f>
        <v>258.333333333333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241.666666666667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244.333333333333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244.333333333333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244.333333333333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244.333333333333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10000.0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290.0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244.333333333333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8872.084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62.6306857603873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8934.71468576039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744.559557146699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744.559557146699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398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744.559557146699</v>
      </c>
      <c r="B134" s="321" t="n">
        <f aca="false">IF(A111="YES", B95, 0)</f>
        <v>0</v>
      </c>
      <c r="C134" s="325"/>
      <c r="D134" s="321" t="n">
        <f aca="false">B97</f>
        <v>744.559557146699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744.559557146699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744.559557146699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744.559557146699</v>
      </c>
      <c r="B143" s="38" t="n">
        <f aca="false">IF(A111="YES", B95, 0)</f>
        <v>0</v>
      </c>
      <c r="C143" s="317"/>
      <c r="D143" s="38" t="n">
        <f aca="false">B97</f>
        <v>744.559557146699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745.991666666667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744.559557146699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744.559557146699</v>
      </c>
      <c r="B177" s="355" t="n">
        <f aca="false">IF(A111="YES", B95, 0)</f>
        <v>0</v>
      </c>
      <c r="C177" s="357"/>
      <c r="D177" s="355" t="n">
        <f aca="false">A177+B177</f>
        <v>744.559557146699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744.559557146699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744.559557146699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744.559557146699</v>
      </c>
      <c r="B186" s="103" t="n">
        <f aca="false">IF(A111="YES", B95, 0)</f>
        <v>0</v>
      </c>
      <c r="C186" s="353"/>
      <c r="D186" s="103" t="n">
        <f aca="false">B97</f>
        <v>744.559557146699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745.991666666667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2930.81166666667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2930.81166666667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62.6306857603873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394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4100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403</v>
      </c>
      <c r="B44" s="104" t="s">
        <v>391</v>
      </c>
      <c r="C44" s="104"/>
      <c r="D44" s="104" t="s">
        <v>391</v>
      </c>
      <c r="E44" s="104"/>
      <c r="F44" s="388"/>
      <c r="G44" s="2" t="s">
        <v>65</v>
      </c>
      <c r="H44" s="2" t="n">
        <f aca="false">((H40-(((H42/(1.2))*0.2)))/(H43))</f>
        <v>258.333333333333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291.666666666667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294.333333333333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244.333333333333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294.333333333333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C70</f>
        <v>1722</v>
      </c>
      <c r="C70" s="317" t="n">
        <v>10000.0</v>
      </c>
      <c r="D70" s="32" t="n">
        <f aca="false">B70-A149</f>
        <v>1722</v>
      </c>
      <c r="E70" s="318" t="n">
        <f aca="false">D70/12</f>
        <v>143.5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290.0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3346.58333333333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278.881944444444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244.333333333333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6278.58333333333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53.1868697055264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6331.77020303886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527.647516919905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587.647516919905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398</v>
      </c>
      <c r="B111" s="312" t="n">
        <v>20.0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527.647516919905</v>
      </c>
      <c r="B134" s="321" t="n">
        <f aca="false">IF(A111="YES", B95, 0)</f>
        <v>60</v>
      </c>
      <c r="C134" s="326"/>
      <c r="D134" s="321" t="n">
        <f aca="false">B97</f>
        <v>587.647516919905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527.647516919905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587.647516919905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527.647516919905</v>
      </c>
      <c r="B143" s="38" t="n">
        <f aca="false">IF(A111="YES", B95, 0)</f>
        <v>60</v>
      </c>
      <c r="C143" s="317"/>
      <c r="D143" s="38" t="n">
        <f aca="false">B97</f>
        <v>587.647516919905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246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757.99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587.647516919905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527.647516919905</v>
      </c>
      <c r="B177" s="355" t="n">
        <f aca="false">IF(A111="YES", B95, 0)</f>
        <v>60</v>
      </c>
      <c r="C177" s="358"/>
      <c r="D177" s="355" t="n">
        <f aca="false">B91</f>
        <v>6278.58333333333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527.647516919905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587.647516919905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527.647516919905</v>
      </c>
      <c r="B186" s="103" t="n">
        <f aca="false">IF(A111="YES", B95, 0)</f>
        <v>60</v>
      </c>
      <c r="C186" s="353"/>
      <c r="D186" s="103" t="n">
        <f aca="false">B97</f>
        <v>587.647516919905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757.99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1722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1935.99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1935.99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53.1868697055264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409</v>
      </c>
      <c r="B41" s="241" t="str">
        <f aca="false">IF(B38="YES", D38+A41, D38)</f>
        <v>500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410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3048.66666666667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254.055555555556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9060.66666666667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76.7543364259782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9137.42100309265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761.451750257721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761.451750257721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4" t="n">
        <v>20.0</v>
      </c>
      <c r="C111" s="314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761.451750257721</v>
      </c>
      <c r="B134" s="321" t="n">
        <f aca="false">IF(A111="YES", B95, 0)</f>
        <v>0</v>
      </c>
      <c r="C134" s="326"/>
      <c r="D134" s="321" t="n">
        <f aca="false">B97</f>
        <v>761.451750257721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6853.06575231948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6853.06575231948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761.451750257721</v>
      </c>
      <c r="B143" s="38" t="n">
        <f aca="false">IF(A111="YES", B95, 0)</f>
        <v>0</v>
      </c>
      <c r="C143" s="317"/>
      <c r="D143" s="38" t="n">
        <f aca="false">B97</f>
        <v>761.451750257721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761.451750257721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761.451750257721</v>
      </c>
      <c r="B177" s="355" t="n">
        <f aca="false">IF(A111="YES", B95, 0)</f>
        <v>0</v>
      </c>
      <c r="C177" s="358"/>
      <c r="D177" s="355" t="n">
        <f aca="false">B91</f>
        <v>9060.66666666667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6853.06575231948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6853.06575231948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761.451750257721</v>
      </c>
      <c r="B186" s="103" t="n">
        <f aca="false">IF(A111="YES", B95, 0)</f>
        <v>0</v>
      </c>
      <c r="C186" s="353"/>
      <c r="D186" s="103" t="n">
        <f aca="false">B97</f>
        <v>761.451750257721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n">
        <f aca="false">IF(B38="YES", D38+A41, D38)</f>
        <v>550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388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10000.0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290.0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851.488447402627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65</v>
      </c>
      <c r="C134" s="326"/>
      <c r="D134" s="321" t="n">
        <f aca="false">B97</f>
        <v>851.488447402627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786.488447402627</v>
      </c>
      <c r="C137" s="317"/>
      <c r="D137" s="38" t="n">
        <f aca="false">IF(A111="YES", B95*B63, 0)</f>
        <v>65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851.488447402627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65</v>
      </c>
      <c r="C143" s="317"/>
      <c r="D143" s="38" t="n">
        <f aca="false">B97</f>
        <v>851.488447402627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763.99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851.488447402627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65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786.488447402627</v>
      </c>
      <c r="C180" s="353"/>
      <c r="D180" s="103" t="n">
        <f aca="false">IF(A111="YES", B95*B63,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851.488447402627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65</v>
      </c>
      <c r="C186" s="353"/>
      <c r="D186" s="103" t="n">
        <f aca="false">B97</f>
        <v>851.488447402627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B154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763.99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419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10000.0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3048.66666666667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254.055555555556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9060.66666666667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76.7543364259782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9137.42100309265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761.451750257721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761.451750257721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30.0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761.451750257721</v>
      </c>
      <c r="B134" s="321" t="n">
        <f aca="false">IF(A111="YES", B95, 0)</f>
        <v>0</v>
      </c>
      <c r="C134" s="326"/>
      <c r="D134" s="321" t="n">
        <f aca="false">B97</f>
        <v>761.451750257721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6853.06575231948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6853.06575231948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761.451750257721</v>
      </c>
      <c r="B143" s="38" t="n">
        <f aca="false">IF(A111="YES", B95, 0)</f>
        <v>0</v>
      </c>
      <c r="C143" s="317"/>
      <c r="D143" s="38" t="n">
        <f aca="false">B97</f>
        <v>761.451750257721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761.451750257721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761.451750257721</v>
      </c>
      <c r="B177" s="355" t="n">
        <f aca="false">IF(A111="YES", B95, 0)</f>
        <v>0</v>
      </c>
      <c r="C177" s="358"/>
      <c r="D177" s="355" t="n">
        <f aca="false">B91</f>
        <v>9060.66666666667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6853.06575231948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6853.06575231948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761.451750257721</v>
      </c>
      <c r="B186" s="103" t="n">
        <f aca="false">IF(A111="YES", B95, 0)</f>
        <v>0</v>
      </c>
      <c r="C186" s="353"/>
      <c r="D186" s="103" t="n">
        <f aca="false">B97</f>
        <v>761.451750257721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419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10000.0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290.0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2679.91666666667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223.326388888889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10430.3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73.6305970149254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10503.9305970149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875.327549751244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875.327549751244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30.0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875.327549751244</v>
      </c>
      <c r="B134" s="321" t="n">
        <f aca="false">IF(A111="YES", B95, 0)</f>
        <v>0</v>
      </c>
      <c r="C134" s="326"/>
      <c r="D134" s="321" t="n">
        <f aca="false">B97</f>
        <v>875.327549751244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875.327549751244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875.327549751244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875.327549751244</v>
      </c>
      <c r="B143" s="38" t="n">
        <f aca="false">IF(A111="YES", B95, 0)</f>
        <v>0</v>
      </c>
      <c r="C143" s="317"/>
      <c r="D143" s="38" t="n">
        <f aca="false">B97</f>
        <v>875.327549751244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345.991666666667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875.327549751244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875.327549751244</v>
      </c>
      <c r="B177" s="355" t="n">
        <f aca="false">IF(A111="YES", B95, 0)</f>
        <v>0</v>
      </c>
      <c r="C177" s="358"/>
      <c r="D177" s="355" t="n">
        <f aca="false">B91</f>
        <v>10430.3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875.327549751244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875.327549751244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875.327549751244</v>
      </c>
      <c r="B186" s="103" t="n">
        <f aca="false">IF(A111="YES", B95, 0)</f>
        <v>0</v>
      </c>
      <c r="C186" s="353"/>
      <c r="D186" s="103" t="n">
        <f aca="false">B97</f>
        <v>875.327549751244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345.991666666667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1575.99166666667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1575.99166666667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73.6305970149254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1349.85127868987</v>
      </c>
      <c r="F33" s="232"/>
      <c r="G33" s="232"/>
      <c r="H33" s="47"/>
      <c r="I33" s="2"/>
      <c r="J33" s="34" t="s">
        <v>354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1302.50127868987</v>
      </c>
      <c r="B36" s="232" t="n">
        <f aca="false">IF(B26="YES", K42, "0.00")</f>
        <v>47.35</v>
      </c>
      <c r="C36" s="232"/>
      <c r="D36" s="232"/>
      <c r="E36" s="232" t="n">
        <f aca="false">K31</f>
        <v>17400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14128.3417312338</v>
      </c>
      <c r="N39" s="1" t="n">
        <f aca="false">K39-L39</f>
        <v>6371.65826876617</v>
      </c>
      <c r="P39" s="212"/>
    </row>
    <row r="40" customFormat="false" ht="17.35" hidden="false" customHeight="false" outlineLevel="0" collapsed="false">
      <c r="A40" s="107" t="n">
        <f aca="false">E36*A45/100</f>
        <v>10875.0</v>
      </c>
      <c r="B40" s="107" t="n">
        <f aca="false">IF(B26="YES", K42, "0.00")</f>
        <v>47.35</v>
      </c>
      <c r="C40" s="107"/>
      <c r="D40" s="107"/>
      <c r="E40" s="182" t="n">
        <f aca="false">K32</f>
        <v>947</v>
      </c>
      <c r="F40" s="186"/>
      <c r="G40" s="186"/>
      <c r="H40" s="47"/>
      <c r="J40" s="2" t="s">
        <v>106</v>
      </c>
      <c r="K40" s="2" t="n">
        <f aca="false">(A40)/1.2</f>
        <v>5800</v>
      </c>
      <c r="L40" s="2" t="n">
        <f aca="false">K39-L39</f>
        <v>6371.65826876617</v>
      </c>
      <c r="N40" s="1" t="n">
        <f aca="false">N38-N39</f>
        <v>-3459.97826876617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47.35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5406.6586473764</v>
      </c>
      <c r="L44" s="2"/>
      <c r="P44" s="212"/>
    </row>
    <row r="45" customFormat="false" ht="17.35" hidden="false" customHeight="false" outlineLevel="0" collapsed="false">
      <c r="A45" s="450" t="n">
        <v>30.0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15093.3413526236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1302.50127868987</v>
      </c>
      <c r="L47" s="2" t="n">
        <f aca="false">L49-K42</f>
        <v>752.65</v>
      </c>
      <c r="M47" s="1" t="n">
        <f aca="false">K47-L47</f>
        <v>549.851278689875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1349.85127868987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1349.85127868987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6110.40551517868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112.5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1302.50127868987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1302.50127868987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1349.85127868987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1349.85127868987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27000</v>
      </c>
      <c r="C81" s="93"/>
      <c r="D81" s="93"/>
      <c r="E81" s="113"/>
      <c r="F81" s="25" t="s">
        <v>105</v>
      </c>
      <c r="G81" s="27" t="n">
        <f aca="false">G158</f>
        <v>27000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6960</v>
      </c>
      <c r="C82" s="93"/>
      <c r="D82" s="93"/>
      <c r="E82" s="113"/>
      <c r="F82" s="31" t="s">
        <v>106</v>
      </c>
      <c r="G82" s="33" t="n">
        <f aca="false">IF(A111 = "Yes", A40, 0)</f>
        <v>6960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6960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6960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6303.40345567072</v>
      </c>
      <c r="C86" s="93"/>
      <c r="D86" s="93"/>
      <c r="E86" s="113"/>
      <c r="F86" s="31" t="s">
        <v>110</v>
      </c>
      <c r="G86" s="33" t="n">
        <f aca="false">(G82/((1+G84)^(G85+1)))</f>
        <v>6523.13365805962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6046.66713823221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6046.66713823221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20696.5965443293</v>
      </c>
      <c r="C88" s="93"/>
      <c r="D88" s="93"/>
      <c r="E88" s="113"/>
      <c r="F88" s="31" t="s">
        <v>112</v>
      </c>
      <c r="G88" s="33" t="n">
        <f aca="false">G81-G86</f>
        <v>20476.8663419404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1976.40189631429</v>
      </c>
      <c r="C89" s="93"/>
      <c r="D89" s="93"/>
      <c r="E89" s="113"/>
      <c r="F89" s="31" t="s">
        <v>113</v>
      </c>
      <c r="G89" s="33" t="n">
        <f aca="false">(G88/G87)</f>
        <v>1922.57780899567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21740.4208594572</v>
      </c>
      <c r="C90" s="93"/>
      <c r="D90" s="93"/>
      <c r="E90" s="113"/>
      <c r="F90" s="31" t="s">
        <v>114</v>
      </c>
      <c r="G90" s="33" t="n">
        <f aca="false">((G89*(G85))+G77)</f>
        <v>21148.3558989523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21740.4208594572</v>
      </c>
      <c r="C92" s="93"/>
      <c r="D92" s="93"/>
      <c r="E92" s="113"/>
      <c r="F92" s="56" t="s">
        <v>116</v>
      </c>
      <c r="G92" s="65" t="n">
        <f aca="false">(G90+G91)</f>
        <v>21148.3558989523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74.3825454545455</v>
      </c>
      <c r="C94" s="93"/>
      <c r="D94" s="93"/>
      <c r="E94" s="113"/>
      <c r="F94" s="88" t="s">
        <v>117</v>
      </c>
      <c r="G94" s="94" t="n">
        <f aca="false">IF(B26="YES",((E40/B85)*(1+A108)*(C45/100)),"0")</f>
        <v>61.9854545454546</v>
      </c>
      <c r="H94" s="33"/>
      <c r="J94" s="88" t="s">
        <v>117</v>
      </c>
      <c r="K94" s="89" t="n">
        <f aca="false">((E40/K85)*(1+J108))*1.2</f>
        <v>123.11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103.309090909091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123.970909090909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1976.40189631429</v>
      </c>
      <c r="C95" s="93"/>
      <c r="D95" s="93"/>
      <c r="E95" s="113"/>
      <c r="F95" s="95" t="s">
        <v>118</v>
      </c>
      <c r="G95" s="96" t="n">
        <f aca="false">G92/(G85)</f>
        <v>1922.57780899567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2050.78444176883</v>
      </c>
      <c r="C96" s="93"/>
      <c r="D96" s="93"/>
      <c r="E96" s="113"/>
      <c r="F96" s="97" t="s">
        <v>119</v>
      </c>
      <c r="G96" s="98" t="n">
        <f aca="false">G94+G95</f>
        <v>1984.56326354112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-20833.3333333333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1976.40189631429</v>
      </c>
      <c r="B167" s="177" t="n">
        <f aca="false">B94</f>
        <v>74.3825454545455</v>
      </c>
      <c r="C167" s="174"/>
      <c r="D167" s="174"/>
      <c r="E167" s="177" t="n">
        <f aca="false">B96</f>
        <v>2050.78444176883</v>
      </c>
      <c r="F167" s="23"/>
      <c r="G167" s="23" t="n">
        <f aca="false">ROUND(G95, 2)</f>
        <v>1922.58</v>
      </c>
      <c r="H167" s="33"/>
      <c r="J167" s="176" t="e">
        <f aca="false">K95</f>
        <v>#VALUE!</v>
      </c>
      <c r="K167" s="177" t="n">
        <f aca="false">K94</f>
        <v>123.11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103.309090909091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123.970909090909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35000</v>
      </c>
      <c r="C170" s="181"/>
      <c r="D170" s="23"/>
      <c r="E170" s="182" t="n">
        <f aca="false">IF(A111="YES",A40, 0)</f>
        <v>6960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6960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6960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6960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1700.42085945718</v>
      </c>
      <c r="B182" s="103" t="str">
        <f aca="false">B114</f>
        <v>239.99</v>
      </c>
      <c r="C182" s="103"/>
      <c r="D182" s="23"/>
      <c r="E182" s="103" t="n">
        <f aca="false">E179+A182+B182+A185</f>
        <v>28950.4108594572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6970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6980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6970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6970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0.081052</v>
      </c>
      <c r="B188" s="103" t="n">
        <f aca="false">(G158*B67)/1.2</f>
        <v>112.5</v>
      </c>
      <c r="C188" s="93"/>
      <c r="D188" s="93"/>
      <c r="E188" s="103" t="n">
        <f aca="false">(E40*A108)*0.1*C45/100</f>
        <v>11.364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28.41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18.94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18.94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223.855666666667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2050.78444176883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1108.38</v>
      </c>
      <c r="B201" s="186" t="n">
        <f aca="false">E179+A201+B182+A185</f>
        <v>28358.37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1976.40189631429</v>
      </c>
      <c r="B212" s="177" t="n">
        <f aca="false">B167</f>
        <v>74.3825454545455</v>
      </c>
      <c r="C212" s="174"/>
      <c r="D212" s="174"/>
      <c r="E212" s="177" t="n">
        <f aca="false">E167</f>
        <v>2050.78444176883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1700.42085945718</v>
      </c>
      <c r="B224" s="103" t="str">
        <f aca="false">B182</f>
        <v>239.99</v>
      </c>
      <c r="C224" s="103"/>
      <c r="D224" s="113"/>
      <c r="E224" s="103" t="n">
        <f aca="false">E182</f>
        <v>28950.4108594572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1976.40189631429</v>
      </c>
      <c r="B230" s="103" t="n">
        <f aca="false">B167</f>
        <v>74.3825454545455</v>
      </c>
      <c r="C230" s="186"/>
      <c r="D230" s="186"/>
      <c r="E230" s="103" t="n">
        <f aca="false">E167</f>
        <v>2050.78444176883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6960</v>
      </c>
      <c r="B233" s="103" t="n">
        <f aca="false">E185</f>
        <v>6970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112.5</v>
      </c>
      <c r="C240" s="93"/>
      <c r="D240" s="93"/>
      <c r="E240" s="103" t="n">
        <f aca="false">E188</f>
        <v>11.364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2223.85566666667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602.040859457178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213.631666666667</v>
      </c>
      <c r="C255" s="197"/>
      <c r="D255" s="198" t="s">
        <v>218</v>
      </c>
      <c r="E255" s="198"/>
      <c r="F255" s="200" t="n">
        <f aca="false">(B254-F254)+B255</f>
        <v>680.672526123845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602.040859457178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113.64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680.672526123845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1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13050.0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354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1642.21866155271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17660.3976128706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6839.60238712945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653.141355826553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7184.55491409208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7184.55491409208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16.6909090909091</v>
      </c>
      <c r="C94" s="93"/>
      <c r="D94" s="93"/>
      <c r="E94" s="113"/>
      <c r="F94" s="88" t="s">
        <v>117</v>
      </c>
      <c r="G94" s="94" t="n">
        <f aca="false">IF(B26="YES",((E40/B85)*(1+A108)*(C45/100)),"0")</f>
        <v>16.6909090909091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653.141355826553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669.832264917462</v>
      </c>
      <c r="C96" s="93"/>
      <c r="D96" s="93"/>
      <c r="E96" s="113"/>
      <c r="F96" s="97" t="s">
        <v>119</v>
      </c>
      <c r="G96" s="98" t="n">
        <f aca="false">G94+G95</f>
        <v>601.061762603265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653.141355826553</v>
      </c>
      <c r="B167" s="177" t="n">
        <f aca="false">B94</f>
        <v>16.6909090909091</v>
      </c>
      <c r="C167" s="174"/>
      <c r="D167" s="174"/>
      <c r="E167" s="177" t="n">
        <f aca="false">B96</f>
        <v>669.832264917462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2184.55491409208</v>
      </c>
      <c r="B182" s="103" t="str">
        <f aca="false">B114</f>
        <v>199.99</v>
      </c>
      <c r="C182" s="103"/>
      <c r="D182" s="23"/>
      <c r="E182" s="103" t="n">
        <f aca="false">E179+A182+(B182*1.2)+A185</f>
        <v>26934.5429140921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102.083333333333</v>
      </c>
      <c r="C188" s="93"/>
      <c r="D188" s="93"/>
      <c r="E188" s="103" t="n">
        <f aca="false">(E40*A108)*0.1*(C45/100)</f>
        <v>3.06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205.133333333333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669.832264917462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E179+A201+(B182*1.2)+A185</f>
        <v>26178.058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653.141355826553</v>
      </c>
      <c r="B212" s="177" t="n">
        <f aca="false">B167</f>
        <v>16.6909090909091</v>
      </c>
      <c r="C212" s="174"/>
      <c r="D212" s="174"/>
      <c r="E212" s="177" t="n">
        <f aca="false">E167</f>
        <v>669.832264917462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2184.55491409208</v>
      </c>
      <c r="B224" s="103" t="str">
        <f aca="false">B182</f>
        <v>199.99</v>
      </c>
      <c r="C224" s="103"/>
      <c r="D224" s="113"/>
      <c r="E224" s="103" t="n">
        <f aca="false">E182</f>
        <v>26934.5429140921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653.141355826553</v>
      </c>
      <c r="B230" s="103" t="n">
        <f aca="false">B167</f>
        <v>16.6909090909091</v>
      </c>
      <c r="C230" s="186"/>
      <c r="D230" s="186"/>
      <c r="E230" s="103" t="n">
        <f aca="false">E167</f>
        <v>669.832264917462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3.06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2205.13333333333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766.484914092078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130.59</v>
      </c>
      <c r="C255" s="197"/>
      <c r="D255" s="198" t="s">
        <v>218</v>
      </c>
      <c r="E255" s="198"/>
      <c r="F255" s="200" t="n">
        <f aca="false">(B254-F254)+B255</f>
        <v>774.574914092078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766.484914092078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30.6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774.574914092078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354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17190.0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984.0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472.966217731014</v>
      </c>
      <c r="F33" s="232"/>
      <c r="G33" s="232"/>
      <c r="H33" s="47"/>
      <c r="I33" s="2"/>
      <c r="J33" s="34" t="s">
        <v>354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459.966217731013</v>
      </c>
      <c r="B36" s="232" t="n">
        <f aca="false">IF(B26="YES", K42, "0.00")</f>
        <v>13</v>
      </c>
      <c r="C36" s="232"/>
      <c r="D36" s="232"/>
      <c r="E36" s="232" t="n">
        <f aca="false">K31</f>
        <v>19230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23207.0891248699</v>
      </c>
      <c r="N39" s="1" t="n">
        <f aca="false">K39-L39</f>
        <v>-3707.0891248699</v>
      </c>
      <c r="P39" s="212"/>
    </row>
    <row r="40" customFormat="false" ht="17.35" hidden="false" customHeight="false" outlineLevel="0" collapsed="false">
      <c r="A40" s="107" t="n">
        <f aca="false">E36*A45/100</f>
        <v>19230</v>
      </c>
      <c r="B40" s="107" t="n">
        <f aca="false">IF(B26="YES", K42, "0.00")</f>
        <v>13</v>
      </c>
      <c r="C40" s="107"/>
      <c r="D40" s="107"/>
      <c r="E40" s="182" t="n">
        <f aca="false">K32</f>
        <v>156</v>
      </c>
      <c r="F40" s="186"/>
      <c r="G40" s="186"/>
      <c r="H40" s="47"/>
      <c r="J40" s="2" t="s">
        <v>106</v>
      </c>
      <c r="K40" s="2" t="n">
        <f aca="false">(A40)/1.2</f>
        <v>16025</v>
      </c>
      <c r="L40" s="2" t="n">
        <f aca="false">K39-L39</f>
        <v>-3707.0891248699</v>
      </c>
      <c r="N40" s="1" t="n">
        <f aca="false">N38-N39</f>
        <v>6618.76912486991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14286.0561935595</v>
      </c>
      <c r="L44" s="2"/>
      <c r="P44" s="212"/>
    </row>
    <row r="45" customFormat="false" ht="17.35" hidden="false" customHeight="false" outlineLevel="0" collapsed="false">
      <c r="A45" s="450" t="n">
        <v>50.0</v>
      </c>
      <c r="B45" s="93"/>
      <c r="C45" s="62" t="n">
        <v>50.0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5213.94380644047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459.966217731013</v>
      </c>
      <c r="L47" s="2" t="n">
        <f aca="false">L49-K42</f>
        <v>787</v>
      </c>
      <c r="M47" s="1" t="n">
        <f aca="false">K47-L47</f>
        <v>-327.033782268987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472.966217731014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472.966217731014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4579.32083573344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459.966217731013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459.966217731013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472.966217731014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472.966217731014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19230</v>
      </c>
      <c r="C82" s="93"/>
      <c r="D82" s="93"/>
      <c r="E82" s="113"/>
      <c r="F82" s="31" t="s">
        <v>106</v>
      </c>
      <c r="G82" s="33" t="n">
        <f aca="false">IF(A111 = "Yes", A40, 0)</f>
        <v>19230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19230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19230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0.1595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0.0132916666666667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16412.1558362537</v>
      </c>
      <c r="C86" s="93"/>
      <c r="D86" s="93"/>
      <c r="E86" s="113"/>
      <c r="F86" s="31" t="s">
        <v>110</v>
      </c>
      <c r="G86" s="33" t="n">
        <f aca="false">(G82/((1+G84)^(G85+1)))</f>
        <v>17295.4139307328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16706.5242914088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16706.5242914088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10.1710171082192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9337.84016374632</v>
      </c>
      <c r="C88" s="93"/>
      <c r="D88" s="93"/>
      <c r="E88" s="113"/>
      <c r="F88" s="31" t="s">
        <v>112</v>
      </c>
      <c r="G88" s="33" t="n">
        <f aca="false">G81-G86</f>
        <v>8454.58206926716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918.083222591418</v>
      </c>
      <c r="C89" s="93"/>
      <c r="D89" s="93"/>
      <c r="E89" s="113"/>
      <c r="F89" s="31" t="s">
        <v>113</v>
      </c>
      <c r="G89" s="33" t="n">
        <f aca="false">(G88/G87)</f>
        <v>810.128858149343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10098.9154485056</v>
      </c>
      <c r="C90" s="93"/>
      <c r="D90" s="93"/>
      <c r="E90" s="113"/>
      <c r="F90" s="31" t="s">
        <v>114</v>
      </c>
      <c r="G90" s="33" t="n">
        <f aca="false">((G89*(G85))+G77)</f>
        <v>8911.41743964277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10098.9154485056</v>
      </c>
      <c r="C92" s="93"/>
      <c r="D92" s="93"/>
      <c r="E92" s="113"/>
      <c r="F92" s="56" t="s">
        <v>116</v>
      </c>
      <c r="G92" s="65" t="n">
        <f aca="false">(G90+G91)</f>
        <v>8911.41743964277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17.0181818181818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17.0181818181818</v>
      </c>
      <c r="H94" s="33"/>
      <c r="J94" s="88" t="s">
        <v>117</v>
      </c>
      <c r="K94" s="89" t="n">
        <f aca="false">((E40/K85)*(1+J108))*1.2</f>
        <v>20.28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17.0181818181818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20.4218181818182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918.083222591418</v>
      </c>
      <c r="C95" s="93"/>
      <c r="D95" s="93"/>
      <c r="E95" s="113"/>
      <c r="F95" s="95" t="s">
        <v>118</v>
      </c>
      <c r="G95" s="96" t="n">
        <f aca="false">G92/(G85)</f>
        <v>810.128858149343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935.1014044096</v>
      </c>
      <c r="C96" s="93"/>
      <c r="D96" s="93"/>
      <c r="E96" s="113"/>
      <c r="F96" s="97" t="s">
        <v>119</v>
      </c>
      <c r="G96" s="98" t="n">
        <f aca="false">G94+G95</f>
        <v>827.147039967525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918.083222591418</v>
      </c>
      <c r="B167" s="177" t="n">
        <f aca="false">B94</f>
        <v>17.0181818181818</v>
      </c>
      <c r="C167" s="174"/>
      <c r="D167" s="174"/>
      <c r="E167" s="177" t="n">
        <f aca="false">B96</f>
        <v>935.1014044096</v>
      </c>
      <c r="F167" s="23"/>
      <c r="G167" s="23" t="n">
        <f aca="false">ROUND(G95, 2)</f>
        <v>810.13</v>
      </c>
      <c r="H167" s="33"/>
      <c r="J167" s="176" t="e">
        <f aca="false">K95</f>
        <v>#VALUE!</v>
      </c>
      <c r="K167" s="177" t="n">
        <f aca="false">K94</f>
        <v>20.28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17.0181818181818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20.4218181818182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19230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19230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19230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19230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3578.9194485056</v>
      </c>
      <c r="B182" s="103" t="str">
        <f aca="false">B114</f>
        <v>199.99</v>
      </c>
      <c r="C182" s="103"/>
      <c r="D182" s="23"/>
      <c r="E182" s="103" t="n">
        <f aca="false">E179+A182+(B182*1.2)+A185</f>
        <v>29578.9034485056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19240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19250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19240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19240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3.12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4.68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3.12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210.40165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935.1014044096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2391.434</v>
      </c>
      <c r="B201" s="186" t="n">
        <f aca="false">E179+A201+(B182*1.2)+A185</f>
        <v>28391.418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918.083222591418</v>
      </c>
      <c r="B212" s="177" t="n">
        <f aca="false">B167</f>
        <v>17.0181818181818</v>
      </c>
      <c r="C212" s="174"/>
      <c r="D212" s="174"/>
      <c r="E212" s="177" t="n">
        <f aca="false">E167</f>
        <v>935.1014044096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3578.9194485056</v>
      </c>
      <c r="B224" s="103" t="str">
        <f aca="false">B182</f>
        <v>199.99</v>
      </c>
      <c r="C224" s="103"/>
      <c r="D224" s="113"/>
      <c r="E224" s="103" t="n">
        <f aca="false">E182</f>
        <v>29578.9034485056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918.083222591418</v>
      </c>
      <c r="B230" s="103" t="n">
        <f aca="false">B167</f>
        <v>17.0181818181818</v>
      </c>
      <c r="C230" s="186"/>
      <c r="D230" s="186"/>
      <c r="E230" s="103" t="n">
        <f aca="false">E167</f>
        <v>935.1014044096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19230</v>
      </c>
      <c r="B233" s="103" t="n">
        <f aca="false">E185</f>
        <v>19240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3.12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2168.73165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1197.4854485056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131.19</v>
      </c>
      <c r="C255" s="197"/>
      <c r="D255" s="198" t="s">
        <v>218</v>
      </c>
      <c r="E255" s="198"/>
      <c r="F255" s="200" t="n">
        <f aca="false">(B254-F254)+B255</f>
        <v>1199.9254685056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0.1595</v>
      </c>
      <c r="C260" s="43"/>
      <c r="D260" s="166" t="s">
        <v>215</v>
      </c>
      <c r="E260" s="166"/>
      <c r="F260" s="146" t="n">
        <f aca="false">B254</f>
        <v>1197.4854485056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31.2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1199.9254685056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644.568528797354</v>
      </c>
      <c r="E33" s="216"/>
      <c r="F33" s="63"/>
      <c r="G33" s="219" t="s">
        <v>354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644.568528797354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20500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-24025.9095313712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20500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644.568528797354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644.568528797354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644.568528797354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2547.125</v>
      </c>
      <c r="C64" s="465" t="n">
        <v>10000.0</v>
      </c>
      <c r="D64" s="291" t="n">
        <f aca="false">B64</f>
        <v>2547.125</v>
      </c>
      <c r="E64" s="466" t="n">
        <f aca="false">D64/(B58+B57)</f>
        <v>72.775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793.634166666667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3322.125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94.9178571428572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644.568528797354</v>
      </c>
      <c r="C83" s="473"/>
      <c r="D83" s="215"/>
      <c r="E83" s="466" t="n">
        <f aca="false">B83+E80+E77+E64</f>
        <v>739.486385940211</v>
      </c>
      <c r="F83" s="63"/>
      <c r="G83" s="305" t="s">
        <v>104</v>
      </c>
      <c r="H83" s="306" t="n">
        <f aca="false">H47</f>
        <v>644.568528797354</v>
      </c>
      <c r="I83" s="215"/>
      <c r="J83" s="215"/>
      <c r="K83" s="216"/>
      <c r="L83" s="63"/>
      <c r="M83" s="305" t="s">
        <v>104</v>
      </c>
      <c r="N83" s="306" t="n">
        <f aca="false">H47</f>
        <v>644.568528797354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25882.0235079074</v>
      </c>
      <c r="C85" s="473"/>
      <c r="D85" s="473"/>
      <c r="E85" s="466" t="n">
        <f aca="false">B85/(B58+B57)</f>
        <v>739.486385940211</v>
      </c>
      <c r="F85" s="63"/>
      <c r="G85" s="288" t="s">
        <v>114</v>
      </c>
      <c r="H85" s="131" t="n">
        <f aca="false">((H83*H29)+H81)*1.2</f>
        <v>28328.8782094889</v>
      </c>
      <c r="I85" s="215"/>
      <c r="J85" s="215"/>
      <c r="K85" s="216"/>
      <c r="L85" s="63"/>
      <c r="M85" s="288" t="s">
        <v>114</v>
      </c>
      <c r="N85" s="131" t="n">
        <f aca="false">((N83*H29)+N81)</f>
        <v>23277.3985079074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219.25070337477</v>
      </c>
      <c r="C86" s="473" t="s">
        <v>230</v>
      </c>
      <c r="D86" s="215"/>
      <c r="E86" s="466" t="n">
        <f aca="false">B86/(B58+B57)</f>
        <v>6.26430581070772</v>
      </c>
      <c r="F86" s="63"/>
      <c r="G86" s="214" t="s">
        <v>115</v>
      </c>
      <c r="H86" s="300" t="n">
        <f aca="false">((((H83*H29)+H81))/(1-H70))*H70</f>
        <v>199.981996234794</v>
      </c>
      <c r="I86" s="215"/>
      <c r="J86" s="215"/>
      <c r="K86" s="216"/>
      <c r="L86" s="63"/>
      <c r="M86" s="214" t="s">
        <v>115</v>
      </c>
      <c r="N86" s="300" t="n">
        <f aca="false">(N85/(1-N70))*N70</f>
        <v>197.186514185581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26101.2742112822</v>
      </c>
      <c r="C87" s="473"/>
      <c r="D87" s="475"/>
      <c r="E87" s="466" t="n">
        <f aca="false">E86+E85</f>
        <v>745.750691750919</v>
      </c>
      <c r="F87" s="63"/>
      <c r="G87" s="285" t="s">
        <v>116</v>
      </c>
      <c r="H87" s="133" t="n">
        <f aca="false">IF(H110="YES",((H85+H86)-K114),(H85+H86))</f>
        <v>28528.8602057237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23474.585022093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745.750691750919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713.221505143092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586.864625552324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745.750691750919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713.221505143092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586.864625552324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1239.988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713.221505143092</v>
      </c>
      <c r="H127" s="177" t="n">
        <f aca="false">IF(G105="YES", H89*H57, 0)</f>
        <v>0</v>
      </c>
      <c r="I127" s="177"/>
      <c r="J127" s="334" t="n">
        <f aca="false">H91</f>
        <v>713.221505143092</v>
      </c>
      <c r="K127" s="216"/>
      <c r="L127" s="63"/>
      <c r="M127" s="333" t="n">
        <f aca="false">N90</f>
        <v>586.864625552324</v>
      </c>
      <c r="N127" s="177" t="n">
        <f aca="false">IF(M105="YES", N89*N57, 0)</f>
        <v>0</v>
      </c>
      <c r="O127" s="177"/>
      <c r="P127" s="177" t="n">
        <f aca="false">N91</f>
        <v>586.864625552324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745.750691750919</v>
      </c>
      <c r="B128" s="321" t="n">
        <f aca="false">IF(A105="YES", B89, 0)</f>
        <v>0</v>
      </c>
      <c r="C128" s="325"/>
      <c r="D128" s="321" t="n">
        <f aca="false">B91</f>
        <v>745.750691750919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745.750691750919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4279.32903085855</v>
      </c>
      <c r="H133" s="103" t="n">
        <f aca="false">IF(G105="YES", H89*H57, 0)</f>
        <v>0</v>
      </c>
      <c r="I133" s="221"/>
      <c r="J133" s="184" t="n">
        <f aca="false">H91*H57</f>
        <v>4279.32903085855</v>
      </c>
      <c r="K133" s="216"/>
      <c r="L133" s="63"/>
      <c r="M133" s="185" t="n">
        <f aca="false">N90*N57</f>
        <v>3521.18775331395</v>
      </c>
      <c r="N133" s="103" t="n">
        <f aca="false">IF(M105="YES", N89*N57, 0)</f>
        <v>0</v>
      </c>
      <c r="O133" s="221"/>
      <c r="P133" s="184" t="n">
        <f aca="false">N91*N57</f>
        <v>3521.18775331395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745.750691750919</v>
      </c>
      <c r="B134" s="38" t="n">
        <f aca="false">E114</f>
        <v>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745.750691750919</v>
      </c>
      <c r="B137" s="38" t="n">
        <f aca="false">IF(A105="YES", B89, 0)</f>
        <v>0</v>
      </c>
      <c r="C137" s="317"/>
      <c r="D137" s="38" t="n">
        <f aca="false">B91</f>
        <v>745.750691750919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793.634166666667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893.624166666667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713.221505143092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586.864625552324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745.750691750919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745.750691750919</v>
      </c>
      <c r="B177" s="355" t="n">
        <f aca="false">IF(A105="YES", B89, 0)</f>
        <v>0</v>
      </c>
      <c r="C177" s="357"/>
      <c r="D177" s="355" t="n">
        <f aca="false">B91</f>
        <v>745.750691750919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745.750691750919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745.750691750919</v>
      </c>
      <c r="B183" s="103" t="n">
        <f aca="false">E114</f>
        <v>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745.750691750919</v>
      </c>
      <c r="B186" s="103" t="n">
        <f aca="false">IF(A105="YES", B89, 0)</f>
        <v>0</v>
      </c>
      <c r="C186" s="353"/>
      <c r="D186" s="103" t="n">
        <f aca="false">B91</f>
        <v>745.750691750919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793.634166666667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893.624166666667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2547.125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793.634166666667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1853.48083333333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2547.125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793.634166666667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1853.48083333333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219.25070337477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1442.82509593885</v>
      </c>
      <c r="E33" s="216"/>
      <c r="F33" s="63"/>
      <c r="G33" s="219" t="s">
        <v>354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1419.14509593885</v>
      </c>
      <c r="B36" s="103" t="n">
        <f aca="false">IF(B26="YES", H42, "")</f>
        <v>23.68</v>
      </c>
      <c r="C36" s="221"/>
      <c r="D36" s="184" t="n">
        <f aca="false">H31</f>
        <v>17400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20500</v>
      </c>
      <c r="I39" s="238" t="n">
        <f aca="false">(I48*H46)+H44</f>
        <v>20003.7442173461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5220</v>
      </c>
      <c r="B40" s="107" t="n">
        <f aca="false">IF(B26="YES",H42,"0")</f>
        <v>23.68</v>
      </c>
      <c r="C40" s="107"/>
      <c r="D40" s="184" t="n">
        <f aca="false">I32</f>
        <v>947.2</v>
      </c>
      <c r="E40" s="216"/>
      <c r="F40" s="63"/>
      <c r="G40" s="63" t="s">
        <v>106</v>
      </c>
      <c r="H40" s="238" t="n">
        <f aca="false">A40/1.2</f>
        <v>4350</v>
      </c>
      <c r="I40" s="238" t="n">
        <f aca="false">H39-I39</f>
        <v>496.255782653898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23.68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4054.9939855323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16445.0060144677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1419.14509593885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1442.82509593885</v>
      </c>
      <c r="I48" s="238" t="n">
        <f aca="false">I49-H42</f>
        <v>1376.32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1442.82509593885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1722</v>
      </c>
      <c r="C64" s="465" t="n">
        <v>10000.0</v>
      </c>
      <c r="D64" s="291" t="n">
        <f aca="false">B64</f>
        <v>1722</v>
      </c>
      <c r="E64" s="466" t="n">
        <f aca="false">D64/(B58+B57)</f>
        <v>143.5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405.26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290.0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297.916666666667</v>
      </c>
      <c r="C76" s="215"/>
      <c r="D76" s="291" t="n">
        <f aca="false">B76</f>
        <v>297.916666666667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200</v>
      </c>
      <c r="E80" s="466" t="n">
        <f aca="false">(D73+D76+D79+D80)/(B58+B57)</f>
        <v>79.8263888888889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3346.58333333333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278.881944444444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1419.14509593885</v>
      </c>
      <c r="C83" s="473"/>
      <c r="D83" s="215"/>
      <c r="E83" s="466" t="n">
        <f aca="false">B83+E80+E77+E64</f>
        <v>1679.50852186478</v>
      </c>
      <c r="F83" s="63"/>
      <c r="G83" s="305" t="s">
        <v>104</v>
      </c>
      <c r="H83" s="306" t="n">
        <f aca="false">H47</f>
        <v>1419.14509593885</v>
      </c>
      <c r="I83" s="215"/>
      <c r="J83" s="215"/>
      <c r="K83" s="216"/>
      <c r="L83" s="63"/>
      <c r="M83" s="305" t="s">
        <v>104</v>
      </c>
      <c r="N83" s="306" t="n">
        <f aca="false">H47</f>
        <v>1419.14509593885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24451.5893815195</v>
      </c>
      <c r="C85" s="473"/>
      <c r="D85" s="473"/>
      <c r="E85" s="466" t="n">
        <f aca="false">B85/(B58+B57)</f>
        <v>2037.63244845996</v>
      </c>
      <c r="F85" s="63"/>
      <c r="G85" s="288" t="s">
        <v>114</v>
      </c>
      <c r="H85" s="131" t="n">
        <f aca="false">((H83*H29)+H81)*1.2</f>
        <v>21188.9893815195</v>
      </c>
      <c r="I85" s="215"/>
      <c r="J85" s="215"/>
      <c r="K85" s="216"/>
      <c r="L85" s="63"/>
      <c r="M85" s="288" t="s">
        <v>114</v>
      </c>
      <c r="N85" s="131" t="n">
        <f aca="false">((N83*H29)+N81)</f>
        <v>17643.7411512662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172.611058562562</v>
      </c>
      <c r="C86" s="473" t="s">
        <v>230</v>
      </c>
      <c r="D86" s="215"/>
      <c r="E86" s="466" t="n">
        <f aca="false">B86/(B58+B57)</f>
        <v>14.3842548802135</v>
      </c>
      <c r="F86" s="63"/>
      <c r="G86" s="214" t="s">
        <v>115</v>
      </c>
      <c r="H86" s="300" t="n">
        <f aca="false">((((H83*H29)+H81))/(1-H70))*H70</f>
        <v>149.579392568209</v>
      </c>
      <c r="I86" s="215"/>
      <c r="J86" s="215"/>
      <c r="K86" s="216"/>
      <c r="L86" s="63"/>
      <c r="M86" s="214" t="s">
        <v>115</v>
      </c>
      <c r="N86" s="300" t="n">
        <f aca="false">(N85/(1-N70))*N70</f>
        <v>149.462914149492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24624.200440082</v>
      </c>
      <c r="C87" s="473"/>
      <c r="D87" s="475"/>
      <c r="E87" s="466" t="n">
        <f aca="false">E86+E85</f>
        <v>2052.01670334017</v>
      </c>
      <c r="F87" s="63"/>
      <c r="G87" s="285" t="s">
        <v>116</v>
      </c>
      <c r="H87" s="133" t="n">
        <f aca="false">IF(H110="YES",((H85+H86)-K114),(H85+H86))</f>
        <v>21338.5687740877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17793.2040654157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36.9408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80.2334117647059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66.8611764705882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2052.01670334017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1255.20992788751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1046.65906267151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2088.95750334017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1335.44333965222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1113.5202391421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1255.20992788751</v>
      </c>
      <c r="H127" s="177" t="n">
        <f aca="false">IF(G105="YES", H89*H57, 0)</f>
        <v>481.400470588235</v>
      </c>
      <c r="I127" s="177"/>
      <c r="J127" s="334" t="n">
        <f aca="false">H91</f>
        <v>1335.44333965222</v>
      </c>
      <c r="K127" s="216"/>
      <c r="L127" s="63"/>
      <c r="M127" s="333" t="n">
        <f aca="false">N90</f>
        <v>1046.65906267151</v>
      </c>
      <c r="N127" s="177" t="n">
        <f aca="false">IF(M105="YES", N89*N57, 0)</f>
        <v>401.16705882353</v>
      </c>
      <c r="O127" s="177"/>
      <c r="P127" s="177" t="n">
        <f aca="false">N91</f>
        <v>1113.5202391421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2052.01670334017</v>
      </c>
      <c r="B128" s="321" t="n">
        <f aca="false">IF(A105="YES", B89, 0)</f>
        <v>36.9408</v>
      </c>
      <c r="C128" s="325"/>
      <c r="D128" s="321" t="n">
        <f aca="false">B91</f>
        <v>2088.95750334017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2052.01670334017</v>
      </c>
      <c r="C131" s="317"/>
      <c r="D131" s="38" t="n">
        <f aca="false">IF(A105="YES", B89*B57, 0)</f>
        <v>36.9408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7531.25956732506</v>
      </c>
      <c r="H133" s="103" t="n">
        <f aca="false">IF(G105="YES", H89*H57, 0)</f>
        <v>481.400470588235</v>
      </c>
      <c r="I133" s="221"/>
      <c r="J133" s="184" t="n">
        <f aca="false">H91*H57</f>
        <v>8012.6600379133</v>
      </c>
      <c r="K133" s="216"/>
      <c r="L133" s="63"/>
      <c r="M133" s="185" t="n">
        <f aca="false">N90*N57</f>
        <v>6279.95437602908</v>
      </c>
      <c r="N133" s="103" t="n">
        <f aca="false">IF(M105="YES", N89*N57, 0)</f>
        <v>401.16705882353</v>
      </c>
      <c r="O133" s="221"/>
      <c r="P133" s="184" t="n">
        <f aca="false">N91*N57</f>
        <v>6681.12143485261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2088.95750334017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2052.01670334017</v>
      </c>
      <c r="B137" s="38" t="n">
        <f aca="false">IF(A105="YES", B89, 0)</f>
        <v>36.9408</v>
      </c>
      <c r="C137" s="317"/>
      <c r="D137" s="38" t="n">
        <f aca="false">B91</f>
        <v>2088.95750334017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5.6832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5.6832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405.26</v>
      </c>
      <c r="B148" s="103" t="n">
        <f aca="false">B102</f>
        <v>400</v>
      </c>
      <c r="C148" s="38"/>
      <c r="D148" s="38" t="n">
        <f aca="false">IF(A105="YES", (B40*B105)*B125, 0)*0.1</f>
        <v>8.5248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913.776466666667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1335.44333965222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1113.5202391421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2088.95750334017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2052.01670334017</v>
      </c>
      <c r="B177" s="355" t="n">
        <f aca="false">IF(A105="YES", B89, 0)</f>
        <v>36.9408</v>
      </c>
      <c r="C177" s="357"/>
      <c r="D177" s="355" t="n">
        <f aca="false">B91</f>
        <v>2088.95750334017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2052.01670334017</v>
      </c>
      <c r="C180" s="353"/>
      <c r="D180" s="103" t="n">
        <f aca="false">IF(A105="YES", B89*B57, 0)</f>
        <v>36.9408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2088.95750334017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2052.01670334017</v>
      </c>
      <c r="B186" s="103" t="n">
        <f aca="false">IF(A105="YES", B89, 0)</f>
        <v>36.9408</v>
      </c>
      <c r="C186" s="353"/>
      <c r="D186" s="103" t="n">
        <f aca="false">B91</f>
        <v>2088.95750334017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405.26</v>
      </c>
      <c r="B197" s="103" t="n">
        <f aca="false">B102</f>
        <v>400</v>
      </c>
      <c r="C197" s="103"/>
      <c r="D197" s="103" t="n">
        <f aca="false">IF(A105="YES", (B40*B105)*B125, 0)*0.1</f>
        <v>8.5248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913.776466666667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405.26</v>
      </c>
      <c r="C211" s="320" t="s">
        <v>217</v>
      </c>
      <c r="D211" s="370" t="n">
        <f aca="false">B225+E221+B221+B223</f>
        <v>425.239666666667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1741.97966666667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1722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405.26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1741.97966666667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85.248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172.611058562562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12000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12.0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19230.0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156.0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4871.435975807</v>
      </c>
      <c r="E33" s="216"/>
      <c r="F33" s="63"/>
      <c r="G33" s="219" t="s">
        <v>354</v>
      </c>
      <c r="H33" s="460" t="n">
        <f aca="false">E21-E11</f>
        <v>60000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4846.835975807</v>
      </c>
      <c r="B36" s="103" t="n">
        <f aca="false">IF(B26="YES", H42, "")</f>
        <v>24.6</v>
      </c>
      <c r="C36" s="221"/>
      <c r="D36" s="184" t="n">
        <f aca="false">H31</f>
        <v>17190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60000</v>
      </c>
      <c r="I39" s="238" t="n">
        <f aca="false">(I48*H46)+H44</f>
        <v>19880.1973684561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5157</v>
      </c>
      <c r="B40" s="107" t="n">
        <f aca="false">IF(B26="YES",H42,"0")</f>
        <v>24.6</v>
      </c>
      <c r="C40" s="107"/>
      <c r="D40" s="184" t="n">
        <f aca="false">I32</f>
        <v>984</v>
      </c>
      <c r="E40" s="216"/>
      <c r="F40" s="63"/>
      <c r="G40" s="63" t="s">
        <v>106</v>
      </c>
      <c r="H40" s="238" t="n">
        <f aca="false">A40/1.2</f>
        <v>4297.5</v>
      </c>
      <c r="I40" s="238" t="n">
        <f aca="false">H39-I39</f>
        <v>40119.8026315439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24.6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3984.53432757358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56015.4656724264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4846.835975807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4871.435975807</v>
      </c>
      <c r="I48" s="238" t="n">
        <f aca="false">I49-H42</f>
        <v>1375.4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4871.435975807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72000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360</v>
      </c>
      <c r="C64" s="465" t="n">
        <v>10000.0</v>
      </c>
      <c r="D64" s="291" t="n">
        <f aca="false">B64</f>
        <v>360</v>
      </c>
      <c r="E64" s="466" t="n">
        <f aca="false">D64/(B58+B57)</f>
        <v>30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360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290.0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1954.83333333333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162.902777777778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4846.835975807</v>
      </c>
      <c r="C83" s="473"/>
      <c r="D83" s="215"/>
      <c r="E83" s="466" t="n">
        <f aca="false">B83+E80+E77+E64</f>
        <v>4991.22023506626</v>
      </c>
      <c r="F83" s="63"/>
      <c r="G83" s="305" t="s">
        <v>104</v>
      </c>
      <c r="H83" s="306" t="n">
        <f aca="false">H47</f>
        <v>4846.835975807</v>
      </c>
      <c r="I83" s="215"/>
      <c r="J83" s="215"/>
      <c r="K83" s="216"/>
      <c r="L83" s="63"/>
      <c r="M83" s="305" t="s">
        <v>104</v>
      </c>
      <c r="N83" s="306" t="n">
        <f aca="false">H47</f>
        <v>4846.835975807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60116.8650430173</v>
      </c>
      <c r="C85" s="473"/>
      <c r="D85" s="473"/>
      <c r="E85" s="466" t="n">
        <f aca="false">B85/(B58+B57)</f>
        <v>5009.73875358478</v>
      </c>
      <c r="F85" s="63"/>
      <c r="G85" s="288" t="s">
        <v>114</v>
      </c>
      <c r="H85" s="131" t="n">
        <f aca="false">((H83*H29)+H81)*1.2</f>
        <v>70547.7380516208</v>
      </c>
      <c r="I85" s="215"/>
      <c r="J85" s="215"/>
      <c r="K85" s="216"/>
      <c r="L85" s="63"/>
      <c r="M85" s="288" t="s">
        <v>114</v>
      </c>
      <c r="N85" s="131" t="n">
        <f aca="false">((N83*H29)+N81)</f>
        <v>58776.031709684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509.25944570527</v>
      </c>
      <c r="C86" s="473" t="s">
        <v>230</v>
      </c>
      <c r="D86" s="215"/>
      <c r="E86" s="466" t="n">
        <f aca="false">B86/(B58+B57)</f>
        <v>42.4382871421058</v>
      </c>
      <c r="F86" s="63"/>
      <c r="G86" s="214" t="s">
        <v>115</v>
      </c>
      <c r="H86" s="300" t="n">
        <f aca="false">((((H83*H29)+H81))/(1-H70))*H70</f>
        <v>498.017513474532</v>
      </c>
      <c r="I86" s="215"/>
      <c r="J86" s="215"/>
      <c r="K86" s="216"/>
      <c r="L86" s="63"/>
      <c r="M86" s="214" t="s">
        <v>115</v>
      </c>
      <c r="N86" s="300" t="n">
        <f aca="false">(N85/(1-N70))*N70</f>
        <v>497.901035055814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60626.1244887226</v>
      </c>
      <c r="C87" s="473"/>
      <c r="D87" s="475"/>
      <c r="E87" s="466" t="n">
        <f aca="false">E86+E85</f>
        <v>5052.17704072688</v>
      </c>
      <c r="F87" s="63"/>
      <c r="G87" s="285" t="s">
        <v>116</v>
      </c>
      <c r="H87" s="133" t="n">
        <f aca="false">IF(H110="YES",((H85+H86)-K114),(H85+H86))</f>
        <v>71045.7555650953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59273.9327447398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31.98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83.3505882352941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69.4588235294118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5052.17704072688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4179.16209206443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3486.70192616116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5084.15704072688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4262.51268029972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3556.16074969058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4179.16209206443</v>
      </c>
      <c r="H127" s="177" t="n">
        <f aca="false">IF(G105="YES", H89*H57, 0)</f>
        <v>500.103529411765</v>
      </c>
      <c r="I127" s="177"/>
      <c r="J127" s="334" t="n">
        <f aca="false">H91</f>
        <v>4262.51268029972</v>
      </c>
      <c r="K127" s="216"/>
      <c r="L127" s="63"/>
      <c r="M127" s="333" t="n">
        <f aca="false">N90</f>
        <v>3486.70192616116</v>
      </c>
      <c r="N127" s="177" t="n">
        <f aca="false">IF(M105="YES", N89*N57, 0)</f>
        <v>416.752941176471</v>
      </c>
      <c r="O127" s="177"/>
      <c r="P127" s="177" t="n">
        <f aca="false">N91</f>
        <v>3556.16074969058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5052.17704072688</v>
      </c>
      <c r="B128" s="321" t="n">
        <f aca="false">IF(A105="YES", B89, 0)</f>
        <v>31.98</v>
      </c>
      <c r="C128" s="325"/>
      <c r="D128" s="321" t="n">
        <f aca="false">B91</f>
        <v>5084.15704072688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5052.17704072688</v>
      </c>
      <c r="C131" s="317"/>
      <c r="D131" s="38" t="n">
        <f aca="false">IF(A105="YES", B89*B57, 0)</f>
        <v>31.98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25074.9725523866</v>
      </c>
      <c r="H133" s="103" t="n">
        <f aca="false">IF(G105="YES", H89*H57, 0)</f>
        <v>500.103529411765</v>
      </c>
      <c r="I133" s="221"/>
      <c r="J133" s="184" t="n">
        <f aca="false">H91*H57</f>
        <v>25575.0760817983</v>
      </c>
      <c r="K133" s="216"/>
      <c r="L133" s="63"/>
      <c r="M133" s="185" t="n">
        <f aca="false">N90*N57</f>
        <v>20920.211556967</v>
      </c>
      <c r="N133" s="103" t="n">
        <f aca="false">IF(M105="YES", N89*N57, 0)</f>
        <v>416.752941176471</v>
      </c>
      <c r="O133" s="221"/>
      <c r="P133" s="184" t="n">
        <f aca="false">N91*N57</f>
        <v>21336.9644981435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5084.15704072688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5052.17704072688</v>
      </c>
      <c r="B137" s="38" t="n">
        <f aca="false">IF(A105="YES", B89, 0)</f>
        <v>31.98</v>
      </c>
      <c r="C137" s="317"/>
      <c r="D137" s="38" t="n">
        <f aca="false">B91</f>
        <v>5084.15704072688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5.904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5.904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360</v>
      </c>
      <c r="B148" s="103" t="n">
        <f aca="false">B102</f>
        <v>400</v>
      </c>
      <c r="C148" s="38"/>
      <c r="D148" s="38" t="n">
        <f aca="false">IF(A105="YES", (B40*B105)*B125, 0)*0.1</f>
        <v>8.856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868.846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4262.51268029972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3556.16074969058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5084.15704072688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5052.17704072688</v>
      </c>
      <c r="B177" s="355" t="n">
        <f aca="false">IF(A105="YES", B89, 0)</f>
        <v>31.98</v>
      </c>
      <c r="C177" s="357"/>
      <c r="D177" s="355" t="n">
        <f aca="false">B91</f>
        <v>5084.15704072688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5052.17704072688</v>
      </c>
      <c r="C180" s="353"/>
      <c r="D180" s="103" t="n">
        <f aca="false">IF(A105="YES", B89*B57, 0)</f>
        <v>31.98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5084.15704072688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5052.17704072688</v>
      </c>
      <c r="B186" s="103" t="n">
        <f aca="false">IF(A105="YES", B89, 0)</f>
        <v>31.98</v>
      </c>
      <c r="C186" s="353"/>
      <c r="D186" s="103" t="n">
        <f aca="false">B91</f>
        <v>5084.15704072688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360</v>
      </c>
      <c r="B197" s="103" t="n">
        <f aca="false">B102</f>
        <v>400</v>
      </c>
      <c r="C197" s="103"/>
      <c r="D197" s="103" t="n">
        <f aca="false">IF(A105="YES", (B40*B105)*B125, 0)*0.1</f>
        <v>8.856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868.846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360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360</v>
      </c>
      <c r="C211" s="320" t="s">
        <v>217</v>
      </c>
      <c r="D211" s="370" t="n">
        <f aca="false">B225+E221+B221+B223</f>
        <v>428.55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428.55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360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360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428.55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88.56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509.25944570527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B263" activeCellId="0" sqref="B263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390</v>
      </c>
      <c r="B34" s="32"/>
      <c r="C34" s="41" t="s">
        <v>407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394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11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216.666666666667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17429.9169622556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0.179</v>
      </c>
      <c r="C92" s="32"/>
      <c r="D92" s="32"/>
      <c r="E92" s="23"/>
      <c r="F92" s="31" t="s">
        <v>107</v>
      </c>
      <c r="G92" s="91" t="n">
        <f aca="false">B72</f>
        <v>0.1065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0.0149166666666667</v>
      </c>
      <c r="C93" s="32"/>
      <c r="D93" s="32"/>
      <c r="E93" s="23"/>
      <c r="F93" s="31" t="s">
        <v>108</v>
      </c>
      <c r="G93" s="92" t="n">
        <f aca="false">G92/12</f>
        <v>0.008875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5023.27133299363</v>
      </c>
      <c r="C95" s="32"/>
      <c r="D95" s="32"/>
      <c r="E95" s="23"/>
      <c r="F95" s="31" t="s">
        <v>110</v>
      </c>
      <c r="G95" s="33" t="n">
        <f aca="false">(G91/((1+G93)^(G94+1)))</f>
        <v>5396.38500178872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10.075957574926</v>
      </c>
      <c r="C96" s="32"/>
      <c r="D96" s="32"/>
      <c r="E96" s="23"/>
      <c r="F96" s="31" t="s">
        <v>111</v>
      </c>
      <c r="G96" s="33" t="n">
        <f aca="false">((1-(1/((1+G93)^G94)))/G93)</f>
        <v>10.4360954238574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15976.7286670064</v>
      </c>
      <c r="C97" s="32"/>
      <c r="D97" s="32"/>
      <c r="E97" s="23"/>
      <c r="F97" s="31" t="s">
        <v>112</v>
      </c>
      <c r="G97" s="33" t="n">
        <f aca="false">G90-G95</f>
        <v>15603.6149982113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1585.62881475051</v>
      </c>
      <c r="C98" s="32"/>
      <c r="D98" s="32"/>
      <c r="E98" s="23"/>
      <c r="F98" s="31" t="s">
        <v>113</v>
      </c>
      <c r="G98" s="33" t="n">
        <f aca="false">(G97/G96)</f>
        <v>1495.15832928671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17441.9169622556</v>
      </c>
      <c r="C99" s="32"/>
      <c r="D99" s="32"/>
      <c r="E99" s="23"/>
      <c r="F99" s="31" t="s">
        <v>114</v>
      </c>
      <c r="G99" s="33" t="n">
        <f aca="false">((G98*(G94))+G86)</f>
        <v>16446.7416221538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17441.9169622556</v>
      </c>
      <c r="C101" s="32"/>
      <c r="D101" s="32"/>
      <c r="E101" s="23"/>
      <c r="F101" s="56" t="s">
        <v>116</v>
      </c>
      <c r="G101" s="65" t="n">
        <f aca="false">(G99+G100)</f>
        <v>16446.7416221538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1585.62881475051</v>
      </c>
      <c r="C104" s="32"/>
      <c r="D104" s="32"/>
      <c r="E104" s="23"/>
      <c r="F104" s="95" t="s">
        <v>118</v>
      </c>
      <c r="G104" s="96" t="n">
        <f aca="false">G101/(G94)</f>
        <v>1495.15832928671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1585.62881475051</v>
      </c>
      <c r="C105" s="32"/>
      <c r="D105" s="32"/>
      <c r="E105" s="23" t="s">
        <v>398</v>
      </c>
      <c r="F105" s="97" t="s">
        <v>119</v>
      </c>
      <c r="G105" s="98" t="n">
        <f aca="false">G103+G104</f>
        <v>1495.15832928671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398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386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0.179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402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1585.62881475051</v>
      </c>
      <c r="B176" s="177" t="n">
        <f aca="false">B103</f>
        <v>0</v>
      </c>
      <c r="C176" s="174"/>
      <c r="D176" s="174"/>
      <c r="E176" s="177" t="n">
        <f aca="false">B105</f>
        <v>1585.62881475051</v>
      </c>
      <c r="F176" s="23"/>
      <c r="G176" s="23" t="n">
        <f aca="false">ROUND(G104, 2)</f>
        <v>1495.16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-5308.07903774444</v>
      </c>
      <c r="B191" s="103" t="str">
        <f aca="false">B123</f>
        <v>199.99</v>
      </c>
      <c r="C191" s="103"/>
      <c r="D191" s="23"/>
      <c r="E191" s="103" t="n">
        <f aca="false">E188+A191+B191+A194</f>
        <v>23651.9069622556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199.99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119.79165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66.6583333333334</v>
      </c>
      <c r="B200" s="103" t="n">
        <f aca="false">B197+E197+A200</f>
        <v>186.449983333333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1585.62881475051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-6303.236</v>
      </c>
      <c r="B210" s="186" t="n">
        <f aca="false">E188+A210+B191+A194</f>
        <v>22656.75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1585.62881475051</v>
      </c>
      <c r="B221" s="177" t="n">
        <f aca="false">B176</f>
        <v>0</v>
      </c>
      <c r="C221" s="174"/>
      <c r="D221" s="174"/>
      <c r="E221" s="177" t="n">
        <f aca="false">E176</f>
        <v>1585.62881475051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-5308.07903774444</v>
      </c>
      <c r="B233" s="103" t="str">
        <f aca="false">B191</f>
        <v>199.99</v>
      </c>
      <c r="C233" s="103"/>
      <c r="D233" s="113"/>
      <c r="E233" s="103" t="n">
        <f aca="false">E191</f>
        <v>23651.9069622556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199.99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1585.62881475051</v>
      </c>
      <c r="B239" s="103" t="n">
        <f aca="false">B176</f>
        <v>0</v>
      </c>
      <c r="C239" s="186"/>
      <c r="D239" s="186"/>
      <c r="E239" s="103" t="n">
        <f aca="false">E176</f>
        <v>1585.62881475051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66.6583333333334</v>
      </c>
      <c r="B252" s="103" t="n">
        <f aca="false">B249+E249+A252+A249</f>
        <v>2144.77998333334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0.1065</v>
      </c>
      <c r="C262" s="197"/>
      <c r="D262" s="198" t="s">
        <v>214</v>
      </c>
      <c r="E262" s="198"/>
      <c r="F262" s="196" t="n">
        <f aca="false">B92</f>
        <v>0.179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1005.1569622556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66.6583333333334</v>
      </c>
      <c r="C264" s="197"/>
      <c r="D264" s="198" t="s">
        <v>218</v>
      </c>
      <c r="E264" s="198"/>
      <c r="F264" s="200" t="n">
        <f aca="false">(B263-F263)+B264</f>
        <v>928.065315588932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0.1065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0.179</v>
      </c>
      <c r="C269" s="43"/>
      <c r="D269" s="166" t="s">
        <v>215</v>
      </c>
      <c r="E269" s="166"/>
      <c r="F269" s="146" t="n">
        <f aca="false">(B98*B68)-(C98*B68)</f>
        <v>17441.9169622556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66.6583333333334</v>
      </c>
      <c r="C272" s="32"/>
      <c r="D272" s="39" t="s">
        <v>218</v>
      </c>
      <c r="E272" s="39"/>
      <c r="F272" s="146" t="n">
        <f aca="false">(B263-F263)+B264</f>
        <v>928.065315588932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B263" activeCellId="0" sqref="B263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390</v>
      </c>
      <c r="B34" s="32"/>
      <c r="C34" s="41" t="s">
        <v>407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394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11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s">
        <v>403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1576.63500883685</v>
      </c>
      <c r="C105" s="32"/>
      <c r="D105" s="32"/>
      <c r="E105" s="23" t="s">
        <v>398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400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398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386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70.9090909090909</v>
      </c>
      <c r="C176" s="174"/>
      <c r="D176" s="174"/>
      <c r="E176" s="177" t="n">
        <f aca="false">B105</f>
        <v>1576.63500883685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199.99</v>
      </c>
      <c r="C191" s="103"/>
      <c r="D191" s="23"/>
      <c r="E191" s="103" t="n">
        <f aca="false">E188+A191+(B191*1.2)+A194</f>
        <v>22812.9730972053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119.79165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237.78165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1576.63500883685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E188+A210+(B191*1.2)+A194</f>
        <v>22130.798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70.9090909090909</v>
      </c>
      <c r="C221" s="174"/>
      <c r="D221" s="174"/>
      <c r="E221" s="177" t="n">
        <f aca="false">E176</f>
        <v>1576.63500883685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199.99</v>
      </c>
      <c r="C233" s="103"/>
      <c r="D233" s="113"/>
      <c r="E233" s="103" t="n">
        <f aca="false">E191</f>
        <v>22812.9730972053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70.9090909090909</v>
      </c>
      <c r="C239" s="186"/>
      <c r="D239" s="186"/>
      <c r="E239" s="103" t="n">
        <f aca="false">E176</f>
        <v>1576.63500883685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2196.11165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828.415117205312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828.415117205312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7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20509.6597746903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269.5312125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17087.5385258558</v>
      </c>
      <c r="C88" s="93" t="n">
        <f aca="false">B81-B86</f>
        <v>17087.5385258558</v>
      </c>
      <c r="D88" s="93"/>
      <c r="E88" s="113"/>
      <c r="F88" s="31" t="s">
        <v>112</v>
      </c>
      <c r="G88" s="33" t="n">
        <f aca="false">G81-G86</f>
        <v>16517.5200059278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656.563231595436</v>
      </c>
      <c r="C89" s="93" t="n">
        <f aca="false">(B88/B87)</f>
        <v>656.563231595436</v>
      </c>
      <c r="D89" s="93"/>
      <c r="E89" s="113"/>
      <c r="F89" s="31" t="s">
        <v>113</v>
      </c>
      <c r="G89" s="33" t="n">
        <f aca="false">(G88/G87)</f>
        <v>595.205606615054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21010.023411054</v>
      </c>
      <c r="C90" s="93"/>
      <c r="D90" s="93"/>
      <c r="E90" s="113"/>
      <c r="F90" s="31" t="s">
        <v>114</v>
      </c>
      <c r="G90" s="33" t="n">
        <f aca="false">((G89*(G85))+G77)</f>
        <v>19046.5794116817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21010.023411054</v>
      </c>
      <c r="C92" s="93"/>
      <c r="D92" s="93"/>
      <c r="E92" s="113"/>
      <c r="F92" s="56" t="s">
        <v>116</v>
      </c>
      <c r="G92" s="65" t="n">
        <f aca="false">(G90+G91)</f>
        <v>19046.5794116817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656.563231595436</v>
      </c>
      <c r="C95" s="93"/>
      <c r="D95" s="93"/>
      <c r="E95" s="113"/>
      <c r="F95" s="95" t="s">
        <v>118</v>
      </c>
      <c r="G95" s="96" t="n">
        <f aca="false">G92/(G85)</f>
        <v>595.205606615054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656.563231595436</v>
      </c>
      <c r="C96" s="93"/>
      <c r="D96" s="93"/>
      <c r="E96" s="113"/>
      <c r="F96" s="97" t="s">
        <v>119</v>
      </c>
      <c r="G96" s="98" t="n">
        <f aca="false">G94+G95</f>
        <v>595.205606615054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656.563231595436</v>
      </c>
      <c r="B167" s="177" t="str">
        <f aca="false">B94</f>
        <v>0</v>
      </c>
      <c r="C167" s="174"/>
      <c r="D167" s="174"/>
      <c r="E167" s="177" t="n">
        <f aca="false">B96</f>
        <v>656.563231595436</v>
      </c>
      <c r="F167" s="23"/>
      <c r="G167" s="23" t="n">
        <f aca="false">ROUND(G95, 2)</f>
        <v>595.21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-1739.97258894604</v>
      </c>
      <c r="B182" s="103" t="str">
        <f aca="false">B114</f>
        <v>239.99</v>
      </c>
      <c r="C182" s="103"/>
      <c r="D182" s="23"/>
      <c r="E182" s="103" t="n">
        <f aca="false">E179+A182+B182+A185</f>
        <v>27260.013411054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224.60934375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324.601010416667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656.563231595436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-3703.276</v>
      </c>
      <c r="B201" s="186" t="n">
        <f aca="false">E179+A201+B182+A185</f>
        <v>25296.71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656.563231595436</v>
      </c>
      <c r="B212" s="177" t="str">
        <f aca="false">B167</f>
        <v>0</v>
      </c>
      <c r="C212" s="174"/>
      <c r="D212" s="174"/>
      <c r="E212" s="177" t="n">
        <f aca="false">E167</f>
        <v>656.563231595436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-1739.97258894604</v>
      </c>
      <c r="B224" s="103" t="str">
        <f aca="false">B182</f>
        <v>239.99</v>
      </c>
      <c r="C224" s="103"/>
      <c r="D224" s="113"/>
      <c r="E224" s="103" t="n">
        <f aca="false">E182</f>
        <v>27260.013411054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656.563231595436</v>
      </c>
      <c r="B230" s="103" t="str">
        <f aca="false">B167</f>
        <v>0</v>
      </c>
      <c r="C230" s="186"/>
      <c r="D230" s="186"/>
      <c r="E230" s="103" t="n">
        <f aca="false">E167</f>
        <v>656.563231595436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224.60934375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2282.93101041667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1973.303411054</v>
      </c>
      <c r="C254" s="197"/>
      <c r="D254" s="198" t="s">
        <v>216</v>
      </c>
      <c r="E254" s="198"/>
      <c r="F254" s="200" t="n">
        <f aca="false">F261+F267+F269+B270+B271</f>
        <v>269.5312125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1803.76386522066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269.5312125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1803.76386522066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8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390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412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692.175097205309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648.415117205309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648.415117205309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86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390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404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239.99</v>
      </c>
      <c r="C182" s="103"/>
      <c r="D182" s="23"/>
      <c r="E182" s="103" t="n">
        <f aca="false">E179+A182+B182+A185</f>
        <v>23382.1654280035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219.783316666667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E179+A201+B182+A185</f>
        <v>22696.75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239.99</v>
      </c>
      <c r="C224" s="103"/>
      <c r="D224" s="113"/>
      <c r="E224" s="103" t="n">
        <f aca="false">E182</f>
        <v>23382.1654280035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2178.11331666667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695.415428003496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651.657114670163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651.657114670163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3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417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390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692.175097205312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394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403</v>
      </c>
      <c r="B44" s="104" t="s">
        <v>391</v>
      </c>
      <c r="C44" s="104"/>
      <c r="D44" s="104" t="s">
        <v>391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269.333333333333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269.333333333333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180.0</v>
      </c>
      <c r="C80" s="317"/>
      <c r="D80" s="317"/>
      <c r="E80" s="404" t="n">
        <f aca="false">E79+D82</f>
        <v>809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67.4166666666667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4093.94666666667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341.162222222222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8071.136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56.9765550625252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8128.11255506253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677.342712921877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755.342712921877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398</v>
      </c>
      <c r="B111" s="312" t="n">
        <v>20.0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677.342712921877</v>
      </c>
      <c r="B134" s="321" t="n">
        <f aca="false">IF(A111="YES", B95, 0)</f>
        <v>78</v>
      </c>
      <c r="C134" s="325"/>
      <c r="D134" s="321" t="n">
        <f aca="false">B97</f>
        <v>755.342712921877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677.342712921877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755.342712921877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677.342712921877</v>
      </c>
      <c r="B143" s="38" t="n">
        <f aca="false">IF(A111="YES", B95, 0)</f>
        <v>78</v>
      </c>
      <c r="C143" s="317"/>
      <c r="D143" s="38" t="n">
        <f aca="false">B97</f>
        <v>755.342712921877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705.011666666667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755.342712921877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677.342712921877</v>
      </c>
      <c r="B177" s="355" t="n">
        <f aca="false">IF(A111="YES", B95, 0)</f>
        <v>78</v>
      </c>
      <c r="C177" s="357"/>
      <c r="D177" s="355" t="n">
        <f aca="false">A177+B177</f>
        <v>755.342712921877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677.342712921877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755.342712921877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677.342712921877</v>
      </c>
      <c r="B186" s="103" t="n">
        <f aca="false">IF(A111="YES", B95, 0)</f>
        <v>78</v>
      </c>
      <c r="C186" s="353"/>
      <c r="D186" s="103" t="n">
        <f aca="false">B97</f>
        <v>755.342712921877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705.011666666667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2951.25166666667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2951.25166666667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56.9765550625252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394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391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216.666666666667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219.333333333333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219.333333333333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180.0</v>
      </c>
      <c r="C80" s="317"/>
      <c r="D80" s="317"/>
      <c r="E80" s="404" t="n">
        <f aca="false">E79+D82</f>
        <v>809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67.4166666666667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4093.94666666667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341.162222222222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6725.94666666667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56.9765550625252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6782.92322172919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565.243601810766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565.243601810766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386</v>
      </c>
      <c r="B111" s="312" t="n">
        <v>0.0</v>
      </c>
      <c r="C111" s="312"/>
      <c r="D111" s="107" t="s">
        <v>396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565.243601810766</v>
      </c>
      <c r="B134" s="321" t="n">
        <f aca="false">IF(A111="YES", B95, 0)</f>
        <v>0</v>
      </c>
      <c r="C134" s="326"/>
      <c r="D134" s="321" t="n">
        <f aca="false">B97</f>
        <v>565.243601810766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5087.19241629689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5087.19241629689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565.243601810766</v>
      </c>
      <c r="B143" s="38" t="n">
        <f aca="false">IF(A111="YES", B95, 0)</f>
        <v>0</v>
      </c>
      <c r="C143" s="317"/>
      <c r="D143" s="38" t="n">
        <f aca="false">B97</f>
        <v>565.243601810766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565.243601810766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565.243601810766</v>
      </c>
      <c r="B177" s="355" t="n">
        <f aca="false">IF(A111="YES", B95, 0)</f>
        <v>0</v>
      </c>
      <c r="C177" s="358"/>
      <c r="D177" s="355" t="n">
        <f aca="false">B91</f>
        <v>6725.94666666667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5087.19241629689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5087.19241629689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565.243601810766</v>
      </c>
      <c r="B186" s="103" t="n">
        <f aca="false">IF(A111="YES", B95, 0)</f>
        <v>0</v>
      </c>
      <c r="C186" s="353"/>
      <c r="D186" s="103" t="n">
        <f aca="false">B97</f>
        <v>565.243601810766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2771.25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2771.25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56.9765550625252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str">
        <f aca="false">IF(B38="YES", D38+A41, D38)</f>
        <v>500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388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4" t="n">
        <v>0.0</v>
      </c>
      <c r="C111" s="314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6913.57402178298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6913.57402178298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6913.57402178298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6913.57402178298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str">
        <f aca="false">IF(B38="YES", D38+A41, D38)</f>
        <v>500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388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B97</f>
        <v>940.156992066694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n">
        <f aca="false">IF(B38="YES", D38+A41, D38)</f>
        <v>550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392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9335.66666666667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9414.75057146699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784.562547622249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784.562547622249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784.562547622249</v>
      </c>
      <c r="B134" s="321" t="n">
        <f aca="false">IF(A111="YES", B95, 0)</f>
        <v>0</v>
      </c>
      <c r="C134" s="326"/>
      <c r="D134" s="321" t="n">
        <f aca="false">B97</f>
        <v>784.562547622249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784.562547622249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784.562547622249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784.562547622249</v>
      </c>
      <c r="B143" s="38" t="n">
        <f aca="false">IF(A111="YES", B95, 0)</f>
        <v>0</v>
      </c>
      <c r="C143" s="317"/>
      <c r="D143" s="38" t="n">
        <f aca="false">B97</f>
        <v>784.562547622249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784.562547622249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784.562547622249</v>
      </c>
      <c r="B177" s="355" t="n">
        <f aca="false">IF(A111="YES", B95, 0)</f>
        <v>0</v>
      </c>
      <c r="C177" s="358"/>
      <c r="D177" s="355" t="n">
        <f aca="false">B91</f>
        <v>9335.66666666667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784.562547622249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784.562547622249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784.562547622249</v>
      </c>
      <c r="B186" s="103" t="n">
        <f aca="false">IF(A111="YES", B95, 0)</f>
        <v>0</v>
      </c>
      <c r="C186" s="353"/>
      <c r="D186" s="103" t="n">
        <f aca="false">B97</f>
        <v>784.562547622249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412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768.17489130922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768.17489130922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768.17489130922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768.17489130922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412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2657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221.416666666667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10402.8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73.4364663170634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10476.2364663171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873.019705526422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873.019705526422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873.019705526422</v>
      </c>
      <c r="B134" s="321" t="n">
        <f aca="false">IF(A111="YES", B95, 0)</f>
        <v>0</v>
      </c>
      <c r="C134" s="326"/>
      <c r="D134" s="321" t="n">
        <f aca="false">B97</f>
        <v>873.019705526422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873.019705526422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873.019705526422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873.019705526422</v>
      </c>
      <c r="B143" s="38" t="n">
        <f aca="false">IF(A111="YES", B95, 0)</f>
        <v>0</v>
      </c>
      <c r="C143" s="317"/>
      <c r="D143" s="38" t="n">
        <f aca="false">B97</f>
        <v>873.019705526422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873.019705526422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873.019705526422</v>
      </c>
      <c r="B177" s="355" t="n">
        <f aca="false">IF(A111="YES", B95, 0)</f>
        <v>0</v>
      </c>
      <c r="C177" s="358"/>
      <c r="D177" s="355" t="n">
        <f aca="false">B91</f>
        <v>10402.8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873.019705526422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873.019705526422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873.019705526422</v>
      </c>
      <c r="B186" s="103" t="n">
        <f aca="false">IF(A111="YES", B95, 0)</f>
        <v>0</v>
      </c>
      <c r="C186" s="353"/>
      <c r="D186" s="103" t="n">
        <f aca="false">B97</f>
        <v>873.019705526422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73.4364663170634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412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10000.0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5192.97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5192.97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0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354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5589.28073591034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11493.7271161045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14756.2688838955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527.822327488209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18473.7814620873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18473.7814620873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527.822327488209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527.822327488209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0.0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527.822327488209</v>
      </c>
      <c r="B167" s="177" t="str">
        <f aca="false">B94</f>
        <v>0</v>
      </c>
      <c r="C167" s="174"/>
      <c r="D167" s="174"/>
      <c r="E167" s="177" t="n">
        <f aca="false">B96</f>
        <v>527.822327488209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10548.7854620873</v>
      </c>
      <c r="B182" s="103" t="str">
        <f aca="false">B114</f>
        <v>239.99</v>
      </c>
      <c r="C182" s="103"/>
      <c r="D182" s="23"/>
      <c r="E182" s="103" t="n">
        <f aca="false">E179+A182+B182+A185</f>
        <v>37048.7714620873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527.822327488209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E179+A201+B182+A185</f>
        <v>33659.64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527.822327488209</v>
      </c>
      <c r="B212" s="177" t="str">
        <f aca="false">B167</f>
        <v>0</v>
      </c>
      <c r="C212" s="174"/>
      <c r="D212" s="174"/>
      <c r="E212" s="177" t="n">
        <f aca="false">E167</f>
        <v>527.822327488209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10548.7854620873</v>
      </c>
      <c r="B224" s="103" t="str">
        <f aca="false">B182</f>
        <v>239.99</v>
      </c>
      <c r="C224" s="103"/>
      <c r="D224" s="113"/>
      <c r="E224" s="103" t="n">
        <f aca="false">E182</f>
        <v>37048.7714620873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527.822327488209</v>
      </c>
      <c r="B230" s="103" t="str">
        <f aca="false">B167</f>
        <v>0</v>
      </c>
      <c r="C230" s="186"/>
      <c r="D230" s="186"/>
      <c r="E230" s="103" t="n">
        <f aca="false">E167</f>
        <v>527.822327488209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3399.13146208731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3236.62316875398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3399.13146208731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3236.62316875398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2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354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5079.75314230575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2277.06996666667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72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354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5589.28073591034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11493.7271161045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14756.2688838955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527.822327488209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18473.7814620873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18473.7814620873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527.822327488209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527.822327488209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527.822327488209</v>
      </c>
      <c r="B167" s="177" t="str">
        <f aca="false">B94</f>
        <v>0</v>
      </c>
      <c r="C167" s="174"/>
      <c r="D167" s="174"/>
      <c r="E167" s="177" t="n">
        <f aca="false">B96</f>
        <v>527.822327488209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10548.7854620873</v>
      </c>
      <c r="B182" s="103" t="str">
        <f aca="false">B114</f>
        <v>239.99</v>
      </c>
      <c r="C182" s="103"/>
      <c r="D182" s="23"/>
      <c r="E182" s="103" t="n">
        <f aca="false">E179+A182+B182+A185</f>
        <v>37048.7714620873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527.822327488209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E179+A201+B182+A185</f>
        <v>33659.64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527.822327488209</v>
      </c>
      <c r="B212" s="177" t="str">
        <f aca="false">B167</f>
        <v>0</v>
      </c>
      <c r="C212" s="174"/>
      <c r="D212" s="174"/>
      <c r="E212" s="177" t="n">
        <f aca="false">E167</f>
        <v>527.822327488209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10548.7854620873</v>
      </c>
      <c r="B224" s="103" t="str">
        <f aca="false">B182</f>
        <v>239.99</v>
      </c>
      <c r="C224" s="103"/>
      <c r="D224" s="113"/>
      <c r="E224" s="103" t="n">
        <f aca="false">E182</f>
        <v>37048.7714620873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527.822327488209</v>
      </c>
      <c r="B230" s="103" t="str">
        <f aca="false">B167</f>
        <v>0</v>
      </c>
      <c r="C230" s="186"/>
      <c r="D230" s="186"/>
      <c r="E230" s="103" t="n">
        <f aca="false">E167</f>
        <v>527.822327488209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3399.13146208731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3236.62316875398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3399.13146208731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3236.62316875398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372.832081341962</v>
      </c>
      <c r="F33" s="232"/>
      <c r="G33" s="232"/>
      <c r="H33" s="47"/>
      <c r="I33" s="2"/>
      <c r="J33" s="34" t="s">
        <v>354</v>
      </c>
      <c r="K33" s="48" t="n">
        <f aca="false">E21</f>
        <v>22458.33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372.832081341962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22458.33</v>
      </c>
      <c r="L39" s="2" t="n">
        <f aca="false">(L47*K46)+K44</f>
        <v>35572.4137111818</v>
      </c>
      <c r="N39" s="1" t="n">
        <f aca="false">K39-L39</f>
        <v>-13114.0837111818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-13114.0837111818</v>
      </c>
      <c r="N40" s="1" t="n">
        <f aca="false">N38-N39</f>
        <v>16025.7637111818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11445.9698665871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372.832081341962</v>
      </c>
      <c r="L47" s="2" t="n">
        <f aca="false">L49-K42</f>
        <v>800</v>
      </c>
      <c r="M47" s="1" t="n">
        <f aca="false">K47-L47</f>
        <v>-427.167918658038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372.832081341962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372.832081341962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4542.29894017208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372.832081341962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372.832081341962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372.832081341962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372.832081341962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22458.33</v>
      </c>
      <c r="C121" s="121" t="n">
        <v>23958.33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26949.996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26949.996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26949.996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22458.33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22458.33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4491.666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26949.996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26949.996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-20624.9966666667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1818.73996666667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10968.8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11046.232029044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920.519335753664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920.519335753664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386</v>
      </c>
      <c r="B105" s="312" t="n">
        <v>0.0</v>
      </c>
      <c r="C105" s="312"/>
      <c r="D105" s="107" t="s">
        <v>396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0.0</v>
      </c>
      <c r="C108" s="217"/>
      <c r="D108" s="217" t="n">
        <v>0.0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920.519335753664</v>
      </c>
      <c r="B128" s="321" t="n">
        <f aca="false">IF(A105="YES", B89, 0)</f>
        <v>0</v>
      </c>
      <c r="C128" s="326"/>
      <c r="D128" s="321" t="n">
        <f aca="false">B91</f>
        <v>920.519335753664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8284.67402178298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8284.67402178298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920.519335753664</v>
      </c>
      <c r="B137" s="38" t="n">
        <f aca="false">IF(A105="YES", B89, 0)</f>
        <v>0</v>
      </c>
      <c r="C137" s="317"/>
      <c r="D137" s="38" t="n">
        <f aca="false">B91</f>
        <v>920.519335753664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631.99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920.519335753664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920.519335753664</v>
      </c>
      <c r="B171" s="355" t="n">
        <f aca="false">IF(A105="YES", B89, 0)</f>
        <v>0</v>
      </c>
      <c r="C171" s="358"/>
      <c r="D171" s="355" t="n">
        <f aca="false">B91</f>
        <v>920.519335753664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8284.67402178298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8284.67402178298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920.519335753664</v>
      </c>
      <c r="B180" s="103" t="n">
        <f aca="false">IF(A105="YES", B89, 0)</f>
        <v>0</v>
      </c>
      <c r="C180" s="353"/>
      <c r="D180" s="103" t="n">
        <f aca="false">B91</f>
        <v>920.519335753664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631.99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2055.99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2055.99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10000.0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9140.66666666667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9218.09869571064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768.17489130922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828.17489130922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398</v>
      </c>
      <c r="B105" s="312" t="n">
        <v>20.0</v>
      </c>
      <c r="C105" s="312"/>
      <c r="D105" s="107" t="s">
        <v>396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0.0</v>
      </c>
      <c r="C108" s="217"/>
      <c r="D108" s="217" t="n">
        <v>0.0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768.17489130922</v>
      </c>
      <c r="B128" s="321" t="n">
        <f aca="false">IF(A105="YES", B89, 0)</f>
        <v>60</v>
      </c>
      <c r="C128" s="326"/>
      <c r="D128" s="321" t="n">
        <f aca="false">B91</f>
        <v>828.17489130922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6913.57402178298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7453.57402178298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768.17489130922</v>
      </c>
      <c r="B137" s="38" t="n">
        <f aca="false">IF(A105="YES", B89, 0)</f>
        <v>60</v>
      </c>
      <c r="C137" s="317"/>
      <c r="D137" s="38" t="n">
        <f aca="false">B91</f>
        <v>828.17489130922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643.99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828.17489130922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768.17489130922</v>
      </c>
      <c r="B171" s="355" t="n">
        <f aca="false">IF(A105="YES", B89, 0)</f>
        <v>60</v>
      </c>
      <c r="C171" s="358"/>
      <c r="D171" s="355" t="n">
        <f aca="false">B91</f>
        <v>828.17489130922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6913.57402178298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7453.57402178298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768.17489130922</v>
      </c>
      <c r="B180" s="103" t="n">
        <f aca="false">IF(A105="YES", B89, 0)</f>
        <v>60</v>
      </c>
      <c r="C180" s="353"/>
      <c r="D180" s="103" t="n">
        <f aca="false">B91</f>
        <v>828.17489130922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643.99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2175.99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2175.99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6000.0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375.115025626159</v>
      </c>
      <c r="E33" s="216"/>
      <c r="F33" s="63"/>
      <c r="G33" s="219" t="s">
        <v>354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325.115025626159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53464.0373520899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-31464.0373520899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12018.9469396048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372</v>
      </c>
      <c r="H45" s="238" t="n">
        <f aca="false">(H39-H44)</f>
        <v>9981.05306039522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325.115025626159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375.115025626159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375.115025626159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2772</v>
      </c>
      <c r="C64" s="465" t="n">
        <v>10000.0</v>
      </c>
      <c r="D64" s="291" t="n">
        <f aca="false">B64</f>
        <v>2772</v>
      </c>
      <c r="E64" s="466" t="n">
        <f aca="false">D64/(B58+B57)</f>
        <v>77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3494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97.0555555555556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325.115025626159</v>
      </c>
      <c r="C83" s="473"/>
      <c r="D83" s="215"/>
      <c r="E83" s="466" t="n">
        <f aca="false">B83+E80+E77+E64</f>
        <v>422.170581181714</v>
      </c>
      <c r="F83" s="63"/>
      <c r="G83" s="305" t="s">
        <v>104</v>
      </c>
      <c r="H83" s="306" t="n">
        <f aca="false">H47</f>
        <v>325.115025626159</v>
      </c>
      <c r="I83" s="215"/>
      <c r="J83" s="215"/>
      <c r="K83" s="216"/>
      <c r="L83" s="63"/>
      <c r="M83" s="305" t="s">
        <v>104</v>
      </c>
      <c r="N83" s="306" t="n">
        <f aca="false">H47</f>
        <v>325.115025626159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15198.1409225417</v>
      </c>
      <c r="C85" s="473"/>
      <c r="D85" s="473"/>
      <c r="E85" s="466" t="n">
        <f aca="false">B85/(B58+B57)</f>
        <v>422.170581181714</v>
      </c>
      <c r="F85" s="63"/>
      <c r="G85" s="288" t="s">
        <v>114</v>
      </c>
      <c r="H85" s="131" t="n">
        <f aca="false">((H83*H29)+H81)*1.2</f>
        <v>15323.8691070501</v>
      </c>
      <c r="I85" s="215"/>
      <c r="J85" s="215"/>
      <c r="K85" s="216"/>
      <c r="L85" s="63"/>
      <c r="M85" s="288" t="s">
        <v>114</v>
      </c>
      <c r="N85" s="131" t="n">
        <f aca="false">((N83*H29)+N81)</f>
        <v>12426.1409225417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128.745848879942</v>
      </c>
      <c r="C86" s="473" t="s">
        <v>230</v>
      </c>
      <c r="D86" s="215"/>
      <c r="E86" s="466" t="n">
        <f aca="false">B86/(B58+B57)</f>
        <v>3.57627357999839</v>
      </c>
      <c r="F86" s="63"/>
      <c r="G86" s="214" t="s">
        <v>115</v>
      </c>
      <c r="H86" s="300" t="n">
        <f aca="false">((((H83*H29)+H81))/(1-H70))*H70</f>
        <v>108.17576013448</v>
      </c>
      <c r="I86" s="215"/>
      <c r="J86" s="215"/>
      <c r="K86" s="216"/>
      <c r="L86" s="63"/>
      <c r="M86" s="214" t="s">
        <v>115</v>
      </c>
      <c r="N86" s="300" t="n">
        <f aca="false">(N85/(1-N70))*N70</f>
        <v>105.263799666549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15326.8867714217</v>
      </c>
      <c r="C87" s="473"/>
      <c r="D87" s="475"/>
      <c r="E87" s="466" t="n">
        <f aca="false">E86+E85</f>
        <v>425.746854761713</v>
      </c>
      <c r="F87" s="63"/>
      <c r="G87" s="285" t="s">
        <v>116</v>
      </c>
      <c r="H87" s="133" t="n">
        <f aca="false">IF(H110="YES",((H85+H86)-K114),(H85+H86))</f>
        <v>15432.0448671845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12531.4047222083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425.746854761713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376.391338224013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305.644017614836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485.746854761713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587.123045541086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481.253773712397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376.391338224013</v>
      </c>
      <c r="H127" s="177" t="n">
        <f aca="false">IF(G105="YES", H89*H57, 0)</f>
        <v>1264.39024390244</v>
      </c>
      <c r="I127" s="177"/>
      <c r="J127" s="334" t="n">
        <f aca="false">H91</f>
        <v>587.123045541086</v>
      </c>
      <c r="K127" s="216"/>
      <c r="L127" s="63"/>
      <c r="M127" s="333" t="n">
        <f aca="false">N90</f>
        <v>305.644017614836</v>
      </c>
      <c r="N127" s="177" t="n">
        <f aca="false">IF(M105="YES", N89*N57, 0)</f>
        <v>1053.65853658537</v>
      </c>
      <c r="O127" s="177"/>
      <c r="P127" s="177" t="n">
        <f aca="false">N91</f>
        <v>481.253773712397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425.746854761713</v>
      </c>
      <c r="B128" s="321" t="n">
        <f aca="false">IF(A105="YES", B89, 0)</f>
        <v>60</v>
      </c>
      <c r="C128" s="325"/>
      <c r="D128" s="321" t="n">
        <f aca="false">B91</f>
        <v>485.746854761713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425.746854761713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2258.34802934408</v>
      </c>
      <c r="H133" s="103" t="n">
        <f aca="false">IF(G105="YES", H89*H57, 0)</f>
        <v>1264.39024390244</v>
      </c>
      <c r="I133" s="221"/>
      <c r="J133" s="184" t="n">
        <f aca="false">H91*H57</f>
        <v>3522.73827324652</v>
      </c>
      <c r="K133" s="216"/>
      <c r="L133" s="63"/>
      <c r="M133" s="185" t="n">
        <f aca="false">N90*N57</f>
        <v>1833.86410568901</v>
      </c>
      <c r="N133" s="103" t="n">
        <f aca="false">IF(M105="YES", N89*N57, 0)</f>
        <v>1053.65853658537</v>
      </c>
      <c r="O133" s="221"/>
      <c r="P133" s="184" t="n">
        <f aca="false">N91*N57</f>
        <v>2887.52264227438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485.746854761713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425.746854761713</v>
      </c>
      <c r="B137" s="38" t="n">
        <f aca="false">IF(A105="YES", B89, 0)</f>
        <v>60</v>
      </c>
      <c r="C137" s="317"/>
      <c r="D137" s="38" t="n">
        <f aca="false">B91</f>
        <v>485.746854761713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0</v>
      </c>
      <c r="C148" s="38"/>
      <c r="D148" s="38" t="n">
        <f aca="false">IF(A105="YES", (B40*B105)*B125, 0)*0.1</f>
        <v>36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399.99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587.123045541086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481.253773712397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485.746854761713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425.746854761713</v>
      </c>
      <c r="B177" s="355" t="n">
        <f aca="false">IF(A105="YES", B89, 0)</f>
        <v>60</v>
      </c>
      <c r="C177" s="357"/>
      <c r="D177" s="355" t="n">
        <f aca="false">B91</f>
        <v>485.746854761713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425.746854761713</v>
      </c>
      <c r="C180" s="353"/>
      <c r="D180" s="103" t="n">
        <f aca="false">IF(A105="YES", B89*B57, 0)</f>
        <v>60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485.746854761713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425.746854761713</v>
      </c>
      <c r="B186" s="103" t="n">
        <f aca="false">IF(A105="YES", B89, 0)</f>
        <v>60</v>
      </c>
      <c r="C186" s="353"/>
      <c r="D186" s="103" t="n">
        <f aca="false">B91</f>
        <v>485.746854761713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0</v>
      </c>
      <c r="C197" s="103"/>
      <c r="D197" s="103" t="n">
        <f aca="false">IF(A105="YES", (B40*B105)*B125, 0)*0.1</f>
        <v>36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399.99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2772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459.99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2967.99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2772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2967.99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360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128.745848879942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734.005436015008</v>
      </c>
      <c r="E33" s="216"/>
      <c r="F33" s="63"/>
      <c r="G33" s="219" t="s">
        <v>354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734.005436015008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-19961.5420932254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22000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734.005436015008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734.005436015008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734.005436015008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180.0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540</v>
      </c>
      <c r="C76" s="215"/>
      <c r="D76" s="291" t="n">
        <f aca="false">B76</f>
        <v>540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35.9285714285714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11924.1666666667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340.690476190476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734.005436015008</v>
      </c>
      <c r="C83" s="473"/>
      <c r="D83" s="215"/>
      <c r="E83" s="466" t="n">
        <f aca="false">B83+E80+E77+E64</f>
        <v>1068.34670585628</v>
      </c>
      <c r="F83" s="63"/>
      <c r="G83" s="305" t="s">
        <v>104</v>
      </c>
      <c r="H83" s="306" t="n">
        <f aca="false">H47</f>
        <v>734.005436015008</v>
      </c>
      <c r="I83" s="215"/>
      <c r="J83" s="215"/>
      <c r="K83" s="216"/>
      <c r="L83" s="63"/>
      <c r="M83" s="305" t="s">
        <v>104</v>
      </c>
      <c r="N83" s="306" t="n">
        <f aca="false">H47</f>
        <v>734.005436015008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45137.2283126303</v>
      </c>
      <c r="C85" s="473"/>
      <c r="D85" s="473"/>
      <c r="E85" s="466" t="n">
        <f aca="false">B85/(B58+B57)</f>
        <v>1289.63509464658</v>
      </c>
      <c r="F85" s="63"/>
      <c r="G85" s="288" t="s">
        <v>114</v>
      </c>
      <c r="H85" s="131" t="n">
        <f aca="false">((H83*H29)+H81)*1.2</f>
        <v>32085.2283126303</v>
      </c>
      <c r="I85" s="215"/>
      <c r="J85" s="215"/>
      <c r="K85" s="216"/>
      <c r="L85" s="63"/>
      <c r="M85" s="288" t="s">
        <v>114</v>
      </c>
      <c r="N85" s="131" t="n">
        <f aca="false">((N83*H29)+N81)</f>
        <v>26407.6902605253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318.637150250517</v>
      </c>
      <c r="C86" s="473" t="s">
        <v>230</v>
      </c>
      <c r="D86" s="215"/>
      <c r="E86" s="466" t="n">
        <f aca="false">B86/(B58+B57)</f>
        <v>9.10391857858619</v>
      </c>
      <c r="F86" s="63"/>
      <c r="G86" s="214" t="s">
        <v>115</v>
      </c>
      <c r="H86" s="300" t="n">
        <f aca="false">((((H83*H29)+H81))/(1-H70))*H70</f>
        <v>226.49919139614</v>
      </c>
      <c r="I86" s="215"/>
      <c r="J86" s="215"/>
      <c r="K86" s="216"/>
      <c r="L86" s="63"/>
      <c r="M86" s="214" t="s">
        <v>115</v>
      </c>
      <c r="N86" s="300" t="n">
        <f aca="false">(N85/(1-N70))*N70</f>
        <v>223.703709346927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45455.8654628809</v>
      </c>
      <c r="C87" s="473"/>
      <c r="D87" s="475"/>
      <c r="E87" s="466" t="n">
        <f aca="false">E86+E85</f>
        <v>1298.73901322517</v>
      </c>
      <c r="F87" s="63"/>
      <c r="G87" s="285" t="s">
        <v>116</v>
      </c>
      <c r="H87" s="133" t="n">
        <f aca="false">IF(H110="YES",((H85+H86)-K114),(H85+H86))</f>
        <v>32311.7275040265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26631.3939698722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1298.73901322517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807.793187600662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665.784849246805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1298.73901322517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807.793187600662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665.784849246805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807.793187600662</v>
      </c>
      <c r="H127" s="177" t="n">
        <f aca="false">IF(G105="YES", H89*H57, 0)</f>
        <v>0</v>
      </c>
      <c r="I127" s="177"/>
      <c r="J127" s="334" t="n">
        <f aca="false">H91</f>
        <v>807.793187600662</v>
      </c>
      <c r="K127" s="216"/>
      <c r="L127" s="63"/>
      <c r="M127" s="333" t="n">
        <f aca="false">N90</f>
        <v>665.784849246805</v>
      </c>
      <c r="N127" s="177" t="n">
        <f aca="false">IF(M105="YES", N89*N57, 0)</f>
        <v>0</v>
      </c>
      <c r="O127" s="177"/>
      <c r="P127" s="177" t="n">
        <f aca="false">N91</f>
        <v>665.784849246805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1298.73901322517</v>
      </c>
      <c r="B128" s="321" t="n">
        <f aca="false">IF(A105="YES", B89, 0)</f>
        <v>0</v>
      </c>
      <c r="C128" s="325"/>
      <c r="D128" s="321" t="n">
        <f aca="false">B91</f>
        <v>1298.73901322517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1298.73901322517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4846.75912560397</v>
      </c>
      <c r="H133" s="103" t="n">
        <f aca="false">IF(G105="YES", H89*H57, 0)</f>
        <v>0</v>
      </c>
      <c r="I133" s="221"/>
      <c r="J133" s="184" t="n">
        <f aca="false">H91*H57</f>
        <v>4846.75912560397</v>
      </c>
      <c r="K133" s="216"/>
      <c r="L133" s="63"/>
      <c r="M133" s="185" t="n">
        <f aca="false">N90*N57</f>
        <v>3994.70909548083</v>
      </c>
      <c r="N133" s="103" t="n">
        <f aca="false">IF(M105="YES", N89*N57, 0)</f>
        <v>0</v>
      </c>
      <c r="O133" s="221"/>
      <c r="P133" s="184" t="n">
        <f aca="false">N91*N57</f>
        <v>3994.70909548083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1298.73901322517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1298.73901322517</v>
      </c>
      <c r="B137" s="38" t="n">
        <f aca="false">IF(A105="YES", B89, 0)</f>
        <v>0</v>
      </c>
      <c r="C137" s="317"/>
      <c r="D137" s="38" t="n">
        <f aca="false">B91</f>
        <v>1298.73901322517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798.49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807.793187600662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665.784849246805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1298.73901322517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1298.73901322517</v>
      </c>
      <c r="B177" s="355" t="n">
        <f aca="false">IF(A105="YES", B89, 0)</f>
        <v>0</v>
      </c>
      <c r="C177" s="357"/>
      <c r="D177" s="355" t="n">
        <f aca="false">B91</f>
        <v>1298.73901322517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1298.73901322517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1298.73901322517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1298.73901322517</v>
      </c>
      <c r="B186" s="103" t="n">
        <f aca="false">IF(A105="YES", B89, 0)</f>
        <v>0</v>
      </c>
      <c r="C186" s="353"/>
      <c r="D186" s="103" t="n">
        <f aca="false">B91</f>
        <v>1298.73901322517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798.49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10081.4916666667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10081.4916666667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318.637150250517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645.0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394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391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-220.625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-217.958333333333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-217.958333333333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-217.958333333333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180.0</v>
      </c>
      <c r="C80" s="317"/>
      <c r="D80" s="317"/>
      <c r="E80" s="404" t="n">
        <f aca="false">E79+D82</f>
        <v>659.833333333333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370.0</v>
      </c>
      <c r="C81" s="317"/>
      <c r="D81" s="317"/>
      <c r="E81" s="318" t="n">
        <f aca="false">E80/12</f>
        <v>54.9861111111111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3315.54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3338.94538523598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278.245448769665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278.245448769665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386</v>
      </c>
      <c r="B111" s="312" t="n">
        <v>0.0</v>
      </c>
      <c r="C111" s="312"/>
      <c r="D111" s="107" t="s">
        <v>396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278.245448769665</v>
      </c>
      <c r="B134" s="321" t="n">
        <f aca="false">IF(A111="YES", B95, 0)</f>
        <v>0</v>
      </c>
      <c r="C134" s="325"/>
      <c r="D134" s="321" t="n">
        <f aca="false">B97</f>
        <v>278.245448769665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2504.20903892699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2504.20903892699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278.245448769665</v>
      </c>
      <c r="B143" s="38" t="n">
        <f aca="false">IF(A111="YES", B95, 0)</f>
        <v>0</v>
      </c>
      <c r="C143" s="317"/>
      <c r="D143" s="38" t="n">
        <f aca="false">B97</f>
        <v>278.245448769665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278.245448769665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278.245448769665</v>
      </c>
      <c r="B177" s="355" t="n">
        <f aca="false">IF(A111="YES", B95, 0)</f>
        <v>0</v>
      </c>
      <c r="C177" s="357"/>
      <c r="D177" s="355" t="n">
        <f aca="false">A177+B177</f>
        <v>278.245448769665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2504.20903892699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2504.20903892699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278.245448769665</v>
      </c>
      <c r="B186" s="103" t="n">
        <f aca="false">IF(A111="YES", B95, 0)</f>
        <v>0</v>
      </c>
      <c r="C186" s="353"/>
      <c r="D186" s="103" t="n">
        <f aca="false">B97</f>
        <v>278.245448769665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16745.0</v>
      </c>
      <c r="C3" s="484" t="n">
        <v>0.0</v>
      </c>
      <c r="D3" s="484" t="n">
        <v>0.0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290.0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394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403</v>
      </c>
      <c r="B44" s="104" t="s">
        <v>391</v>
      </c>
      <c r="C44" s="104"/>
      <c r="D44" s="104" t="s">
        <v>391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E15*B72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0.0</v>
      </c>
      <c r="C80" s="317"/>
      <c r="D80" s="317"/>
      <c r="E80" s="404" t="n">
        <f aca="false">E79+D82</f>
        <v>659.833333333333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54.9861111111111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2762.95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2786.35538523598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232.196282102999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297.196282102999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398</v>
      </c>
      <c r="B111" s="312" t="n">
        <v>20.0</v>
      </c>
      <c r="C111" s="312"/>
      <c r="D111" s="107" t="s">
        <v>396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232.196282102999</v>
      </c>
      <c r="B134" s="321" t="n">
        <f aca="false">IF(A111="YES", B95, 0)</f>
        <v>65</v>
      </c>
      <c r="C134" s="326"/>
      <c r="D134" s="321" t="n">
        <f aca="false">B97</f>
        <v>297.196282102999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2089.76653892699</v>
      </c>
      <c r="C137" s="317"/>
      <c r="D137" s="38" t="n">
        <f aca="false">IF(A111="YES", B95*B63, 0)</f>
        <v>585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2674.76653892699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232.196282102999</v>
      </c>
      <c r="B143" s="38" t="n">
        <f aca="false">IF(A111="YES", B95, 0)</f>
        <v>65</v>
      </c>
      <c r="C143" s="317"/>
      <c r="D143" s="38" t="n">
        <f aca="false">B97</f>
        <v>297.196282102999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807.415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297.196282102999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232.196282102999</v>
      </c>
      <c r="B177" s="355" t="n">
        <f aca="false">IF(A111="YES", B95, 0)</f>
        <v>65</v>
      </c>
      <c r="C177" s="358"/>
      <c r="D177" s="355" t="n">
        <f aca="false">B91</f>
        <v>2762.95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2089.76653892699</v>
      </c>
      <c r="C180" s="353"/>
      <c r="D180" s="103" t="n">
        <f aca="false">IF(A111="YES", B95*B63, 0)</f>
        <v>585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2674.76653892699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232.196282102999</v>
      </c>
      <c r="B186" s="103" t="n">
        <f aca="false">IF(A111="YES", B95, 0)</f>
        <v>65</v>
      </c>
      <c r="C186" s="353"/>
      <c r="D186" s="103" t="n">
        <f aca="false">B97</f>
        <v>297.196282102999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807.415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4282.515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4282.515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4" colorId="64" zoomScale="85" zoomScaleNormal="85" zoomScalePageLayoutView="100" workbookViewId="0">
      <selection pane="topLeft" activeCell="F102" activeCellId="0" sqref="F102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406</v>
      </c>
      <c r="B34" s="32"/>
      <c r="C34" s="41" t="s">
        <v>407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394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32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18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386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199.99</v>
      </c>
      <c r="C191" s="103"/>
      <c r="D191" s="23"/>
      <c r="E191" s="103" t="n">
        <f aca="false">E188+A191+(B191*1.2)+A194</f>
        <v>57034.0671451533</v>
      </c>
      <c r="F191" s="23"/>
      <c r="G191" s="23"/>
      <c r="H191" s="105"/>
      <c r="J191" s="111" t="n">
        <f aca="false">(J176*K68)+N194-N188-J194</f>
        <v>12607.640623856</v>
      </c>
      <c r="K191" s="38" t="n">
        <f aca="false">K123</f>
        <v>239.99</v>
      </c>
      <c r="L191" s="38"/>
      <c r="M191" s="23"/>
      <c r="N191" s="38" t="n">
        <f aca="false">N188+J191+K191+J194</f>
        <v>50582.630623856</v>
      </c>
      <c r="O191" s="23"/>
      <c r="P191" s="23"/>
      <c r="Q191" s="105"/>
      <c r="S191" s="111" t="n">
        <f aca="false">(S176*T68)+W194-W188-S194</f>
        <v>8141.53328281984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8141.53328281984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557.6853125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E188+A210+(B191*1.2)+A194</f>
        <v>53109.828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199.99</v>
      </c>
      <c r="C233" s="103"/>
      <c r="D233" s="113"/>
      <c r="E233" s="103" t="n">
        <f aca="false">E191</f>
        <v>57034.0671451533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557.6853125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3484.99477015333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3484.99477015333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E90" activeCellId="0" sqref="E9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/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406</v>
      </c>
      <c r="B34" s="32"/>
      <c r="C34" s="41" t="s">
        <v>407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394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32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287.954545454545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288.924242424242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288.924242424242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288.924242424242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288.924242424242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288.924242424242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1667.43997328604</v>
      </c>
      <c r="C105" s="32"/>
      <c r="D105" s="32"/>
      <c r="E105" s="23" t="s">
        <v>19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386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402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80.4375</v>
      </c>
      <c r="C176" s="174"/>
      <c r="D176" s="174"/>
      <c r="E176" s="177" t="n">
        <f aca="false">B105</f>
        <v>1667.43997328604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239.99</v>
      </c>
      <c r="C191" s="103"/>
      <c r="D191" s="23"/>
      <c r="E191" s="103" t="n">
        <f aca="false">E188+A191+B191+A194</f>
        <v>57034.0691451533</v>
      </c>
      <c r="F191" s="23"/>
      <c r="G191" s="23"/>
      <c r="H191" s="105"/>
      <c r="J191" s="111" t="n">
        <f aca="false">(J176*K68)+N194-N188-J194</f>
        <v>12607.640623856</v>
      </c>
      <c r="K191" s="38" t="n">
        <f aca="false">K123</f>
        <v>239.99</v>
      </c>
      <c r="L191" s="38"/>
      <c r="M191" s="23"/>
      <c r="N191" s="38" t="n">
        <f aca="false">N188+J191+K191+J194</f>
        <v>50582.630623856</v>
      </c>
      <c r="O191" s="23"/>
      <c r="P191" s="23"/>
      <c r="Q191" s="105"/>
      <c r="S191" s="111" t="n">
        <f aca="false">(S176*T68)+W194-W188-S194</f>
        <v>8141.53328281984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8141.53328281984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13.8924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607.186979166667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1667.43997328604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E188+A210+B191+A194</f>
        <v>53109.83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80.4375</v>
      </c>
      <c r="C221" s="174"/>
      <c r="D221" s="174"/>
      <c r="E221" s="177" t="n">
        <f aca="false">E176</f>
        <v>1667.43997328604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239.99</v>
      </c>
      <c r="C233" s="103"/>
      <c r="D233" s="113"/>
      <c r="E233" s="103" t="n">
        <f aca="false">E191</f>
        <v>57034.0691451533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80.4375</v>
      </c>
      <c r="C239" s="186"/>
      <c r="D239" s="186"/>
      <c r="E239" s="103" t="n">
        <f aca="false">E176</f>
        <v>1667.43997328604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41.6772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13.8924</v>
      </c>
      <c r="B245" s="103" t="n">
        <f aca="false">E242+A245</f>
        <v>55.5696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607.186979166667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594.991666666667</v>
      </c>
      <c r="C264" s="197"/>
      <c r="D264" s="198" t="s">
        <v>218</v>
      </c>
      <c r="E264" s="198"/>
      <c r="F264" s="200" t="n">
        <f aca="false">(B263-F263)+B264</f>
        <v>3979.99643681999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3979.99643681999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375.115025626159</v>
      </c>
      <c r="E33" s="216"/>
      <c r="F33" s="63"/>
      <c r="G33" s="219" t="s">
        <v>354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325.115025626159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53464.0373520899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-31464.0373520899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12018.9469396048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372</v>
      </c>
      <c r="H45" s="238" t="n">
        <f aca="false">(H39-H44)</f>
        <v>9981.05306039522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325.115025626159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375.115025626159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375.115025626159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2772</v>
      </c>
      <c r="C64" s="465" t="n">
        <v>10000.0</v>
      </c>
      <c r="D64" s="291" t="n">
        <f aca="false">B64</f>
        <v>2772</v>
      </c>
      <c r="E64" s="466" t="n">
        <f aca="false">D64/(B58+B57)</f>
        <v>77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180.0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4715.66666666667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130.990740740741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325.115025626159</v>
      </c>
      <c r="C83" s="473"/>
      <c r="D83" s="215"/>
      <c r="E83" s="466" t="n">
        <f aca="false">B83+E80+E77+E64</f>
        <v>449.932926860727</v>
      </c>
      <c r="F83" s="63"/>
      <c r="G83" s="305" t="s">
        <v>104</v>
      </c>
      <c r="H83" s="306" t="n">
        <f aca="false">H47</f>
        <v>325.115025626159</v>
      </c>
      <c r="I83" s="215"/>
      <c r="J83" s="215"/>
      <c r="K83" s="216"/>
      <c r="L83" s="63"/>
      <c r="M83" s="305" t="s">
        <v>104</v>
      </c>
      <c r="N83" s="306" t="n">
        <f aca="false">H47</f>
        <v>325.115025626159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16419.8075892084</v>
      </c>
      <c r="C85" s="473"/>
      <c r="D85" s="473"/>
      <c r="E85" s="466" t="n">
        <f aca="false">B85/(B58+B57)</f>
        <v>456.105766366899</v>
      </c>
      <c r="F85" s="63"/>
      <c r="G85" s="288" t="s">
        <v>114</v>
      </c>
      <c r="H85" s="131" t="n">
        <f aca="false">((H83*H29)+H81)*1.2</f>
        <v>15323.8691070501</v>
      </c>
      <c r="I85" s="215"/>
      <c r="J85" s="215"/>
      <c r="K85" s="216"/>
      <c r="L85" s="63"/>
      <c r="M85" s="288" t="s">
        <v>114</v>
      </c>
      <c r="N85" s="131" t="n">
        <f aca="false">((N83*H29)+N81)</f>
        <v>12426.1409225417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139.094779900515</v>
      </c>
      <c r="C86" s="473" t="s">
        <v>230</v>
      </c>
      <c r="D86" s="215"/>
      <c r="E86" s="466" t="n">
        <f aca="false">B86/(B58+B57)</f>
        <v>3.86374388612541</v>
      </c>
      <c r="F86" s="63"/>
      <c r="G86" s="214" t="s">
        <v>115</v>
      </c>
      <c r="H86" s="300" t="n">
        <f aca="false">((((H83*H29)+H81))/(1-H70))*H70</f>
        <v>108.17576013448</v>
      </c>
      <c r="I86" s="215"/>
      <c r="J86" s="215"/>
      <c r="K86" s="216"/>
      <c r="L86" s="63"/>
      <c r="M86" s="214" t="s">
        <v>115</v>
      </c>
      <c r="N86" s="300" t="n">
        <f aca="false">(N85/(1-N70))*N70</f>
        <v>105.263799666549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16558.9023691089</v>
      </c>
      <c r="C87" s="473"/>
      <c r="D87" s="475"/>
      <c r="E87" s="466" t="n">
        <f aca="false">E86+E85</f>
        <v>459.969510253025</v>
      </c>
      <c r="F87" s="63"/>
      <c r="G87" s="285" t="s">
        <v>116</v>
      </c>
      <c r="H87" s="133" t="n">
        <f aca="false">IF(H110="YES",((H85+H86)-K114),(H85+H86))</f>
        <v>15432.0448671845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12531.4047222083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459.969510253025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376.391338224013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305.644017614836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519.969510253025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587.123045541086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481.253773712397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376.391338224013</v>
      </c>
      <c r="H127" s="177" t="n">
        <f aca="false">IF(G105="YES", H89*H57, 0)</f>
        <v>1264.39024390244</v>
      </c>
      <c r="I127" s="177"/>
      <c r="J127" s="334" t="n">
        <f aca="false">H91</f>
        <v>587.123045541086</v>
      </c>
      <c r="K127" s="216"/>
      <c r="L127" s="63"/>
      <c r="M127" s="333" t="n">
        <f aca="false">N90</f>
        <v>305.644017614836</v>
      </c>
      <c r="N127" s="177" t="n">
        <f aca="false">IF(M105="YES", N89*N57, 0)</f>
        <v>1053.65853658537</v>
      </c>
      <c r="O127" s="177"/>
      <c r="P127" s="177" t="n">
        <f aca="false">N91</f>
        <v>481.253773712397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459.969510253025</v>
      </c>
      <c r="B128" s="321" t="n">
        <f aca="false">IF(A105="YES", B89, 0)</f>
        <v>60</v>
      </c>
      <c r="C128" s="325"/>
      <c r="D128" s="321" t="n">
        <f aca="false">B91</f>
        <v>519.969510253025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459.969510253025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2258.34802934408</v>
      </c>
      <c r="H133" s="103" t="n">
        <f aca="false">IF(G105="YES", H89*H57, 0)</f>
        <v>1264.39024390244</v>
      </c>
      <c r="I133" s="221"/>
      <c r="J133" s="184" t="n">
        <f aca="false">H91*H57</f>
        <v>3522.73827324652</v>
      </c>
      <c r="K133" s="216"/>
      <c r="L133" s="63"/>
      <c r="M133" s="185" t="n">
        <f aca="false">N90*N57</f>
        <v>1833.86410568901</v>
      </c>
      <c r="N133" s="103" t="n">
        <f aca="false">IF(M105="YES", N89*N57, 0)</f>
        <v>1053.65853658537</v>
      </c>
      <c r="O133" s="221"/>
      <c r="P133" s="184" t="n">
        <f aca="false">N91*N57</f>
        <v>2887.52264227438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519.969510253025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459.969510253025</v>
      </c>
      <c r="B137" s="38" t="n">
        <f aca="false">IF(A105="YES", B89, 0)</f>
        <v>60</v>
      </c>
      <c r="C137" s="317"/>
      <c r="D137" s="38" t="n">
        <f aca="false">B91</f>
        <v>519.969510253025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400</v>
      </c>
      <c r="C148" s="38"/>
      <c r="D148" s="38" t="n">
        <f aca="false">IF(A105="YES", (B40*B105)*B125, 0)*0.1</f>
        <v>36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799.99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587.123045541086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481.253773712397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519.969510253025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459.969510253025</v>
      </c>
      <c r="B177" s="355" t="n">
        <f aca="false">IF(A105="YES", B89, 0)</f>
        <v>60</v>
      </c>
      <c r="C177" s="357"/>
      <c r="D177" s="355" t="n">
        <f aca="false">B91</f>
        <v>519.969510253025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459.969510253025</v>
      </c>
      <c r="C180" s="353"/>
      <c r="D180" s="103" t="n">
        <f aca="false">IF(A105="YES", B89*B57, 0)</f>
        <v>60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519.969510253025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459.969510253025</v>
      </c>
      <c r="B186" s="103" t="n">
        <f aca="false">IF(A105="YES", B89, 0)</f>
        <v>60</v>
      </c>
      <c r="C186" s="353"/>
      <c r="D186" s="103" t="n">
        <f aca="false">B91</f>
        <v>519.969510253025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400</v>
      </c>
      <c r="C197" s="103"/>
      <c r="D197" s="103" t="n">
        <f aca="false">IF(A105="YES", (B40*B105)*B125, 0)*0.1</f>
        <v>36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799.99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2772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699.99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3207.99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2772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3207.99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360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139.094779900515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6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4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93" t="n">
        <f aca="false">B81-B86</f>
        <v>43557.6467407538</v>
      </c>
      <c r="D88" s="93"/>
      <c r="E88" s="113"/>
      <c r="F88" s="31" t="s">
        <v>112</v>
      </c>
      <c r="G88" s="33" t="n">
        <f aca="false">G81-G86</f>
        <v>42917.189207262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93" t="n">
        <f aca="false">(B88/B87)</f>
        <v>1587.00247328604</v>
      </c>
      <c r="D89" s="93"/>
      <c r="E89" s="113"/>
      <c r="F89" s="31" t="s">
        <v>113</v>
      </c>
      <c r="G89" s="33" t="n">
        <f aca="false">(G88/G87)</f>
        <v>1464.37240517979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93"/>
      <c r="D90" s="93"/>
      <c r="E90" s="113"/>
      <c r="F90" s="31" t="s">
        <v>114</v>
      </c>
      <c r="G90" s="33" t="n">
        <f aca="false">((G89*(G85))+G77)</f>
        <v>46859.9169657532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93"/>
      <c r="D92" s="93"/>
      <c r="E92" s="113"/>
      <c r="F92" s="56" t="s">
        <v>116</v>
      </c>
      <c r="G92" s="65" t="n">
        <f aca="false">(G90+G91)</f>
        <v>46859.9169657532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1587.00247328604</v>
      </c>
      <c r="C95" s="93"/>
      <c r="D95" s="93"/>
      <c r="E95" s="113"/>
      <c r="F95" s="95" t="s">
        <v>118</v>
      </c>
      <c r="G95" s="96" t="n">
        <f aca="false">G92/(G85)</f>
        <v>1464.37240517979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1587.00247328604</v>
      </c>
      <c r="C96" s="93"/>
      <c r="D96" s="93"/>
      <c r="E96" s="113"/>
      <c r="F96" s="97" t="s">
        <v>119</v>
      </c>
      <c r="G96" s="98" t="n">
        <f aca="false">G94+G95</f>
        <v>1464.37240517979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1587.00247328604</v>
      </c>
      <c r="B167" s="177" t="str">
        <f aca="false">B94</f>
        <v>0</v>
      </c>
      <c r="C167" s="174"/>
      <c r="D167" s="174"/>
      <c r="E167" s="177" t="n">
        <f aca="false">B96</f>
        <v>1587.00247328604</v>
      </c>
      <c r="F167" s="23"/>
      <c r="G167" s="23" t="n">
        <f aca="false">ROUND(G95, 2)</f>
        <v>1464.37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-1800.92085484668</v>
      </c>
      <c r="B182" s="103" t="str">
        <f aca="false">B114</f>
        <v>199.99</v>
      </c>
      <c r="C182" s="103"/>
      <c r="D182" s="23"/>
      <c r="E182" s="103" t="n">
        <f aca="false">E179+A182+(B182*1.2)+A185</f>
        <v>57034.0671451533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-5725.16</v>
      </c>
      <c r="B201" s="186" t="n">
        <f aca="false">E179+A201+(B182*1.2)+A185</f>
        <v>53109.828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1587.00247328604</v>
      </c>
      <c r="B212" s="177" t="str">
        <f aca="false">B167</f>
        <v>0</v>
      </c>
      <c r="C212" s="174"/>
      <c r="D212" s="174"/>
      <c r="E212" s="177" t="n">
        <f aca="false">E167</f>
        <v>1587.00247328604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-1800.92085484668</v>
      </c>
      <c r="B224" s="103" t="str">
        <f aca="false">B182</f>
        <v>199.99</v>
      </c>
      <c r="C224" s="103"/>
      <c r="D224" s="113"/>
      <c r="E224" s="103" t="n">
        <f aca="false">E182</f>
        <v>57034.0671451533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1587.00247328604</v>
      </c>
      <c r="B230" s="103" t="str">
        <f aca="false">B167</f>
        <v>0</v>
      </c>
      <c r="C230" s="186"/>
      <c r="D230" s="186"/>
      <c r="E230" s="103" t="n">
        <f aca="false">E167</f>
        <v>1587.00247328604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3934.23914515333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3484.99477015333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3934.23914515333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3484.99477015333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3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404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210.0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8.19</v>
      </c>
      <c r="E32" s="226"/>
      <c r="F32" s="63"/>
      <c r="G32" s="227" t="s">
        <v>244</v>
      </c>
      <c r="H32" s="225" t="str">
        <f aca="false">A41</f>
        <v>8.19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508.19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421</v>
      </c>
      <c r="B41" s="241" t="n">
        <f aca="false">IF(B38="YES", D38+A41, D38)</f>
        <v>508.19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8.19</v>
      </c>
      <c r="I44" s="394" t="n">
        <f aca="false">((A41*(B35-1))+D32)/B35</f>
        <v>8.19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509.19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509.19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10.647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964.040225314867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30.0</v>
      </c>
      <c r="C111" s="312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10.647</v>
      </c>
      <c r="C134" s="326"/>
      <c r="D134" s="321" t="n">
        <f aca="false">B97</f>
        <v>964.040225314867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8580.53902783381</v>
      </c>
      <c r="C137" s="317"/>
      <c r="D137" s="38" t="n">
        <f aca="false">IF(A111="YES", B95*B63, 0)</f>
        <v>95.823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8676.36202783381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10.647</v>
      </c>
      <c r="C143" s="317"/>
      <c r="D143" s="38" t="n">
        <f aca="false">B97</f>
        <v>964.040225314867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1.9656</v>
      </c>
      <c r="H148" s="103" t="n">
        <f aca="false">G108-100</f>
        <v>139.988</v>
      </c>
      <c r="I148" s="103"/>
      <c r="J148" s="103" t="n">
        <f aca="false">(H145+J145+G148+H148)-H151</f>
        <v>1463.1411</v>
      </c>
      <c r="K148" s="105"/>
      <c r="L148" s="63"/>
      <c r="M148" s="111" t="n">
        <f aca="false">IF(M111="YES", ((A41*N111)*0.1)*(M133), 0)</f>
        <v>1.9656</v>
      </c>
      <c r="N148" s="103" t="n">
        <f aca="false">M108-100</f>
        <v>99.99</v>
      </c>
      <c r="O148" s="103"/>
      <c r="P148" s="103" t="n">
        <f aca="false">(N145+P145+M148+N148)-N151</f>
        <v>1423.1431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2.9484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792.3634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964.040225314867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10.647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8580.53902783381</v>
      </c>
      <c r="C180" s="353"/>
      <c r="D180" s="103" t="n">
        <f aca="false">IF(A111="YES", B95*B63, 0)</f>
        <v>95.823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8676.36202783381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10.647</v>
      </c>
      <c r="C186" s="353"/>
      <c r="D186" s="103" t="n">
        <f aca="false">B97</f>
        <v>964.040225314867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2.9484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792.3634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369.474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4131.999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4131.999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29.484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8.19</v>
      </c>
      <c r="E32" s="226"/>
      <c r="F32" s="63"/>
      <c r="G32" s="227" t="s">
        <v>244</v>
      </c>
      <c r="H32" s="225" t="str">
        <f aca="false">A41</f>
        <v>8.19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508.19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412</v>
      </c>
      <c r="B41" s="241" t="n">
        <f aca="false">IF(B38="YES", D38+A41, D38)</f>
        <v>508.19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8.19</v>
      </c>
      <c r="I44" s="394" t="n">
        <f aca="false">((A41*(B35-1))+D32)/B35</f>
        <v>8.19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509.19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509.19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12.7764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1159.86225820896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12.7764</v>
      </c>
      <c r="C134" s="326"/>
      <c r="D134" s="321" t="n">
        <f aca="false">B97</f>
        <v>1159.86225820896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10323.7727238806</v>
      </c>
      <c r="C137" s="317"/>
      <c r="D137" s="38" t="n">
        <f aca="false">IF(A111="YES", B95*B63, 0)</f>
        <v>114.9876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10438.7603238806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12.7764</v>
      </c>
      <c r="C143" s="317"/>
      <c r="D143" s="38" t="n">
        <f aca="false">B97</f>
        <v>1159.86225820896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1.9656</v>
      </c>
      <c r="H148" s="103" t="n">
        <f aca="false">G108-100</f>
        <v>139.988</v>
      </c>
      <c r="I148" s="103"/>
      <c r="J148" s="103" t="n">
        <f aca="false">(H145+J145+G148+H148)-H151</f>
        <v>1463.1411</v>
      </c>
      <c r="K148" s="105"/>
      <c r="L148" s="63"/>
      <c r="M148" s="111" t="n">
        <f aca="false">IF(M111="YES", ((A41*N111)*0.1)*(M133), 0)</f>
        <v>1.9656</v>
      </c>
      <c r="N148" s="103" t="n">
        <f aca="false">M108-100</f>
        <v>99.99</v>
      </c>
      <c r="O148" s="103"/>
      <c r="P148" s="103" t="n">
        <f aca="false">(N145+P145+M148+N148)-N151</f>
        <v>1423.1431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2.9484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792.365066666667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1159.86225820896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12.7764</v>
      </c>
      <c r="C177" s="358"/>
      <c r="D177" s="355" t="n">
        <f aca="false">B91</f>
        <v>13668.54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10323.7727238806</v>
      </c>
      <c r="C180" s="353"/>
      <c r="D180" s="103" t="n">
        <f aca="false">IF(A111="YES", B95*B63, 0)</f>
        <v>114.9876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10438.7603238806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12.7764</v>
      </c>
      <c r="C186" s="353"/>
      <c r="D186" s="103" t="n">
        <f aca="false">B97</f>
        <v>1159.86225820896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2.9484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792.365066666667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369.475666666667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4132.00066666667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4132.00066666667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29.484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11390.45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11486.9402985075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957.245024875622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957.245024875622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957.245024875622</v>
      </c>
      <c r="B134" s="321" t="n">
        <f aca="false">IF(A111="YES", B95, 0)</f>
        <v>0</v>
      </c>
      <c r="C134" s="326"/>
      <c r="D134" s="321" t="n">
        <f aca="false">B97</f>
        <v>957.245024875622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8615.2052238806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8615.2052238806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957.245024875622</v>
      </c>
      <c r="B143" s="38" t="n">
        <f aca="false">IF(A111="YES", B95, 0)</f>
        <v>0</v>
      </c>
      <c r="C143" s="317"/>
      <c r="D143" s="38" t="n">
        <f aca="false">B97</f>
        <v>957.245024875622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957.245024875622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957.245024875622</v>
      </c>
      <c r="B177" s="355" t="n">
        <f aca="false">IF(A111="YES", B95, 0)</f>
        <v>0</v>
      </c>
      <c r="C177" s="358"/>
      <c r="D177" s="355" t="n">
        <f aca="false">B91</f>
        <v>11390.45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8615.2052238806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8615.2052238806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957.245024875622</v>
      </c>
      <c r="B186" s="103" t="n">
        <f aca="false">IF(A111="YES", B95, 0)</f>
        <v>0</v>
      </c>
      <c r="C186" s="353"/>
      <c r="D186" s="103" t="n">
        <f aca="false">B97</f>
        <v>957.245024875622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789.415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409</v>
      </c>
      <c r="B41" s="241" t="n">
        <f aca="false">IF(B38="YES", D38+A41, D38)</f>
        <v>560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410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10000.0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3033.46694666667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252.788912222222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9045.46694666667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76.6255772004841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9122.09252386715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760.174376988929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838.174376988929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4" t="n">
        <v>30.0</v>
      </c>
      <c r="C111" s="314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760.174376988929</v>
      </c>
      <c r="B134" s="321" t="n">
        <f aca="false">IF(A111="YES", B95, 0)</f>
        <v>78</v>
      </c>
      <c r="C134" s="326"/>
      <c r="D134" s="321" t="n">
        <f aca="false">B97</f>
        <v>838.174376988929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6841.56939290036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7543.56939290036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760.174376988929</v>
      </c>
      <c r="B143" s="38" t="n">
        <f aca="false">IF(A111="YES", B95, 0)</f>
        <v>78</v>
      </c>
      <c r="C143" s="317"/>
      <c r="D143" s="38" t="n">
        <f aca="false">B97</f>
        <v>838.174376988929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1338.72135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1298.72335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646.79002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838.174376988929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760.174376988929</v>
      </c>
      <c r="B177" s="355" t="n">
        <f aca="false">IF(A111="YES", B95, 0)</f>
        <v>78</v>
      </c>
      <c r="C177" s="358"/>
      <c r="D177" s="355" t="n">
        <f aca="false">B91</f>
        <v>9045.46694666667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6841.56939290036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7543.56939290036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760.174376988929</v>
      </c>
      <c r="B186" s="103" t="n">
        <f aca="false">IF(A111="YES", B95, 0)</f>
        <v>78</v>
      </c>
      <c r="C186" s="353"/>
      <c r="D186" s="103" t="n">
        <f aca="false">B97</f>
        <v>838.174376988929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646.79002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2183.59026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2183.59026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76.6255772004841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str">
        <f aca="false">IF(B38="YES", D38+A41, D38)</f>
        <v>500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388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370.0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n">
        <f aca="false">IF(B38="YES", D38+A41, D38)</f>
        <v>550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388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10000.0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2412.63361333333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201.052801111111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8424.63361333333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71.3664001129488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8496.00001344628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708.000001120524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708.000001120524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708.000001120524</v>
      </c>
      <c r="B134" s="321" t="n">
        <f aca="false">IF(A111="YES", B95, 0)</f>
        <v>0</v>
      </c>
      <c r="C134" s="326"/>
      <c r="D134" s="321" t="n">
        <f aca="false">B97</f>
        <v>708.000001120524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6372.00001008471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6372.00001008471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708.000001120524</v>
      </c>
      <c r="B143" s="38" t="n">
        <f aca="false">IF(A111="YES", B95, 0)</f>
        <v>0</v>
      </c>
      <c r="C143" s="317"/>
      <c r="D143" s="38" t="n">
        <f aca="false">B97</f>
        <v>708.000001120524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1336.32135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1296.32335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225.19002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708.000001120524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708.000001120524</v>
      </c>
      <c r="B177" s="355" t="n">
        <f aca="false">IF(A111="YES", B95, 0)</f>
        <v>0</v>
      </c>
      <c r="C177" s="358"/>
      <c r="D177" s="355" t="n">
        <f aca="false">B91</f>
        <v>8424.63361333333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6372.00001008471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6372.00001008471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708.000001120524</v>
      </c>
      <c r="B186" s="103" t="n">
        <f aca="false">IF(A111="YES", B95, 0)</f>
        <v>0</v>
      </c>
      <c r="C186" s="353"/>
      <c r="D186" s="103" t="n">
        <f aca="false">B97</f>
        <v>708.000001120524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225.19002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1727.59026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1727.59026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71.3664001129488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20</v>
      </c>
      <c r="E32" s="226"/>
      <c r="F32" s="63"/>
      <c r="G32" s="227" t="s">
        <v>244</v>
      </c>
      <c r="H32" s="225" t="n">
        <f aca="false">A41</f>
        <v>20</v>
      </c>
      <c r="I32" s="0"/>
      <c r="J32" s="44" t="s">
        <v>37</v>
      </c>
      <c r="K32" s="263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520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20</v>
      </c>
      <c r="B41" s="241" t="n">
        <f aca="false">IF(B38="YES", D38+A41, D38)</f>
        <v>520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20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520.363636363636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520.363636363636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53610.7266140654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26.8125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1718.40907032591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404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n">
        <f aca="false">B94</f>
        <v>26.8125</v>
      </c>
      <c r="C167" s="174"/>
      <c r="D167" s="174"/>
      <c r="E167" s="177" t="n">
        <f aca="false">B96</f>
        <v>1718.40907032591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199.99</v>
      </c>
      <c r="C182" s="103"/>
      <c r="D182" s="23"/>
      <c r="E182" s="103" t="n">
        <f aca="false">E179+A182+(B182*1.2)+A185</f>
        <v>60381.078250429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="YES" , (H36*A108)*0.1 , 0)</f>
        <v>19.8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577.4853125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1718.40907032591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E179+A201+(B182*1.2)+A185</f>
        <v>56358.468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n">
        <f aca="false">B167</f>
        <v>26.8125</v>
      </c>
      <c r="C212" s="174"/>
      <c r="D212" s="174"/>
      <c r="E212" s="177" t="n">
        <f aca="false">E167</f>
        <v>1718.40907032591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199.99</v>
      </c>
      <c r="C224" s="103"/>
      <c r="D224" s="113"/>
      <c r="E224" s="103" t="n">
        <f aca="false">E182</f>
        <v>60381.078250429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n">
        <f aca="false">B167</f>
        <v>26.8125</v>
      </c>
      <c r="C230" s="186"/>
      <c r="D230" s="186"/>
      <c r="E230" s="103" t="n">
        <f aca="false">E167</f>
        <v>1718.40907032591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19.8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577.4853125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297.99</v>
      </c>
      <c r="C255" s="197"/>
      <c r="D255" s="198" t="s">
        <v>218</v>
      </c>
      <c r="E255" s="198"/>
      <c r="F255" s="200" t="n">
        <f aca="false">(B254-F254)+B255</f>
        <v>3781.36587542901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198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3781.36587542901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31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9600.0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2344.6499999999996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1534.45569803258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1446.39569803258</v>
      </c>
      <c r="B36" s="232" t="n">
        <f aca="false">IF(B26="YES", K42, "0.00")</f>
        <v>88.06</v>
      </c>
      <c r="C36" s="232"/>
      <c r="D36" s="232"/>
      <c r="E36" s="232" t="n">
        <f aca="false">K31</f>
        <v>9212.5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26924.0045081405</v>
      </c>
      <c r="N39" s="1" t="n">
        <f aca="false">K39-L39</f>
        <v>22013.4954918595</v>
      </c>
      <c r="P39" s="212"/>
    </row>
    <row r="40" customFormat="false" ht="17.35" hidden="false" customHeight="false" outlineLevel="0" collapsed="false">
      <c r="A40" s="107" t="n">
        <f aca="false">E36*A45/100</f>
        <v>27450.0</v>
      </c>
      <c r="B40" s="107" t="n">
        <f aca="false">IF(B26="YES", K42, "0.00")</f>
        <v>88.06</v>
      </c>
      <c r="C40" s="107"/>
      <c r="D40" s="107"/>
      <c r="E40" s="182" t="n">
        <f aca="false">K32</f>
        <v>3082.1</v>
      </c>
      <c r="F40" s="186"/>
      <c r="G40" s="186"/>
      <c r="H40" s="47"/>
      <c r="J40" s="2" t="s">
        <v>106</v>
      </c>
      <c r="K40" s="2" t="n">
        <f aca="false">(A40)/1.2</f>
        <v>7677.08333333333</v>
      </c>
      <c r="L40" s="2" t="n">
        <f aca="false">K39-L39</f>
        <v>22013.4954918595</v>
      </c>
      <c r="N40" s="1" t="n">
        <f aca="false">N38-N39</f>
        <v>-19101.8154918595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88.06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5585.36145253269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43352.1385474673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1446.39569803258</v>
      </c>
      <c r="L47" s="2" t="n">
        <f aca="false">L49-K42</f>
        <v>711.94</v>
      </c>
      <c r="M47" s="1" t="n">
        <f aca="false">K47-L47</f>
        <v>734.455698032581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1534.45569803258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1534.45569803258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26467.3443901786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671.383436250442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-3454.24617642826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-3454.24617642826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553.24551875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1446.39569803258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1446.39569803258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1534.45569803258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1534.45569803258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67802.004</v>
      </c>
      <c r="C81" s="93"/>
      <c r="D81" s="93"/>
      <c r="E81" s="113"/>
      <c r="F81" s="25" t="s">
        <v>105</v>
      </c>
      <c r="G81" s="27" t="n">
        <f aca="false">G158</f>
        <v>67802.004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45528.749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9212.5</v>
      </c>
      <c r="C82" s="93"/>
      <c r="D82" s="93"/>
      <c r="E82" s="113"/>
      <c r="F82" s="31" t="s">
        <v>106</v>
      </c>
      <c r="G82" s="33" t="n">
        <f aca="false">IF(A111 = "Yes", A40, 0)</f>
        <v>9212.5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9212.5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9212.5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5853.58201723869</v>
      </c>
      <c r="C86" s="93"/>
      <c r="D86" s="93"/>
      <c r="E86" s="113"/>
      <c r="F86" s="31" t="s">
        <v>110</v>
      </c>
      <c r="G86" s="33" t="n">
        <f aca="false">(G82/((1+G84)^(G85+1)))</f>
        <v>6761.9178425087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6299.99227677549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6299.99227677549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61948.4219827613</v>
      </c>
      <c r="C88" s="93"/>
      <c r="D88" s="93"/>
      <c r="E88" s="113"/>
      <c r="F88" s="31" t="s">
        <v>112</v>
      </c>
      <c r="G88" s="33" t="n">
        <f aca="false">G81-G86</f>
        <v>61040.0861574913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39228.7567232245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39228.7567232245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2267.3880535682</v>
      </c>
      <c r="C89" s="93"/>
      <c r="D89" s="93"/>
      <c r="E89" s="113"/>
      <c r="F89" s="31" t="s">
        <v>113</v>
      </c>
      <c r="G89" s="33" t="n">
        <f aca="false">(G88/G87)</f>
        <v>2087.65875254085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1387.34127219741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1387.34127219741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77091.1938213189</v>
      </c>
      <c r="C90" s="93"/>
      <c r="D90" s="93"/>
      <c r="E90" s="113"/>
      <c r="F90" s="31" t="s">
        <v>114</v>
      </c>
      <c r="G90" s="33" t="n">
        <f aca="false">((G89*(G85))+G77)</f>
        <v>70980.397586389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47169.6032547121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47169.6032547121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77091.1938213189</v>
      </c>
      <c r="C92" s="93"/>
      <c r="D92" s="93"/>
      <c r="E92" s="113"/>
      <c r="F92" s="56" t="s">
        <v>116</v>
      </c>
      <c r="G92" s="65" t="n">
        <f aca="false">(G90+G91)</f>
        <v>70980.397586389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47169.6032547121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47169.6032547121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117.845</v>
      </c>
      <c r="C94" s="93"/>
      <c r="D94" s="93"/>
      <c r="E94" s="113"/>
      <c r="F94" s="88" t="s">
        <v>117</v>
      </c>
      <c r="G94" s="94" t="n">
        <f aca="false">IF(B26="YES",((E40/B85)*(1+A108)*(C45/100)),"0")</f>
        <v>117.845</v>
      </c>
      <c r="H94" s="33"/>
      <c r="J94" s="88" t="s">
        <v>117</v>
      </c>
      <c r="K94" s="89" t="n">
        <f aca="false">((E40/K85)*(1+J108))*1.2</f>
        <v>137.3736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108.78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130.536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2267.3880535682</v>
      </c>
      <c r="C95" s="93"/>
      <c r="D95" s="93"/>
      <c r="E95" s="113"/>
      <c r="F95" s="95" t="s">
        <v>118</v>
      </c>
      <c r="G95" s="96" t="n">
        <f aca="false">G92/(G85)</f>
        <v>2087.65875254085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1387.34127219741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1387.34127219741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2385.2330535682</v>
      </c>
      <c r="C96" s="93"/>
      <c r="D96" s="93"/>
      <c r="E96" s="113"/>
      <c r="F96" s="97" t="s">
        <v>119</v>
      </c>
      <c r="G96" s="98" t="n">
        <f aca="false">G94+G95</f>
        <v>2205.50375254085</v>
      </c>
      <c r="H96" s="33"/>
      <c r="J96" s="97" t="s">
        <v>119</v>
      </c>
      <c r="K96" s="98" t="n">
        <f aca="false">(K94+K95)</f>
        <v>1646.05691962914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1496.12127219741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1517.87727219741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48770.84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44528.749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44528.749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-48364.8616666667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-14056.251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67802.004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45528.749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2267.3880535682</v>
      </c>
      <c r="B167" s="177" t="n">
        <f aca="false">B94</f>
        <v>117.845</v>
      </c>
      <c r="C167" s="174"/>
      <c r="D167" s="174"/>
      <c r="E167" s="177" t="n">
        <f aca="false">B96</f>
        <v>2385.2330535682</v>
      </c>
      <c r="F167" s="23"/>
      <c r="G167" s="23" t="n">
        <f aca="false">ROUND(G95, 2)</f>
        <v>2087.66</v>
      </c>
      <c r="H167" s="33"/>
      <c r="J167" s="176" t="n">
        <f aca="false">K95</f>
        <v>1508.68331962914</v>
      </c>
      <c r="K167" s="177" t="n">
        <f aca="false">K94</f>
        <v>137.3736</v>
      </c>
      <c r="L167" s="174"/>
      <c r="M167" s="174"/>
      <c r="N167" s="177" t="n">
        <f aca="false">K96</f>
        <v>1646.05691962914</v>
      </c>
      <c r="O167" s="23"/>
      <c r="P167" s="23"/>
      <c r="Q167" s="33"/>
      <c r="S167" s="176" t="n">
        <f aca="false">T95</f>
        <v>1387.34127219741</v>
      </c>
      <c r="T167" s="177" t="n">
        <f aca="false">T94</f>
        <v>108.78</v>
      </c>
      <c r="U167" s="174"/>
      <c r="V167" s="174"/>
      <c r="W167" s="177" t="n">
        <f aca="false">T96</f>
        <v>1496.12127219741</v>
      </c>
      <c r="X167" s="23"/>
      <c r="Y167" s="23"/>
      <c r="Z167" s="33"/>
      <c r="AB167" s="176" t="n">
        <f aca="false">AC95</f>
        <v>1387.34127219741</v>
      </c>
      <c r="AC167" s="177" t="n">
        <f aca="false">AC94</f>
        <v>130.536</v>
      </c>
      <c r="AD167" s="174"/>
      <c r="AE167" s="174"/>
      <c r="AF167" s="177" t="n">
        <f aca="false">AC96</f>
        <v>1517.87727219741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9212.5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9212.5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9212.5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9212.5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70302.004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44528.749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67802.004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45528.749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18501.6898213189</v>
      </c>
      <c r="B182" s="103" t="str">
        <f aca="false">B114</f>
        <v>199.99</v>
      </c>
      <c r="C182" s="103"/>
      <c r="D182" s="23"/>
      <c r="E182" s="103" t="n">
        <f aca="false">E179+A182+(B182*1.2)+A185</f>
        <v>86553.6818213189</v>
      </c>
      <c r="F182" s="23"/>
      <c r="G182" s="23"/>
      <c r="H182" s="105"/>
      <c r="J182" s="111" t="n">
        <f aca="false">(J167*K59)+N185-N179-J185</f>
        <v>22792.7328673908</v>
      </c>
      <c r="K182" s="103" t="n">
        <f aca="false">K114</f>
        <v>239.99</v>
      </c>
      <c r="L182" s="103"/>
      <c r="M182" s="23"/>
      <c r="N182" s="103" t="n">
        <f aca="false">N179+J182+K182+J185</f>
        <v>60767.7228673908</v>
      </c>
      <c r="O182" s="23"/>
      <c r="P182" s="23"/>
      <c r="Q182" s="105"/>
      <c r="S182" s="111" t="n">
        <f aca="false">(S167*T59)+W185-W179-S185</f>
        <v>10853.3542547121</v>
      </c>
      <c r="T182" s="103" t="n">
        <f aca="false">T114</f>
        <v>199.99</v>
      </c>
      <c r="U182" s="103"/>
      <c r="V182" s="23"/>
      <c r="W182" s="103" t="n">
        <f aca="false">W179+S182+T182+S185</f>
        <v>56592.0932547121</v>
      </c>
      <c r="X182" s="23"/>
      <c r="Y182" s="23"/>
      <c r="Z182" s="105"/>
      <c r="AB182" s="111" t="n">
        <f aca="false">(AB167*AC59)+AF185-AF179-AB185</f>
        <v>10853.3542547121</v>
      </c>
      <c r="AC182" s="103" t="n">
        <f aca="false">AC114</f>
        <v>239.99</v>
      </c>
      <c r="AD182" s="103"/>
      <c r="AE182" s="23"/>
      <c r="AF182" s="103" t="n">
        <f aca="false">AF179+AB182+AC182+AB185</f>
        <v>56632.0932547121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9222.5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9232.5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9222.5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9222.5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553.24551875</v>
      </c>
      <c r="C188" s="93"/>
      <c r="D188" s="93"/>
      <c r="E188" s="103" t="n">
        <f aca="false">(E40*A108)*0.1*(C45/100)</f>
        <v>92.463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92.463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371.501944965278</v>
      </c>
      <c r="U188" s="93"/>
      <c r="V188" s="93"/>
      <c r="W188" s="103" t="n">
        <f aca="false">(E40*S108)*0.1</f>
        <v>61.642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61.642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745.69851875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3556.90178472222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1533.13394496528</v>
      </c>
      <c r="U191" s="93"/>
      <c r="V191" s="93"/>
      <c r="W191" s="103" t="n">
        <f aca="false">Z148</f>
        <v>-14056.251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1573.13394496528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2385.2330535682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1646.05691962914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1496.12127219741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1517.87727219741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12390.936</v>
      </c>
      <c r="B201" s="186" t="n">
        <f aca="false">E179+A201+(B182*1.2)+A185</f>
        <v>80442.928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2267.3880535682</v>
      </c>
      <c r="B212" s="177" t="n">
        <f aca="false">B167</f>
        <v>117.845</v>
      </c>
      <c r="C212" s="174"/>
      <c r="D212" s="174"/>
      <c r="E212" s="177" t="n">
        <f aca="false">E167</f>
        <v>2385.2330535682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67802.004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18501.6898213189</v>
      </c>
      <c r="B224" s="103" t="str">
        <f aca="false">B182</f>
        <v>199.99</v>
      </c>
      <c r="C224" s="103"/>
      <c r="D224" s="113"/>
      <c r="E224" s="103" t="n">
        <f aca="false">E182</f>
        <v>86553.6818213189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2267.3880535682</v>
      </c>
      <c r="B230" s="103" t="n">
        <f aca="false">B167</f>
        <v>117.845</v>
      </c>
      <c r="C230" s="186"/>
      <c r="D230" s="186"/>
      <c r="E230" s="103" t="n">
        <f aca="false">E167</f>
        <v>2385.2330535682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9212.5</v>
      </c>
      <c r="B233" s="103" t="n">
        <f aca="false">E185</f>
        <v>9222.5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553.24551875</v>
      </c>
      <c r="C240" s="93"/>
      <c r="D240" s="93"/>
      <c r="E240" s="103" t="n">
        <f aca="false">E188</f>
        <v>92.463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10509.86851875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6120.75382131891</v>
      </c>
      <c r="C254" s="197"/>
      <c r="D254" s="198" t="s">
        <v>216</v>
      </c>
      <c r="E254" s="198"/>
      <c r="F254" s="200" t="n">
        <f aca="false">F261+F267+F269+B270+B271</f>
        <v>663.8946225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1024.62</v>
      </c>
      <c r="C255" s="197"/>
      <c r="D255" s="198" t="s">
        <v>218</v>
      </c>
      <c r="E255" s="198"/>
      <c r="F255" s="200" t="n">
        <f aca="false">(B254-F254)+B255</f>
        <v>6481.47919881891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6120.75382131891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663.8946225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924.63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6481.47919881891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9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1368.0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1520.93543745563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1520.93543745563</v>
      </c>
      <c r="B36" s="232" t="str">
        <f aca="false">IF(B26="YES", K42, "0.00")</f>
        <v>0.00</v>
      </c>
      <c r="C36" s="232"/>
      <c r="D36" s="232"/>
      <c r="E36" s="232" t="n">
        <f aca="false">K31</f>
        <v>5527.5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27329.2409247912</v>
      </c>
      <c r="N39" s="1" t="n">
        <f aca="false">K39-L39</f>
        <v>21608.2590752087</v>
      </c>
      <c r="P39" s="212"/>
    </row>
    <row r="40" customFormat="false" ht="17.35" hidden="false" customHeight="false" outlineLevel="0" collapsed="false">
      <c r="A40" s="107" t="n">
        <f aca="false">E36*A45/100</f>
        <v>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4606.25</v>
      </c>
      <c r="L40" s="2" t="n">
        <f aca="false">K39-L39</f>
        <v>21608.2590752087</v>
      </c>
      <c r="N40" s="1" t="n">
        <f aca="false">N38-N39</f>
        <v>-18696.5790752087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3351.21687151961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365</v>
      </c>
      <c r="K45" s="2" t="n">
        <f aca="false">(K39-K44)</f>
        <v>45586.2831284804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1520.93543745563</v>
      </c>
      <c r="L47" s="2" t="n">
        <f aca="false">L49-K42</f>
        <v>800</v>
      </c>
      <c r="M47" s="1" t="n">
        <f aca="false">K47-L47</f>
        <v>720.93543745563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1520.93543745563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1520.93543745563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26772.2299159469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-1937.50744355626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13699.5274870383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-3033.03199019988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553.24551875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1520.93543745563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1520.93543745563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1520.93543745563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1520.93543745563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67802.004</v>
      </c>
      <c r="C81" s="93"/>
      <c r="D81" s="93"/>
      <c r="E81" s="113"/>
      <c r="F81" s="25" t="s">
        <v>105</v>
      </c>
      <c r="G81" s="27" t="n">
        <f aca="false">G158</f>
        <v>67802.004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59444.43749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5527.5</v>
      </c>
      <c r="C82" s="93"/>
      <c r="D82" s="93"/>
      <c r="E82" s="113"/>
      <c r="F82" s="31" t="s">
        <v>106</v>
      </c>
      <c r="G82" s="33" t="n">
        <f aca="false">IF(A111 = "Yes", A40, 0)</f>
        <v>5527.5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5527.5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5527.5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3512.14921034321</v>
      </c>
      <c r="C86" s="93"/>
      <c r="D86" s="93"/>
      <c r="E86" s="113"/>
      <c r="F86" s="31" t="s">
        <v>110</v>
      </c>
      <c r="G86" s="33" t="n">
        <f aca="false">(G82/((1+G84)^(G85+1)))</f>
        <v>4057.15070550522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3779.9953660653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3779.9953660653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64289.8547896568</v>
      </c>
      <c r="C88" s="93"/>
      <c r="D88" s="93"/>
      <c r="E88" s="113"/>
      <c r="F88" s="31" t="s">
        <v>112</v>
      </c>
      <c r="G88" s="33" t="n">
        <f aca="false">G81-G86</f>
        <v>63744.8532944948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55664.4421239347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41748.7536339347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2353.08735961453</v>
      </c>
      <c r="C89" s="93"/>
      <c r="D89" s="93"/>
      <c r="E89" s="113"/>
      <c r="F89" s="31" t="s">
        <v>113</v>
      </c>
      <c r="G89" s="33" t="n">
        <f aca="false">(G88/G87)</f>
        <v>2180.16567942462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1968.59611170545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1476.46200943374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80004.9702268939</v>
      </c>
      <c r="C90" s="93"/>
      <c r="D90" s="93"/>
      <c r="E90" s="113"/>
      <c r="F90" s="31" t="s">
        <v>114</v>
      </c>
      <c r="G90" s="33" t="n">
        <f aca="false">((G89*(G85))+G77)</f>
        <v>74125.6331004372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66932.2677979854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50199.7083207472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80004.9702268939</v>
      </c>
      <c r="C92" s="93"/>
      <c r="D92" s="93"/>
      <c r="E92" s="113"/>
      <c r="F92" s="56" t="s">
        <v>116</v>
      </c>
      <c r="G92" s="65" t="n">
        <f aca="false">(G90+G91)</f>
        <v>74125.6331004372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66932.2677979854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50199.7083207472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2353.08735961453</v>
      </c>
      <c r="C95" s="93"/>
      <c r="D95" s="93"/>
      <c r="E95" s="113"/>
      <c r="F95" s="95" t="s">
        <v>118</v>
      </c>
      <c r="G95" s="96" t="n">
        <f aca="false">G92/(G85)</f>
        <v>2180.16567942462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1968.59611170545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1476.46200943374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2353.08735961453</v>
      </c>
      <c r="C96" s="93"/>
      <c r="D96" s="93"/>
      <c r="E96" s="113"/>
      <c r="F96" s="97" t="s">
        <v>119</v>
      </c>
      <c r="G96" s="98" t="n">
        <f aca="false">G94+G95</f>
        <v>2180.16567942462</v>
      </c>
      <c r="H96" s="33"/>
      <c r="J96" s="97" t="s">
        <v>119</v>
      </c>
      <c r="K96" s="98" t="n">
        <f aca="false">(K94+K95)</f>
        <v>1508.68331962914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1968.59611170545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1476.46200943374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-3545.5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58444.43749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58444.43749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-48364.8616666667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67802.004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59444.43749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2353.08735961453</v>
      </c>
      <c r="B167" s="177" t="str">
        <f aca="false">B94</f>
        <v>0</v>
      </c>
      <c r="C167" s="174"/>
      <c r="D167" s="174"/>
      <c r="E167" s="177" t="n">
        <f aca="false">B96</f>
        <v>2353.08735961453</v>
      </c>
      <c r="F167" s="23"/>
      <c r="G167" s="23" t="n">
        <f aca="false">ROUND(G95, 2)</f>
        <v>2180.17</v>
      </c>
      <c r="H167" s="33"/>
      <c r="J167" s="176" t="n">
        <f aca="false">K95</f>
        <v>1508.68331962914</v>
      </c>
      <c r="K167" s="177" t="n">
        <f aca="false">K94</f>
        <v>0</v>
      </c>
      <c r="L167" s="174"/>
      <c r="M167" s="174"/>
      <c r="N167" s="177" t="n">
        <f aca="false">K96</f>
        <v>1508.68331962914</v>
      </c>
      <c r="O167" s="23"/>
      <c r="P167" s="23"/>
      <c r="Q167" s="33"/>
      <c r="S167" s="176" t="n">
        <f aca="false">T95</f>
        <v>1968.59611170545</v>
      </c>
      <c r="T167" s="177" t="n">
        <f aca="false">T94</f>
        <v>0</v>
      </c>
      <c r="U167" s="174"/>
      <c r="V167" s="174"/>
      <c r="W167" s="177" t="n">
        <f aca="false">T96</f>
        <v>1968.59611170545</v>
      </c>
      <c r="X167" s="23"/>
      <c r="Y167" s="23"/>
      <c r="Z167" s="33"/>
      <c r="AB167" s="176" t="n">
        <f aca="false">AC95</f>
        <v>1476.46200943374</v>
      </c>
      <c r="AC167" s="177" t="n">
        <f aca="false">AC94</f>
        <v>0</v>
      </c>
      <c r="AD167" s="174"/>
      <c r="AE167" s="174"/>
      <c r="AF167" s="177" t="n">
        <f aca="false">AC96</f>
        <v>1476.46200943374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5527.5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5527.5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5527.5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5527.5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70302.004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58444.43749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67802.004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59444.43749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17730.4662268939</v>
      </c>
      <c r="B182" s="103" t="str">
        <f aca="false">B114</f>
        <v>239.99</v>
      </c>
      <c r="C182" s="103"/>
      <c r="D182" s="23"/>
      <c r="E182" s="103" t="n">
        <f aca="false">E179+A182+B182+A185</f>
        <v>85782.4602268939</v>
      </c>
      <c r="F182" s="23"/>
      <c r="G182" s="23"/>
      <c r="H182" s="105"/>
      <c r="J182" s="111" t="n">
        <f aca="false">(J167*K59)+N185-N179-J185</f>
        <v>19107.7328673908</v>
      </c>
      <c r="K182" s="103" t="n">
        <f aca="false">K114</f>
        <v>239.99</v>
      </c>
      <c r="L182" s="103"/>
      <c r="M182" s="23"/>
      <c r="N182" s="103" t="n">
        <f aca="false">N179+J182+K182+J185</f>
        <v>57082.7228673908</v>
      </c>
      <c r="O182" s="23"/>
      <c r="P182" s="23"/>
      <c r="Q182" s="105"/>
      <c r="S182" s="111" t="n">
        <f aca="false">(S167*T59)+W185-W179-S185</f>
        <v>13015.3303079854</v>
      </c>
      <c r="T182" s="103" t="n">
        <f aca="false">T114</f>
        <v>199.99</v>
      </c>
      <c r="U182" s="103"/>
      <c r="V182" s="23"/>
      <c r="W182" s="103" t="n">
        <f aca="false">W179+S182+T182+S185</f>
        <v>72669.7577979854</v>
      </c>
      <c r="X182" s="23"/>
      <c r="Y182" s="23"/>
      <c r="Z182" s="105"/>
      <c r="AB182" s="111" t="n">
        <f aca="false">(AB167*AC59)+AF185-AF179-AB185</f>
        <v>10198.4593207471</v>
      </c>
      <c r="AC182" s="103" t="n">
        <f aca="false">AC114</f>
        <v>239.99</v>
      </c>
      <c r="AD182" s="103"/>
      <c r="AE182" s="23"/>
      <c r="AF182" s="103" t="n">
        <f aca="false">AF179+AB182+AC182+AB185</f>
        <v>55977.1983207471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5537.5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5547.5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5537.5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5537.5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663.8946225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485.050097574653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763.886289166667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3464.43878472222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1585.04009757465</v>
      </c>
      <c r="U191" s="93"/>
      <c r="V191" s="93"/>
      <c r="W191" s="103" t="n">
        <f aca="false">Z148</f>
        <v>-140.562510000003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1511.49194496528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2353.08735961453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1508.68331962914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1968.59611170545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1476.46200943374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11851.276</v>
      </c>
      <c r="B201" s="186" t="n">
        <f aca="false">E179+A201+B182+A185</f>
        <v>79903.27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2353.08735961453</v>
      </c>
      <c r="B212" s="177" t="str">
        <f aca="false">B167</f>
        <v>0</v>
      </c>
      <c r="C212" s="174"/>
      <c r="D212" s="174"/>
      <c r="E212" s="177" t="n">
        <f aca="false">E167</f>
        <v>2353.08735961453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67802.004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17730.4662268939</v>
      </c>
      <c r="B224" s="103" t="str">
        <f aca="false">B182</f>
        <v>239.99</v>
      </c>
      <c r="C224" s="103"/>
      <c r="D224" s="113"/>
      <c r="E224" s="103" t="n">
        <f aca="false">E182</f>
        <v>85782.4602268939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2353.08735961453</v>
      </c>
      <c r="B230" s="103" t="str">
        <f aca="false">B167</f>
        <v>0</v>
      </c>
      <c r="C230" s="186"/>
      <c r="D230" s="186"/>
      <c r="E230" s="103" t="n">
        <f aca="false">E167</f>
        <v>2353.08735961453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5527.5</v>
      </c>
      <c r="B233" s="103" t="n">
        <f aca="false">E185</f>
        <v>5537.5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553.24551875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10417.4071854167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5889.19022689392</v>
      </c>
      <c r="C254" s="197"/>
      <c r="D254" s="198" t="s">
        <v>216</v>
      </c>
      <c r="E254" s="198"/>
      <c r="F254" s="200" t="n">
        <f aca="false">F261+F267+F269+B270+B271</f>
        <v>663.8946225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5325.28727106058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5889.19022689392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663.8946225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5325.28727106058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6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1368.0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1497.77092657439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1392.10092657439</v>
      </c>
      <c r="B36" s="232" t="n">
        <f aca="false">IF(B26="YES", K42, "0.00")</f>
        <v>105.67</v>
      </c>
      <c r="C36" s="232"/>
      <c r="D36" s="232"/>
      <c r="E36" s="232" t="n">
        <f aca="false">K31</f>
        <v>7370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26905.1140067212</v>
      </c>
      <c r="N39" s="1" t="n">
        <f aca="false">K39-L39</f>
        <v>22032.3859932788</v>
      </c>
      <c r="P39" s="212"/>
    </row>
    <row r="40" customFormat="false" ht="17.35" hidden="false" customHeight="false" outlineLevel="0" collapsed="false">
      <c r="A40" s="313" t="n">
        <f aca="false">E36*A45/100</f>
        <v>0.0</v>
      </c>
      <c r="B40" s="107" t="n">
        <f aca="false">IF(B26="YES", K42, "0.00")</f>
        <v>105.67</v>
      </c>
      <c r="C40" s="107"/>
      <c r="D40" s="107"/>
      <c r="E40" s="182" t="n">
        <f aca="false">K32</f>
        <v>3698.45</v>
      </c>
      <c r="F40" s="186"/>
      <c r="G40" s="186"/>
      <c r="H40" s="47"/>
      <c r="J40" s="2" t="s">
        <v>106</v>
      </c>
      <c r="K40" s="2" t="n">
        <f aca="false">(A40)/1.2</f>
        <v>6141.66666666667</v>
      </c>
      <c r="L40" s="2" t="n">
        <f aca="false">K39-L39</f>
        <v>22032.3859932788</v>
      </c>
      <c r="N40" s="1" t="n">
        <f aca="false">N38-N39</f>
        <v>-19120.7059932788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105.67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4981.37659648628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365</v>
      </c>
      <c r="K45" s="2" t="n">
        <f aca="false">(K39-K44)</f>
        <v>43956.1234035137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1392.10092657439</v>
      </c>
      <c r="L47" s="2" t="n">
        <f aca="false">L49-K42</f>
        <v>694.33</v>
      </c>
      <c r="M47" s="1" t="n">
        <f aca="false">K47-L47</f>
        <v>697.770926574392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1497.77092657439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1497.77092657439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27324.461315885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2571.70043728704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16693.6828348641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-38.8766423741181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566.301074305556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1392.10092657439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1392.10092657439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1497.77092657439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1497.77092657439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69402.004</v>
      </c>
      <c r="C81" s="93"/>
      <c r="D81" s="93"/>
      <c r="E81" s="113"/>
      <c r="F81" s="25" t="s">
        <v>105</v>
      </c>
      <c r="G81" s="27" t="n">
        <f aca="false">G158</f>
        <v>69402.004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59444.43749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7370</v>
      </c>
      <c r="C82" s="93"/>
      <c r="D82" s="93"/>
      <c r="E82" s="113"/>
      <c r="F82" s="31" t="s">
        <v>106</v>
      </c>
      <c r="G82" s="33" t="n">
        <f aca="false">IF(A111 = "Yes", A40, 0)</f>
        <v>7370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7370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7370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5202.58764754043</v>
      </c>
      <c r="C86" s="93"/>
      <c r="D86" s="93"/>
      <c r="E86" s="113"/>
      <c r="F86" s="31" t="s">
        <v>110</v>
      </c>
      <c r="G86" s="33" t="n">
        <f aca="false">(G82/((1+G84)^(G85+1)))</f>
        <v>6012.52155195894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5039.99382142039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5039.99382142039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28.7026658885233</v>
      </c>
      <c r="C87" s="93"/>
      <c r="D87" s="93"/>
      <c r="E87" s="113"/>
      <c r="F87" s="31" t="s">
        <v>111</v>
      </c>
      <c r="G87" s="33" t="n">
        <f aca="false">((1-(1/((1+G84)^G85)))/G84)</f>
        <v>30.7595752429843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64199.4163524596</v>
      </c>
      <c r="C88" s="93"/>
      <c r="D88" s="93"/>
      <c r="E88" s="113"/>
      <c r="F88" s="31" t="s">
        <v>112</v>
      </c>
      <c r="G88" s="33" t="n">
        <f aca="false">G81-G86</f>
        <v>63389.4824480411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54404.4436685796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40488.7551785796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2236.70569841143</v>
      </c>
      <c r="C89" s="93"/>
      <c r="D89" s="93"/>
      <c r="E89" s="113"/>
      <c r="F89" s="31" t="s">
        <v>113</v>
      </c>
      <c r="G89" s="33" t="n">
        <f aca="false">(G88/G87)</f>
        <v>2060.80486961533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1924.03574308729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1431.90164081558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76047.9937459887</v>
      </c>
      <c r="C90" s="93"/>
      <c r="D90" s="93"/>
      <c r="E90" s="113"/>
      <c r="F90" s="31" t="s">
        <v>114</v>
      </c>
      <c r="G90" s="33" t="n">
        <f aca="false">((G89*(G85))+G77)</f>
        <v>70067.3655669211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65417.2152649679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48684.6557877296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76047.9937459887</v>
      </c>
      <c r="C92" s="93"/>
      <c r="D92" s="93"/>
      <c r="E92" s="113"/>
      <c r="F92" s="56" t="s">
        <v>116</v>
      </c>
      <c r="G92" s="65" t="n">
        <f aca="false">(G90+G91)</f>
        <v>70067.3655669211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65417.2152649679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48684.6557877296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169.693588235294</v>
      </c>
      <c r="C94" s="93"/>
      <c r="D94" s="93"/>
      <c r="E94" s="113"/>
      <c r="F94" s="88" t="s">
        <v>117</v>
      </c>
      <c r="G94" s="94" t="n">
        <f aca="false">IF(B26="YES",((E40/B85)*(1+A108)*(C45/100)),"0")</f>
        <v>141.411323529412</v>
      </c>
      <c r="H94" s="33"/>
      <c r="J94" s="88" t="s">
        <v>117</v>
      </c>
      <c r="K94" s="89" t="n">
        <f aca="false">((E40/K85)*(1+J108))*1.2</f>
        <v>164.8452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130.533529411765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156.640235294118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2236.70569841143</v>
      </c>
      <c r="C95" s="93"/>
      <c r="D95" s="93"/>
      <c r="E95" s="113"/>
      <c r="F95" s="95" t="s">
        <v>118</v>
      </c>
      <c r="G95" s="96" t="n">
        <f aca="false">G92/(G85)</f>
        <v>2060.80486961533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1924.03574308729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1431.90164081558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2406.39928664673</v>
      </c>
      <c r="C96" s="93"/>
      <c r="D96" s="93"/>
      <c r="E96" s="113"/>
      <c r="F96" s="97" t="s">
        <v>119</v>
      </c>
      <c r="G96" s="98" t="n">
        <f aca="false">G94+G95</f>
        <v>2202.21619314474</v>
      </c>
      <c r="H96" s="33"/>
      <c r="J96" s="97" t="s">
        <v>119</v>
      </c>
      <c r="K96" s="98" t="n">
        <f aca="false">(K94+K95)</f>
        <v>1673.52851962914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2054.56927249905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1588.54187610969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-3545.5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58444.43749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58444.43749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-49698.195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69402.004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59444.43749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2236.70569841143</v>
      </c>
      <c r="B167" s="177" t="n">
        <f aca="false">B94</f>
        <v>169.693588235294</v>
      </c>
      <c r="C167" s="174"/>
      <c r="D167" s="174"/>
      <c r="E167" s="177" t="n">
        <f aca="false">B96</f>
        <v>2406.39928664673</v>
      </c>
      <c r="F167" s="23"/>
      <c r="G167" s="23" t="n">
        <f aca="false">ROUND(G95, 2)</f>
        <v>2060.8</v>
      </c>
      <c r="H167" s="33"/>
      <c r="J167" s="176" t="n">
        <f aca="false">K95</f>
        <v>1508.68331962914</v>
      </c>
      <c r="K167" s="177" t="n">
        <f aca="false">K94</f>
        <v>164.8452</v>
      </c>
      <c r="L167" s="174"/>
      <c r="M167" s="174"/>
      <c r="N167" s="177" t="n">
        <f aca="false">K96</f>
        <v>1673.52851962914</v>
      </c>
      <c r="O167" s="23"/>
      <c r="P167" s="23"/>
      <c r="Q167" s="33"/>
      <c r="S167" s="176" t="n">
        <f aca="false">T95</f>
        <v>1924.03574308729</v>
      </c>
      <c r="T167" s="177" t="n">
        <f aca="false">T94</f>
        <v>130.533529411765</v>
      </c>
      <c r="U167" s="174"/>
      <c r="V167" s="174"/>
      <c r="W167" s="177" t="n">
        <f aca="false">T96</f>
        <v>2054.56927249905</v>
      </c>
      <c r="X167" s="23"/>
      <c r="Y167" s="23"/>
      <c r="Z167" s="33"/>
      <c r="AB167" s="176" t="n">
        <f aca="false">AC95</f>
        <v>1431.90164081558</v>
      </c>
      <c r="AC167" s="177" t="n">
        <f aca="false">AC94</f>
        <v>156.640235294118</v>
      </c>
      <c r="AD167" s="174"/>
      <c r="AE167" s="174"/>
      <c r="AF167" s="177" t="n">
        <f aca="false">AC96</f>
        <v>1588.54187610969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7370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7370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7370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7370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70302.004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58444.43749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69402.004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59444.43749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14015.9897459887</v>
      </c>
      <c r="B182" s="103" t="str">
        <f aca="false">B114</f>
        <v>239.99</v>
      </c>
      <c r="C182" s="103"/>
      <c r="D182" s="23"/>
      <c r="E182" s="103" t="n">
        <f aca="false">E179+A182+B182+A185</f>
        <v>83667.9837459887</v>
      </c>
      <c r="F182" s="23"/>
      <c r="G182" s="23"/>
      <c r="H182" s="105"/>
      <c r="J182" s="111" t="n">
        <f aca="false">(J167*K59)+N185-N179-J185</f>
        <v>20950.2328673908</v>
      </c>
      <c r="K182" s="103" t="n">
        <f aca="false">K114</f>
        <v>239.99</v>
      </c>
      <c r="L182" s="103"/>
      <c r="M182" s="23"/>
      <c r="N182" s="103" t="n">
        <f aca="false">N179+J182+K182+J185</f>
        <v>58925.2228673908</v>
      </c>
      <c r="O182" s="23"/>
      <c r="P182" s="23"/>
      <c r="Q182" s="105"/>
      <c r="S182" s="111" t="n">
        <f aca="false">(S167*T59)+W185-W179-S185</f>
        <v>13342.7777749678</v>
      </c>
      <c r="T182" s="103" t="n">
        <f aca="false">T114</f>
        <v>199.99</v>
      </c>
      <c r="U182" s="103"/>
      <c r="V182" s="23"/>
      <c r="W182" s="103" t="n">
        <f aca="false">W179+S182+T182+S185</f>
        <v>72997.2052649679</v>
      </c>
      <c r="X182" s="23"/>
      <c r="Y182" s="23"/>
      <c r="Z182" s="105"/>
      <c r="AB182" s="111" t="n">
        <f aca="false">(AB167*AC59)+AF185-AF179-AB185</f>
        <v>10525.9067877296</v>
      </c>
      <c r="AC182" s="103" t="n">
        <f aca="false">AC114</f>
        <v>239.99</v>
      </c>
      <c r="AD182" s="103"/>
      <c r="AE182" s="23"/>
      <c r="AF182" s="103" t="n">
        <f aca="false">AF179+AB182+AC182+AB185</f>
        <v>56304.6457877296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7380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7390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7380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7380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0.11577</v>
      </c>
      <c r="B188" s="103" t="n">
        <f aca="false">(G158*B67)/1.2</f>
        <v>566.301074305556</v>
      </c>
      <c r="C188" s="93"/>
      <c r="D188" s="93"/>
      <c r="E188" s="103" t="n">
        <f aca="false">(E40*A108)*0.1*C45/100</f>
        <v>110.9535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110.9535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485.050097574653</v>
      </c>
      <c r="U188" s="93"/>
      <c r="V188" s="93"/>
      <c r="W188" s="103" t="n">
        <f aca="false">(E40*S108)*0.1</f>
        <v>73.969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73.969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777.246240972222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3575.39228472222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1659.00909757465</v>
      </c>
      <c r="U191" s="93"/>
      <c r="V191" s="93"/>
      <c r="W191" s="103" t="n">
        <f aca="false">Z148</f>
        <v>-140.562510000003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1585.46094496528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2406.39928664673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1673.52851962914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2054.56927249905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1588.54187610969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8035.19600000001</v>
      </c>
      <c r="B201" s="186" t="n">
        <f aca="false">E179+A201+B182+A185</f>
        <v>77687.19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2236.70569841143</v>
      </c>
      <c r="B212" s="177" t="n">
        <f aca="false">B167</f>
        <v>169.693588235294</v>
      </c>
      <c r="C212" s="174"/>
      <c r="D212" s="174"/>
      <c r="E212" s="177" t="n">
        <f aca="false">E167</f>
        <v>2406.39928664673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69402.004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14015.9897459887</v>
      </c>
      <c r="B224" s="103" t="str">
        <f aca="false">B182</f>
        <v>239.99</v>
      </c>
      <c r="C224" s="103"/>
      <c r="D224" s="113"/>
      <c r="E224" s="103" t="n">
        <f aca="false">E182</f>
        <v>83667.9837459887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2236.70569841143</v>
      </c>
      <c r="B230" s="103" t="n">
        <f aca="false">B167</f>
        <v>169.693588235294</v>
      </c>
      <c r="C230" s="186"/>
      <c r="D230" s="186"/>
      <c r="E230" s="103" t="n">
        <f aca="false">E167</f>
        <v>2406.39928664673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7370</v>
      </c>
      <c r="B233" s="103" t="n">
        <f aca="false">E185</f>
        <v>7380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566.301074305556</v>
      </c>
      <c r="C240" s="93"/>
      <c r="D240" s="93"/>
      <c r="E240" s="103" t="n">
        <f aca="false">E188</f>
        <v>110.9535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10541.4162409722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5990.79374598869</v>
      </c>
      <c r="C254" s="197"/>
      <c r="D254" s="198" t="s">
        <v>216</v>
      </c>
      <c r="E254" s="198"/>
      <c r="F254" s="200" t="n">
        <f aca="false">F261+F267+F269+B270+B271</f>
        <v>679.561289166667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1209.52666666667</v>
      </c>
      <c r="C255" s="197"/>
      <c r="D255" s="198" t="s">
        <v>218</v>
      </c>
      <c r="E255" s="198"/>
      <c r="F255" s="200" t="n">
        <f aca="false">(B254-F254)+B255</f>
        <v>6520.75912348869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5990.79374598869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679.561289166667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1109.535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6520.75912348869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7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1368.0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1520.93543745563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1520.93543745563</v>
      </c>
      <c r="B36" s="232" t="str">
        <f aca="false">IF(B26="YES", K42, "0.00")</f>
        <v>0.00</v>
      </c>
      <c r="C36" s="232"/>
      <c r="D36" s="232"/>
      <c r="E36" s="232" t="n">
        <f aca="false">K31</f>
        <v>5527.5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27329.2409247912</v>
      </c>
      <c r="N39" s="1" t="n">
        <f aca="false">K39-L39</f>
        <v>21608.2590752087</v>
      </c>
      <c r="P39" s="212"/>
    </row>
    <row r="40" customFormat="false" ht="17.35" hidden="false" customHeight="false" outlineLevel="0" collapsed="false">
      <c r="A40" s="313" t="n">
        <f aca="false">E36*A45/100</f>
        <v>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4606.25</v>
      </c>
      <c r="L40" s="2" t="n">
        <f aca="false">K39-L39</f>
        <v>21608.2590752087</v>
      </c>
      <c r="N40" s="1" t="n">
        <f aca="false">N38-N39</f>
        <v>-18696.5790752087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3351.21687151961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365</v>
      </c>
      <c r="K45" s="2" t="n">
        <f aca="false">(K39-K44)</f>
        <v>45586.2831284804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1520.93543745563</v>
      </c>
      <c r="L47" s="2" t="n">
        <f aca="false">L49-K42</f>
        <v>800</v>
      </c>
      <c r="M47" s="1" t="n">
        <f aca="false">K47-L47</f>
        <v>720.93543745563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1520.93543745563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1520.93543745563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26772.2299159469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-1937.50744355626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13699.5274870383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-3033.03199019988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553.24551875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1520.93543745563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1520.93543745563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1520.93543745563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1520.93543745563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67802.004</v>
      </c>
      <c r="C81" s="93"/>
      <c r="D81" s="93"/>
      <c r="E81" s="113"/>
      <c r="F81" s="25" t="s">
        <v>105</v>
      </c>
      <c r="G81" s="27" t="n">
        <f aca="false">G158</f>
        <v>67802.004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59444.43749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5527.5</v>
      </c>
      <c r="C82" s="93"/>
      <c r="D82" s="93"/>
      <c r="E82" s="113"/>
      <c r="F82" s="31" t="s">
        <v>106</v>
      </c>
      <c r="G82" s="33" t="n">
        <f aca="false">IF(A111 = "Yes", A40, 0)</f>
        <v>5527.5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5527.5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5527.5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3512.14921034321</v>
      </c>
      <c r="C86" s="93"/>
      <c r="D86" s="93"/>
      <c r="E86" s="113"/>
      <c r="F86" s="31" t="s">
        <v>110</v>
      </c>
      <c r="G86" s="33" t="n">
        <f aca="false">(G82/((1+G84)^(G85+1)))</f>
        <v>4057.15070550522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3779.9953660653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3779.9953660653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64289.8547896568</v>
      </c>
      <c r="C88" s="93"/>
      <c r="D88" s="93"/>
      <c r="E88" s="113"/>
      <c r="F88" s="31" t="s">
        <v>112</v>
      </c>
      <c r="G88" s="33" t="n">
        <f aca="false">G81-G86</f>
        <v>63744.8532944948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55664.4421239347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41748.7536339347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2353.08735961453</v>
      </c>
      <c r="C89" s="93"/>
      <c r="D89" s="93"/>
      <c r="E89" s="113"/>
      <c r="F89" s="31" t="s">
        <v>113</v>
      </c>
      <c r="G89" s="33" t="n">
        <f aca="false">(G88/G87)</f>
        <v>2180.16567942462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1968.59611170545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1476.46200943374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80004.9702268939</v>
      </c>
      <c r="C90" s="93"/>
      <c r="D90" s="93"/>
      <c r="E90" s="113"/>
      <c r="F90" s="31" t="s">
        <v>114</v>
      </c>
      <c r="G90" s="33" t="n">
        <f aca="false">((G89*(G85))+G77)</f>
        <v>74125.6331004372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66932.2677979854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50199.7083207472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80004.9702268939</v>
      </c>
      <c r="C92" s="93"/>
      <c r="D92" s="93"/>
      <c r="E92" s="113"/>
      <c r="F92" s="56" t="s">
        <v>116</v>
      </c>
      <c r="G92" s="65" t="n">
        <f aca="false">(G90+G91)</f>
        <v>74125.6331004372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66932.2677979854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50199.7083207472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2353.08735961453</v>
      </c>
      <c r="C95" s="93"/>
      <c r="D95" s="93"/>
      <c r="E95" s="113"/>
      <c r="F95" s="95" t="s">
        <v>118</v>
      </c>
      <c r="G95" s="96" t="n">
        <f aca="false">G92/(G85)</f>
        <v>2180.16567942462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1968.59611170545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1476.46200943374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2353.08735961453</v>
      </c>
      <c r="C96" s="93"/>
      <c r="D96" s="93"/>
      <c r="E96" s="113"/>
      <c r="F96" s="97" t="s">
        <v>119</v>
      </c>
      <c r="G96" s="98" t="n">
        <f aca="false">G94+G95</f>
        <v>2180.16567942462</v>
      </c>
      <c r="H96" s="33"/>
      <c r="J96" s="97" t="s">
        <v>119</v>
      </c>
      <c r="K96" s="98" t="n">
        <f aca="false">(K94+K95)</f>
        <v>1508.68331962914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1968.59611170545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1476.46200943374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-3545.5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58444.43749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58444.43749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-48364.8616666667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67802.004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59444.43749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2353.08735961453</v>
      </c>
      <c r="B167" s="177" t="str">
        <f aca="false">B94</f>
        <v>0</v>
      </c>
      <c r="C167" s="174"/>
      <c r="D167" s="174"/>
      <c r="E167" s="177" t="n">
        <f aca="false">B96</f>
        <v>2353.08735961453</v>
      </c>
      <c r="F167" s="23"/>
      <c r="G167" s="23" t="n">
        <f aca="false">ROUND(G95, 2)</f>
        <v>2180.17</v>
      </c>
      <c r="H167" s="33"/>
      <c r="J167" s="176" t="n">
        <f aca="false">K95</f>
        <v>1508.68331962914</v>
      </c>
      <c r="K167" s="177" t="n">
        <f aca="false">K94</f>
        <v>0</v>
      </c>
      <c r="L167" s="174"/>
      <c r="M167" s="174"/>
      <c r="N167" s="177" t="n">
        <f aca="false">K96</f>
        <v>1508.68331962914</v>
      </c>
      <c r="O167" s="23"/>
      <c r="P167" s="23"/>
      <c r="Q167" s="33"/>
      <c r="S167" s="176" t="n">
        <f aca="false">T95</f>
        <v>1968.59611170545</v>
      </c>
      <c r="T167" s="177" t="n">
        <f aca="false">T94</f>
        <v>0</v>
      </c>
      <c r="U167" s="174"/>
      <c r="V167" s="174"/>
      <c r="W167" s="177" t="n">
        <f aca="false">T96</f>
        <v>1968.59611170545</v>
      </c>
      <c r="X167" s="23"/>
      <c r="Y167" s="23"/>
      <c r="Z167" s="33"/>
      <c r="AB167" s="176" t="n">
        <f aca="false">AC95</f>
        <v>1476.46200943374</v>
      </c>
      <c r="AC167" s="177" t="n">
        <f aca="false">AC94</f>
        <v>0</v>
      </c>
      <c r="AD167" s="174"/>
      <c r="AE167" s="174"/>
      <c r="AF167" s="177" t="n">
        <f aca="false">AC96</f>
        <v>1476.46200943374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5527.5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5527.5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5527.5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5527.5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70302.004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58444.43749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67802.004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59444.43749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17730.4662268939</v>
      </c>
      <c r="B182" s="103" t="str">
        <f aca="false">B114</f>
        <v>199.99</v>
      </c>
      <c r="C182" s="103"/>
      <c r="D182" s="23"/>
      <c r="E182" s="103" t="n">
        <f aca="false">E179+A182+(B182*1.2)+A185</f>
        <v>85782.4582268939</v>
      </c>
      <c r="F182" s="23"/>
      <c r="G182" s="23"/>
      <c r="H182" s="105"/>
      <c r="J182" s="111" t="n">
        <f aca="false">(J167*K59)+N185-N179-J185</f>
        <v>19107.7328673908</v>
      </c>
      <c r="K182" s="103" t="n">
        <f aca="false">K114</f>
        <v>239.99</v>
      </c>
      <c r="L182" s="103"/>
      <c r="M182" s="23"/>
      <c r="N182" s="103" t="n">
        <f aca="false">N179+J182+K182+J185</f>
        <v>57082.7228673908</v>
      </c>
      <c r="O182" s="23"/>
      <c r="P182" s="23"/>
      <c r="Q182" s="105"/>
      <c r="S182" s="111" t="n">
        <f aca="false">(S167*T59)+W185-W179-S185</f>
        <v>13015.3303079854</v>
      </c>
      <c r="T182" s="103" t="n">
        <f aca="false">T114</f>
        <v>199.99</v>
      </c>
      <c r="U182" s="103"/>
      <c r="V182" s="23"/>
      <c r="W182" s="103" t="n">
        <f aca="false">W179+S182+T182+S185</f>
        <v>72669.7577979854</v>
      </c>
      <c r="X182" s="23"/>
      <c r="Y182" s="23"/>
      <c r="Z182" s="105"/>
      <c r="AB182" s="111" t="n">
        <f aca="false">(AB167*AC59)+AF185-AF179-AB185</f>
        <v>10198.4593207471</v>
      </c>
      <c r="AC182" s="103" t="n">
        <f aca="false">AC114</f>
        <v>239.99</v>
      </c>
      <c r="AD182" s="103"/>
      <c r="AE182" s="23"/>
      <c r="AF182" s="103" t="n">
        <f aca="false">AF179+AB182+AC182+AB185</f>
        <v>55977.1983207471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5537.5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5547.5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5537.5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5537.5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553.24551875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485.050097574653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653.23551875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3464.43878472222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1585.04009757465</v>
      </c>
      <c r="U191" s="93"/>
      <c r="V191" s="93"/>
      <c r="W191" s="103" t="n">
        <f aca="false">Z148</f>
        <v>-140.562510000003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1511.49194496528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2353.08735961453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1508.68331962914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1968.59611170545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1476.46200943374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11851.276</v>
      </c>
      <c r="B201" s="186" t="n">
        <f aca="false">E179+A201+(B182*1.2)+A185</f>
        <v>79903.268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2353.08735961453</v>
      </c>
      <c r="B212" s="177" t="str">
        <f aca="false">B167</f>
        <v>0</v>
      </c>
      <c r="C212" s="174"/>
      <c r="D212" s="174"/>
      <c r="E212" s="177" t="n">
        <f aca="false">E167</f>
        <v>2353.08735961453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67802.004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17730.4662268939</v>
      </c>
      <c r="B224" s="103" t="str">
        <f aca="false">B182</f>
        <v>199.99</v>
      </c>
      <c r="C224" s="103"/>
      <c r="D224" s="113"/>
      <c r="E224" s="103" t="n">
        <f aca="false">E182</f>
        <v>85782.4582268939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2353.08735961453</v>
      </c>
      <c r="B230" s="103" t="str">
        <f aca="false">B167</f>
        <v>0</v>
      </c>
      <c r="C230" s="186"/>
      <c r="D230" s="186"/>
      <c r="E230" s="103" t="n">
        <f aca="false">E167</f>
        <v>2353.08735961453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5527.5</v>
      </c>
      <c r="B233" s="103" t="n">
        <f aca="false">E185</f>
        <v>5537.5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34.731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553.24551875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10417.40551875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5889.19022689392</v>
      </c>
      <c r="C254" s="197"/>
      <c r="D254" s="198" t="s">
        <v>216</v>
      </c>
      <c r="E254" s="198"/>
      <c r="F254" s="200" t="n">
        <f aca="false">F261+F267+F269+B270+B271</f>
        <v>663.8946225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5325.28560439392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5889.19022689392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663.8946225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5325.28560439392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16745.0</v>
      </c>
      <c r="C3" s="498" t="n">
        <v>0.0</v>
      </c>
      <c r="D3" s="263" t="n">
        <v>0.0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290.0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4560.0</v>
      </c>
      <c r="I31" s="238" t="n">
        <f aca="false">IF(C107="YES",H31,0)</f>
        <v>18425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3795.05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1436.16634947496</v>
      </c>
      <c r="E33" s="216"/>
      <c r="F33" s="63"/>
      <c r="G33" s="219" t="s">
        <v>354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1260.04634947496</v>
      </c>
      <c r="B36" s="103" t="n">
        <f aca="false">IF(B26="YES", H42, "")</f>
        <v>176.12</v>
      </c>
      <c r="C36" s="221"/>
      <c r="D36" s="184" t="n">
        <f aca="false">I31</f>
        <v>18425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47853.503002963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18425</v>
      </c>
      <c r="B40" s="107" t="n">
        <f aca="false">IF(B26="YES",H42,"0")</f>
        <v>176.12</v>
      </c>
      <c r="C40" s="107"/>
      <c r="D40" s="184" t="n">
        <f aca="false">I32</f>
        <v>6164.2</v>
      </c>
      <c r="E40" s="216"/>
      <c r="F40" s="63"/>
      <c r="G40" s="63" t="s">
        <v>106</v>
      </c>
      <c r="H40" s="238" t="n">
        <f aca="false">A40/1.2</f>
        <v>15354.1666666667</v>
      </c>
      <c r="I40" s="238" t="n">
        <f aca="false">H39-I39</f>
        <v>1083.996997037</v>
      </c>
      <c r="J40" s="63" t="n">
        <v>23166.66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176.12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11170.7229050654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37766.7770949346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1260.04634947496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1436.16634947496</v>
      </c>
      <c r="I48" s="238" t="n">
        <f aca="false">I49-H42</f>
        <v>1223.88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1436.16634947496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216"/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E15*B66</f>
        <v>566.790625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291" t="n">
        <f aca="false">B73+B71</f>
        <v>317.5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280</v>
      </c>
      <c r="B74" s="432" t="n">
        <v>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281</v>
      </c>
      <c r="B75" s="434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282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7377.67604166667</v>
      </c>
      <c r="C81" s="215"/>
      <c r="D81" s="215"/>
      <c r="E81" s="21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210.790744047619</v>
      </c>
      <c r="C82" s="215"/>
      <c r="D82" s="215"/>
      <c r="E82" s="21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1260.04634947496</v>
      </c>
      <c r="C83" s="215"/>
      <c r="D83" s="215"/>
      <c r="E83" s="216"/>
      <c r="F83" s="63"/>
      <c r="G83" s="305" t="s">
        <v>104</v>
      </c>
      <c r="H83" s="306" t="n">
        <f aca="false">H47</f>
        <v>1260.04634947496</v>
      </c>
      <c r="I83" s="215"/>
      <c r="J83" s="215"/>
      <c r="K83" s="216"/>
      <c r="L83" s="63"/>
      <c r="M83" s="305" t="s">
        <v>104</v>
      </c>
      <c r="N83" s="306" t="n">
        <f aca="false">H47</f>
        <v>1260.04634947496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51479.2982732902</v>
      </c>
      <c r="C85" s="215"/>
      <c r="D85" s="215"/>
      <c r="E85" s="216"/>
      <c r="F85" s="63"/>
      <c r="G85" s="288" t="s">
        <v>114</v>
      </c>
      <c r="H85" s="131" t="n">
        <f aca="false">((H83*H29)+H81)*1.2</f>
        <v>61371.1579279483</v>
      </c>
      <c r="I85" s="215"/>
      <c r="J85" s="215"/>
      <c r="K85" s="216"/>
      <c r="L85" s="63"/>
      <c r="M85" s="288" t="s">
        <v>114</v>
      </c>
      <c r="N85" s="131" t="n">
        <f aca="false">((N83*H29)+N81)</f>
        <v>50812.6316066236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436.089255239651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433.237298805605</v>
      </c>
      <c r="I86" s="215"/>
      <c r="J86" s="215"/>
      <c r="K86" s="216"/>
      <c r="L86" s="63"/>
      <c r="M86" s="214" t="s">
        <v>115</v>
      </c>
      <c r="N86" s="300" t="n">
        <f aca="false">(N85/(1-N70))*N70</f>
        <v>430.441816756392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51915.3875285299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61804.3952267539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51243.07342338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228.956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221.9112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184.926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1483.29678652943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1545.10988066885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1281.0768355845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1712.25278652943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1767.02108066885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1466.0028355845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343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344</v>
      </c>
      <c r="C107" s="222" t="s">
        <v>398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1545.10988066885</v>
      </c>
      <c r="H127" s="177" t="n">
        <f aca="false">IF(G105="YES", H89*H57, 0)</f>
        <v>1331.4672</v>
      </c>
      <c r="I127" s="177"/>
      <c r="J127" s="334" t="n">
        <f aca="false">H91</f>
        <v>1767.02108066885</v>
      </c>
      <c r="K127" s="216"/>
      <c r="L127" s="63"/>
      <c r="M127" s="333" t="n">
        <f aca="false">N90</f>
        <v>1281.0768355845</v>
      </c>
      <c r="N127" s="177" t="n">
        <f aca="false">IF(M105="YES", N89*N57, 0)</f>
        <v>1109.556</v>
      </c>
      <c r="O127" s="177"/>
      <c r="P127" s="177" t="n">
        <f aca="false">N91</f>
        <v>1466.0028355845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1483.29678652943</v>
      </c>
      <c r="B128" s="321" t="n">
        <f aca="false">IF(A105="YES", B89, 0)</f>
        <v>228.956</v>
      </c>
      <c r="C128" s="325"/>
      <c r="D128" s="321" t="n">
        <f aca="false">B91</f>
        <v>1712.25278652943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13349.6710787648</v>
      </c>
      <c r="C131" s="317"/>
      <c r="D131" s="38" t="n">
        <f aca="false">IF(A105="YES", B89*B57, 0)</f>
        <v>2060.604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9270.65928401308</v>
      </c>
      <c r="H133" s="103" t="n">
        <f aca="false">IF(G105="YES", H89*H57, 0)</f>
        <v>1331.4672</v>
      </c>
      <c r="I133" s="221"/>
      <c r="J133" s="184" t="n">
        <f aca="false">H91*H57</f>
        <v>10602.1264840131</v>
      </c>
      <c r="K133" s="216"/>
      <c r="L133" s="63"/>
      <c r="M133" s="185" t="n">
        <f aca="false">N90*N57</f>
        <v>7686.46101350699</v>
      </c>
      <c r="N133" s="103" t="n">
        <f aca="false">IF(M105="YES", N89*N57, 0)</f>
        <v>1109.556</v>
      </c>
      <c r="O133" s="221"/>
      <c r="P133" s="184" t="n">
        <f aca="false">N91*N57</f>
        <v>8796.017013507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15410.2750787648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1483.29678652943</v>
      </c>
      <c r="B137" s="38" t="n">
        <f aca="false">IF(A105="YES", B89, 0)</f>
        <v>228.956</v>
      </c>
      <c r="C137" s="317"/>
      <c r="D137" s="38" t="n">
        <f aca="false">B91</f>
        <v>1712.25278652943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123.284</v>
      </c>
      <c r="H142" s="103" t="n">
        <f aca="false">G102-100</f>
        <v>99.99</v>
      </c>
      <c r="I142" s="103"/>
      <c r="J142" s="103" t="n">
        <f aca="false">(H139+J139+G142+H142)-H145</f>
        <v>1167.92504166667</v>
      </c>
      <c r="K142" s="105"/>
      <c r="L142" s="63"/>
      <c r="M142" s="111" t="n">
        <f aca="false">IF(M105="YES", ((B36*N105)*0.1)*(M130), 0)</f>
        <v>123.284</v>
      </c>
      <c r="N142" s="103" t="n">
        <f aca="false">M102-100</f>
        <v>99.99</v>
      </c>
      <c r="O142" s="103"/>
      <c r="P142" s="103" t="n">
        <f aca="false">(N139+P139+M142+N142)-N145</f>
        <v>1167.92504166667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566.790625</v>
      </c>
      <c r="B148" s="38" t="n">
        <f aca="false">B102</f>
        <v>400</v>
      </c>
      <c r="C148" s="38"/>
      <c r="D148" s="38" t="n">
        <f aca="false">IF(A105="YES", (B40*B105)*B125, 0)*0.1</f>
        <v>184.926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1251.706625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1767.02108066885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1466.0028355845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1712.25278652943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1483.29678652943</v>
      </c>
      <c r="B177" s="355" t="n">
        <f aca="false">IF(A105="YES", B89, 0)</f>
        <v>228.956</v>
      </c>
      <c r="C177" s="357"/>
      <c r="D177" s="355" t="n">
        <f aca="false">B91</f>
        <v>1712.25278652943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Terminal pause with 9 down</v>
      </c>
      <c r="B180" s="103" t="n">
        <f aca="false">B90*B57</f>
        <v>13349.6710787648</v>
      </c>
      <c r="C180" s="353"/>
      <c r="D180" s="103" t="n">
        <f aca="false">IF(A105="YES", B89*B57, 0)</f>
        <v>2060.604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15410.2750787648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1483.29678652943</v>
      </c>
      <c r="B186" s="103" t="n">
        <f aca="false">IF(A105="YES", B89, 0)</f>
        <v>228.956</v>
      </c>
      <c r="C186" s="353"/>
      <c r="D186" s="103" t="n">
        <f aca="false">B91</f>
        <v>1712.25278652943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566.790625</v>
      </c>
      <c r="B197" s="103" t="n">
        <f aca="false">B102</f>
        <v>400</v>
      </c>
      <c r="C197" s="103"/>
      <c r="D197" s="103" t="n">
        <f aca="false">IF(A105="YES", (B40*B105)*B125, 0)*0.1</f>
        <v>184.926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1251.706625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566.790625</v>
      </c>
      <c r="C211" s="320" t="s">
        <v>217</v>
      </c>
      <c r="D211" s="370" t="n">
        <f aca="false">B225+E221+B221+B223</f>
        <v>2189.25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7615.96875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566.790625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7615.96875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1849.26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436.089255239651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200.0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386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0.0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1604.74626345983</v>
      </c>
      <c r="E33" s="216"/>
      <c r="F33" s="63"/>
      <c r="G33" s="219" t="s">
        <v>354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1508.68626345983</v>
      </c>
      <c r="B36" s="103" t="n">
        <f aca="false">IF(B26="YES", H42, "")</f>
        <v>96.06</v>
      </c>
      <c r="C36" s="221"/>
      <c r="D36" s="184" t="n">
        <f aca="false">H31</f>
        <v>27800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44861.9035828469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27800</v>
      </c>
      <c r="B40" s="107" t="n">
        <f aca="false">IF(B26="YES",H42,"0")</f>
        <v>96.06</v>
      </c>
      <c r="C40" s="107"/>
      <c r="D40" s="184" t="n">
        <f aca="false">I32</f>
        <v>2113.32</v>
      </c>
      <c r="E40" s="216"/>
      <c r="F40" s="63"/>
      <c r="G40" s="63" t="s">
        <v>106</v>
      </c>
      <c r="H40" s="238" t="n">
        <f aca="false">(A40)/1.2</f>
        <v>23166.6666666667</v>
      </c>
      <c r="I40" s="238" t="n">
        <f aca="false">H39-I39</f>
        <v>4075.59641715312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96.06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18906.2006440952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372</v>
      </c>
      <c r="H45" s="238" t="n">
        <f aca="false">(H39-H44)</f>
        <v>30031.2993559048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19.905596069414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1508.68626345983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1604.74626345983</v>
      </c>
      <c r="I48" s="238" t="n">
        <f aca="false">I49-H42</f>
        <v>1303.94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1604.74626345983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4896.10625</v>
      </c>
      <c r="C64" s="215" t="n">
        <v>10000.0</v>
      </c>
      <c r="D64" s="291" t="n">
        <f aca="false">B64-A143</f>
        <v>4896.10625</v>
      </c>
      <c r="E64" s="466" t="n">
        <f aca="false">D64/(B58+B57)</f>
        <v>222.550284090909</v>
      </c>
      <c r="F64" s="63"/>
      <c r="G64" s="285" t="s">
        <v>90</v>
      </c>
      <c r="H64" s="133" t="n">
        <f aca="false">H61*H63</f>
        <v>4896.10625</v>
      </c>
      <c r="I64" s="215"/>
      <c r="J64" s="291" t="n">
        <f aca="false">H64-G145</f>
        <v>4896.10625</v>
      </c>
      <c r="K64" s="216"/>
      <c r="L64" s="63"/>
      <c r="M64" s="285" t="s">
        <v>90</v>
      </c>
      <c r="N64" s="133" t="n">
        <f aca="false">N61*N63</f>
        <v>4896.10625</v>
      </c>
      <c r="O64" s="215"/>
      <c r="P64" s="291" t="n">
        <f aca="false">N64-M145</f>
        <v>4896.10625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0.00708333333333333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410.01875</v>
      </c>
      <c r="C67" s="215"/>
      <c r="D67" s="291"/>
      <c r="E67" s="216"/>
      <c r="F67" s="63"/>
      <c r="G67" s="285" t="s">
        <v>93</v>
      </c>
      <c r="H67" s="133" t="n">
        <f aca="false">(H61*H66)/1.2</f>
        <v>683.364583333333</v>
      </c>
      <c r="I67" s="215"/>
      <c r="J67" s="291"/>
      <c r="K67" s="216"/>
      <c r="L67" s="63"/>
      <c r="M67" s="285" t="s">
        <v>93</v>
      </c>
      <c r="N67" s="133" t="n">
        <f aca="false">(N61*N66)/1.2</f>
        <v>683.364583333333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99</v>
      </c>
      <c r="C73" s="215"/>
      <c r="D73" s="291" t="n">
        <f aca="false">B73+B71</f>
        <v>259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355.0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504.166666666667</v>
      </c>
      <c r="C76" s="215"/>
      <c r="D76" s="291" t="n">
        <f aca="false">B76</f>
        <v>504.166666666667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466" t="n">
        <f aca="false">(D73+D76+D79+D80)/(B58+B57)</f>
        <v>52.8712121212121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6725.93958333334</v>
      </c>
      <c r="C81" s="215"/>
      <c r="D81" s="215"/>
      <c r="E81" s="466"/>
      <c r="F81" s="63"/>
      <c r="G81" s="303" t="s">
        <v>102</v>
      </c>
      <c r="H81" s="304" t="n">
        <f aca="false">SUM(J64:J80)</f>
        <v>5706.35625</v>
      </c>
      <c r="I81" s="215"/>
      <c r="J81" s="215"/>
      <c r="K81" s="216"/>
      <c r="L81" s="63"/>
      <c r="M81" s="303" t="s">
        <v>102</v>
      </c>
      <c r="N81" s="304" t="n">
        <f aca="false">SUM(P64:P80)</f>
        <v>5555.10625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305.724526515152</v>
      </c>
      <c r="C82" s="215"/>
      <c r="D82" s="215"/>
      <c r="E82" s="466"/>
      <c r="F82" s="63"/>
      <c r="G82" s="214" t="s">
        <v>103</v>
      </c>
      <c r="H82" s="300" t="n">
        <f aca="false">H81/H29</f>
        <v>259.379829545455</v>
      </c>
      <c r="I82" s="215"/>
      <c r="J82" s="215"/>
      <c r="K82" s="216"/>
      <c r="L82" s="63"/>
      <c r="M82" s="214" t="s">
        <v>103</v>
      </c>
      <c r="N82" s="300" t="n">
        <f aca="false">N81/H29</f>
        <v>252.504829545455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1508.68626345983</v>
      </c>
      <c r="C83" s="215"/>
      <c r="D83" s="215"/>
      <c r="E83" s="466" t="n">
        <f aca="false">B83+E80+E77+E64</f>
        <v>1804.30977987397</v>
      </c>
      <c r="F83" s="63"/>
      <c r="G83" s="305" t="s">
        <v>104</v>
      </c>
      <c r="H83" s="306" t="n">
        <f aca="false">H47</f>
        <v>1508.68626345983</v>
      </c>
      <c r="I83" s="215"/>
      <c r="J83" s="215"/>
      <c r="K83" s="216"/>
      <c r="L83" s="63"/>
      <c r="M83" s="305" t="s">
        <v>104</v>
      </c>
      <c r="N83" s="306" t="n">
        <f aca="false">H47</f>
        <v>1508.68626345983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47900.4448553394</v>
      </c>
      <c r="C85" s="215"/>
      <c r="D85" s="215"/>
      <c r="E85" s="466" t="n">
        <f aca="false">B85/(B58+B57)</f>
        <v>2177.29294796997</v>
      </c>
      <c r="F85" s="63"/>
      <c r="G85" s="288" t="s">
        <v>114</v>
      </c>
      <c r="H85" s="131" t="n">
        <f aca="false">((H83*H29)+H81)*1.2</f>
        <v>46676.9448553394</v>
      </c>
      <c r="I85" s="215"/>
      <c r="J85" s="215"/>
      <c r="K85" s="216"/>
      <c r="L85" s="63"/>
      <c r="M85" s="288" t="s">
        <v>114</v>
      </c>
      <c r="N85" s="131" t="n">
        <f aca="false">((N83*H29)+N81)</f>
        <v>38746.2040461162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338.14351955161</v>
      </c>
      <c r="C86" s="215"/>
      <c r="D86" s="215"/>
      <c r="E86" s="466" t="n">
        <f aca="false">B86/(B58+B57)</f>
        <v>15.3701599796186</v>
      </c>
      <c r="F86" s="63"/>
      <c r="G86" s="214" t="s">
        <v>115</v>
      </c>
      <c r="H86" s="300" t="n">
        <f aca="false">((((H83*H29)+H81))/(1-H70))*H70</f>
        <v>329.506468321275</v>
      </c>
      <c r="I86" s="215"/>
      <c r="J86" s="215"/>
      <c r="K86" s="216"/>
      <c r="L86" s="63"/>
      <c r="M86" s="214" t="s">
        <v>115</v>
      </c>
      <c r="N86" s="300" t="n">
        <f aca="false">(N85/(1-N70))*N70</f>
        <v>328.225205715385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48238.588374891</v>
      </c>
      <c r="C87" s="215"/>
      <c r="D87" s="215"/>
      <c r="E87" s="466" t="n">
        <f aca="false">E86+E85</f>
        <v>2192.66310794959</v>
      </c>
      <c r="F87" s="63"/>
      <c r="G87" s="285" t="s">
        <v>116</v>
      </c>
      <c r="H87" s="133" t="n">
        <f aca="false">IF(H110="YES",((H85+H86)-K114),(H85+H86))</f>
        <v>47006.4513236607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39074.4292518316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149.8536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112.7104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93.9253333333333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2192.66310794959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1740.9796786541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1447.20108340117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2342.51670794959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1853.6900786541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1541.1264167345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386</v>
      </c>
      <c r="B105" s="314" t="n">
        <v>0.0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1740.9796786541</v>
      </c>
      <c r="H127" s="177" t="n">
        <f aca="false">IF(G105="YES", H89*H57, 0)</f>
        <v>676.2624</v>
      </c>
      <c r="I127" s="177"/>
      <c r="J127" s="334" t="n">
        <f aca="false">H91</f>
        <v>1853.6900786541</v>
      </c>
      <c r="K127" s="216"/>
      <c r="L127" s="63"/>
      <c r="M127" s="333" t="n">
        <f aca="false">N90</f>
        <v>1447.20108340117</v>
      </c>
      <c r="N127" s="177" t="n">
        <f aca="false">IF(M105="YES", N89*N57, 0)</f>
        <v>563.552</v>
      </c>
      <c r="O127" s="177"/>
      <c r="P127" s="177" t="n">
        <f aca="false">N91</f>
        <v>1541.1264167345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2192.66310794959</v>
      </c>
      <c r="B128" s="321" t="n">
        <f aca="false">IF(A105="YES", B89, 0)</f>
        <v>149.8536</v>
      </c>
      <c r="C128" s="325"/>
      <c r="D128" s="321" t="n">
        <f aca="false">B91</f>
        <v>2342.51670794959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2192.66310794959</v>
      </c>
      <c r="C131" s="317"/>
      <c r="D131" s="38" t="n">
        <f aca="false">IF(A105="YES", B89*B57, 0)</f>
        <v>149.8536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10445.8780719246</v>
      </c>
      <c r="H133" s="103" t="n">
        <f aca="false">IF(G105="YES", H89*H57, 0)</f>
        <v>676.2624</v>
      </c>
      <c r="I133" s="221"/>
      <c r="J133" s="184" t="n">
        <f aca="false">H91*H57</f>
        <v>11122.1404719246</v>
      </c>
      <c r="K133" s="216"/>
      <c r="L133" s="63"/>
      <c r="M133" s="185" t="n">
        <f aca="false">N90*N57</f>
        <v>8683.20650040701</v>
      </c>
      <c r="N133" s="103" t="n">
        <f aca="false">IF(M105="YES", N89*N57, 0)</f>
        <v>563.552</v>
      </c>
      <c r="O133" s="221"/>
      <c r="P133" s="184" t="n">
        <f aca="false">N91*N57</f>
        <v>9246.75850040701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2342.51670794959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2192.66310794959</v>
      </c>
      <c r="B137" s="38" t="n">
        <f aca="false">IF(A105="YES", B89, 0)</f>
        <v>149.8536</v>
      </c>
      <c r="C137" s="317"/>
      <c r="D137" s="38" t="n">
        <f aca="false">B91</f>
        <v>2342.51670794959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683.364583333333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683.364583333333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42.2664</v>
      </c>
      <c r="H142" s="103" t="n">
        <f aca="false">G102-100</f>
        <v>99.99</v>
      </c>
      <c r="I142" s="103"/>
      <c r="J142" s="103" t="n">
        <f aca="false">(H139+J139+G142+H142)-H145</f>
        <v>825.620983333333</v>
      </c>
      <c r="K142" s="105"/>
      <c r="L142" s="63"/>
      <c r="M142" s="111" t="n">
        <f aca="false">IF(M105="YES", ((B36*N105)*0.1)*(M130), 0)</f>
        <v>42.2664</v>
      </c>
      <c r="N142" s="103" t="n">
        <f aca="false">M102-100</f>
        <v>99.99</v>
      </c>
      <c r="O142" s="103"/>
      <c r="P142" s="103" t="n">
        <f aca="false">(N139+P139+M142+N142)-N145</f>
        <v>825.620983333333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410.01875</v>
      </c>
      <c r="B148" s="38" t="n">
        <f aca="false">B102</f>
        <v>400</v>
      </c>
      <c r="C148" s="38"/>
      <c r="D148" s="38" t="n">
        <f aca="false">IF(A105="YES", (B40*B105)*B125, 0)*0.1</f>
        <v>63.3996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973.410016666667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1853.6900786541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1541.1264167345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2342.51670794959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2192.66310794959</v>
      </c>
      <c r="B177" s="355" t="n">
        <f aca="false">IF(A105="YES", B89, 0)</f>
        <v>149.8536</v>
      </c>
      <c r="C177" s="357"/>
      <c r="D177" s="355" t="n">
        <f aca="false">B91</f>
        <v>2342.51670794959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2192.66310794959</v>
      </c>
      <c r="C180" s="353"/>
      <c r="D180" s="103" t="n">
        <f aca="false">IF(A105="YES", B89*B57, 0)</f>
        <v>149.8536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2342.51670794959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2192.66310794959</v>
      </c>
      <c r="B186" s="103" t="n">
        <f aca="false">IF(A105="YES", B89, 0)</f>
        <v>149.8536</v>
      </c>
      <c r="C186" s="353"/>
      <c r="D186" s="103" t="n">
        <f aca="false">B91</f>
        <v>2342.51670794959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410.01875</v>
      </c>
      <c r="B197" s="103" t="n">
        <f aca="false">B102</f>
        <v>400</v>
      </c>
      <c r="C197" s="103"/>
      <c r="D197" s="103" t="n">
        <f aca="false">IF(A105="YES", (B40*B105)*B125, 0)*0.1</f>
        <v>63.3996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973.410016666667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4896.10625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410.01875</v>
      </c>
      <c r="C211" s="320" t="s">
        <v>217</v>
      </c>
      <c r="D211" s="370" t="n">
        <f aca="false">B225+E221+B221+B223</f>
        <v>973.987666666667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5460.07516666667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4896.10625</v>
      </c>
      <c r="C217" s="375" t="s">
        <v>221</v>
      </c>
      <c r="D217" s="317"/>
      <c r="E217" s="376" t="n">
        <f aca="false">B66</f>
        <v>0.00708333333333333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410.01875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5460.07516666667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633.996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259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338.14351955161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16745.0</v>
      </c>
      <c r="C3" s="498" t="n">
        <v>0.0</v>
      </c>
      <c r="D3" s="263" t="n">
        <v>0.0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290.0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2970.0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405.9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1096.14531573757</v>
      </c>
      <c r="E33" s="216"/>
      <c r="F33" s="63"/>
      <c r="G33" s="219" t="s">
        <v>354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1056.72392684868</v>
      </c>
      <c r="B36" s="103" t="n">
        <f aca="false">IF(B26="YES", H42, "")</f>
        <v>39.4213888888889</v>
      </c>
      <c r="C36" s="221"/>
      <c r="D36" s="184" t="n">
        <f aca="false">H31</f>
        <v>27450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58265.8591566767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27450</v>
      </c>
      <c r="B40" s="107" t="n">
        <f aca="false">IF(B26="YES",H42,"0")</f>
        <v>39.4213888888889</v>
      </c>
      <c r="C40" s="107"/>
      <c r="D40" s="184" t="n">
        <f aca="false">I32</f>
        <v>1419.17</v>
      </c>
      <c r="E40" s="216"/>
      <c r="F40" s="63"/>
      <c r="G40" s="63" t="s">
        <v>106</v>
      </c>
      <c r="H40" s="238" t="n">
        <f aca="false">A40/1.2</f>
        <v>22875</v>
      </c>
      <c r="I40" s="238" t="n">
        <f aca="false">H39-I39</f>
        <v>-9328.35915667672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39.4213888888889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16496.0046746076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32441.4953253924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1056.72392684868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1096.14531573757</v>
      </c>
      <c r="I48" s="238" t="n">
        <f aca="false">I49-H42</f>
        <v>1360.57861111111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1096.14531573757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27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6077.925</v>
      </c>
      <c r="C64" s="465" t="n">
        <v>10000.0</v>
      </c>
      <c r="D64" s="291" t="n">
        <f aca="false">B64</f>
        <v>6077.925</v>
      </c>
      <c r="E64" s="466" t="n">
        <f aca="false">D64/(B58+B57)</f>
        <v>168.83125</v>
      </c>
      <c r="F64" s="63"/>
      <c r="G64" s="285" t="s">
        <v>90</v>
      </c>
      <c r="H64" s="133" t="n">
        <f aca="false">H61*H63</f>
        <v>6077.925</v>
      </c>
      <c r="I64" s="215"/>
      <c r="J64" s="291" t="n">
        <f aca="false">H64-G145</f>
        <v>6077.925</v>
      </c>
      <c r="K64" s="216"/>
      <c r="L64" s="63"/>
      <c r="M64" s="285" t="s">
        <v>90</v>
      </c>
      <c r="N64" s="133" t="n">
        <f aca="false">N61*N63</f>
        <v>6077.925</v>
      </c>
      <c r="O64" s="215"/>
      <c r="P64" s="291" t="n">
        <f aca="false">N64-M145</f>
        <v>6077.925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E15*B66</f>
        <v>578.85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964.75</v>
      </c>
      <c r="I67" s="215"/>
      <c r="J67" s="291"/>
      <c r="K67" s="216"/>
      <c r="L67" s="63"/>
      <c r="M67" s="285" t="s">
        <v>93</v>
      </c>
      <c r="N67" s="133" t="n">
        <f aca="false">(N61*N66)/1.2</f>
        <v>964.75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1145.83333333333</v>
      </c>
      <c r="C76" s="215"/>
      <c r="D76" s="291" t="n">
        <f aca="false">B76</f>
        <v>1145.83333333333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51.8842592592593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8612.425</v>
      </c>
      <c r="C81" s="473"/>
      <c r="D81" s="474"/>
      <c r="E81" s="466"/>
      <c r="F81" s="63"/>
      <c r="G81" s="303" t="s">
        <v>102</v>
      </c>
      <c r="H81" s="304" t="n">
        <f aca="false">SUM(J64:J80)</f>
        <v>7143.675</v>
      </c>
      <c r="I81" s="215"/>
      <c r="J81" s="215"/>
      <c r="K81" s="216"/>
      <c r="L81" s="63"/>
      <c r="M81" s="303" t="s">
        <v>102</v>
      </c>
      <c r="N81" s="304" t="n">
        <f aca="false">SUM(P64:P80)</f>
        <v>6799.925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239.234027777778</v>
      </c>
      <c r="C82" s="473"/>
      <c r="D82" s="215"/>
      <c r="E82" s="466"/>
      <c r="F82" s="63"/>
      <c r="G82" s="214" t="s">
        <v>103</v>
      </c>
      <c r="H82" s="300" t="n">
        <f aca="false">H81/H29</f>
        <v>198.435416666667</v>
      </c>
      <c r="I82" s="215"/>
      <c r="J82" s="215"/>
      <c r="K82" s="216"/>
      <c r="L82" s="63"/>
      <c r="M82" s="214" t="s">
        <v>103</v>
      </c>
      <c r="N82" s="300" t="n">
        <f aca="false">N81/H29</f>
        <v>188.886805555556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1056.72392684868</v>
      </c>
      <c r="C83" s="473"/>
      <c r="D83" s="215"/>
      <c r="E83" s="466" t="n">
        <f aca="false">B83+E80+E77+E64</f>
        <v>1289.78511512028</v>
      </c>
      <c r="F83" s="63"/>
      <c r="G83" s="305" t="s">
        <v>104</v>
      </c>
      <c r="H83" s="306" t="n">
        <f aca="false">H47</f>
        <v>1056.72392684868</v>
      </c>
      <c r="I83" s="215"/>
      <c r="J83" s="215"/>
      <c r="K83" s="216"/>
      <c r="L83" s="63"/>
      <c r="M83" s="305" t="s">
        <v>104</v>
      </c>
      <c r="N83" s="306" t="n">
        <f aca="false">H47</f>
        <v>1056.72392684868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46654.4863665525</v>
      </c>
      <c r="C85" s="473"/>
      <c r="D85" s="473"/>
      <c r="E85" s="466" t="n">
        <f aca="false">B85/(B58+B57)</f>
        <v>1295.95795462646</v>
      </c>
      <c r="F85" s="63"/>
      <c r="G85" s="288" t="s">
        <v>114</v>
      </c>
      <c r="H85" s="131" t="n">
        <f aca="false">((H83*H29)+H81)*1.2</f>
        <v>54222.883639863</v>
      </c>
      <c r="I85" s="215"/>
      <c r="J85" s="215"/>
      <c r="K85" s="216"/>
      <c r="L85" s="63"/>
      <c r="M85" s="288" t="s">
        <v>114</v>
      </c>
      <c r="N85" s="131" t="n">
        <f aca="false">((N83*H29)+N81)</f>
        <v>44841.9863665525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395.217512584753</v>
      </c>
      <c r="C86" s="473" t="s">
        <v>230</v>
      </c>
      <c r="D86" s="215"/>
      <c r="E86" s="466" t="n">
        <f aca="false">B86/(B58+B57)</f>
        <v>10.9782642384654</v>
      </c>
      <c r="F86" s="63"/>
      <c r="G86" s="214" t="s">
        <v>115</v>
      </c>
      <c r="H86" s="300" t="n">
        <f aca="false">((((H83*H29)+H81))/(1-H70))*H70</f>
        <v>382.775499676322</v>
      </c>
      <c r="I86" s="215"/>
      <c r="J86" s="215"/>
      <c r="K86" s="216"/>
      <c r="L86" s="63"/>
      <c r="M86" s="214" t="s">
        <v>115</v>
      </c>
      <c r="N86" s="300" t="n">
        <f aca="false">(N85/(1-N70))*N70</f>
        <v>379.863539208391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47049.7038791372</v>
      </c>
      <c r="C87" s="473"/>
      <c r="D87" s="475"/>
      <c r="E87" s="466" t="n">
        <f aca="false">E86+E85</f>
        <v>1306.93621886492</v>
      </c>
      <c r="F87" s="63"/>
      <c r="G87" s="285" t="s">
        <v>116</v>
      </c>
      <c r="H87" s="133" t="n">
        <f aca="false">IF(H110="YES",((H85+H86)-K114),(H85+H86))</f>
        <v>54605.6591395393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45221.8499057609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51.2478055555556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49.8440195121951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41.5366829268293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1306.93621886492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1331.84534486681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1102.971948921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1358.18402442048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1381.68936437901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1144.50863184783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386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1331.84534486681</v>
      </c>
      <c r="H127" s="177" t="n">
        <f aca="false">IF(G105="YES", H89*H57, 0)</f>
        <v>299.064117073171</v>
      </c>
      <c r="I127" s="177"/>
      <c r="J127" s="334" t="n">
        <f aca="false">H91</f>
        <v>1381.68936437901</v>
      </c>
      <c r="K127" s="216"/>
      <c r="L127" s="63"/>
      <c r="M127" s="333" t="n">
        <f aca="false">N90</f>
        <v>1102.971948921</v>
      </c>
      <c r="N127" s="177" t="n">
        <f aca="false">IF(M105="YES", N89*N57, 0)</f>
        <v>249.220097560976</v>
      </c>
      <c r="O127" s="177"/>
      <c r="P127" s="177" t="n">
        <f aca="false">N91</f>
        <v>1144.50863184783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1306.93621886492</v>
      </c>
      <c r="B128" s="321" t="n">
        <f aca="false">IF(A105="YES", B89, 0)</f>
        <v>51.2478055555556</v>
      </c>
      <c r="C128" s="325"/>
      <c r="D128" s="321" t="n">
        <f aca="false">B91</f>
        <v>1358.18402442048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27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27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11762.4259697843</v>
      </c>
      <c r="C131" s="317"/>
      <c r="D131" s="38" t="n">
        <f aca="false">IF(A105="YES", B89*B57, 0)</f>
        <v>461.23025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7991.07206920087</v>
      </c>
      <c r="H133" s="103" t="n">
        <f aca="false">IF(G105="YES", H89*H57, 0)</f>
        <v>299.064117073171</v>
      </c>
      <c r="I133" s="221"/>
      <c r="J133" s="184" t="n">
        <f aca="false">H91*H57</f>
        <v>8290.13618627404</v>
      </c>
      <c r="K133" s="216"/>
      <c r="L133" s="63"/>
      <c r="M133" s="185" t="n">
        <f aca="false">N90*N57</f>
        <v>6617.83169352598</v>
      </c>
      <c r="N133" s="103" t="n">
        <f aca="false">IF(M105="YES", N89*N57, 0)</f>
        <v>249.220097560976</v>
      </c>
      <c r="O133" s="221"/>
      <c r="P133" s="184" t="n">
        <f aca="false">N91*N57</f>
        <v>6867.05179108696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12223.6562197843</v>
      </c>
      <c r="B134" s="38" t="n">
        <f aca="false">E114</f>
        <v>4000</v>
      </c>
      <c r="C134" s="317"/>
      <c r="D134" s="337" t="n">
        <f aca="false">B58</f>
        <v>27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1306.93621886492</v>
      </c>
      <c r="B137" s="38" t="n">
        <f aca="false">IF(A105="YES", B89, 0)</f>
        <v>51.2478055555556</v>
      </c>
      <c r="C137" s="317"/>
      <c r="D137" s="38" t="n">
        <f aca="false">B91</f>
        <v>1358.18402442048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964.75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964.75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28.3834</v>
      </c>
      <c r="H142" s="103" t="n">
        <f aca="false">G102-100</f>
        <v>99.99</v>
      </c>
      <c r="I142" s="103"/>
      <c r="J142" s="103" t="n">
        <f aca="false">(H139+J139+G142+H142)-H145</f>
        <v>1093.1234</v>
      </c>
      <c r="K142" s="105"/>
      <c r="L142" s="63"/>
      <c r="M142" s="111" t="n">
        <f aca="false">IF(M105="YES", ((B36*N105)*0.1)*(M130), 0)</f>
        <v>28.3834</v>
      </c>
      <c r="N142" s="103" t="n">
        <f aca="false">M102-100</f>
        <v>99.99</v>
      </c>
      <c r="O142" s="103"/>
      <c r="P142" s="103" t="n">
        <f aca="false">(N139+P139+M142+N142)-N145</f>
        <v>1093.1234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103" t="n">
        <f aca="false">B102</f>
        <v>400</v>
      </c>
      <c r="C148" s="38"/>
      <c r="D148" s="38" t="n">
        <f aca="false">IF(A105="YES", (B40*B105)*B125, 0)*0.1</f>
        <v>42.5751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1121.4151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1381.68936437901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1144.50863184783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1358.18402442048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1306.93621886492</v>
      </c>
      <c r="B177" s="355" t="n">
        <f aca="false">IF(A105="YES", B89, 0)</f>
        <v>51.2478055555556</v>
      </c>
      <c r="C177" s="357"/>
      <c r="D177" s="355" t="n">
        <f aca="false">B91</f>
        <v>1358.18402442048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Terminal pause with 9 down</v>
      </c>
      <c r="B180" s="103" t="n">
        <f aca="false">B90*B57</f>
        <v>11762.4259697843</v>
      </c>
      <c r="C180" s="353"/>
      <c r="D180" s="103" t="n">
        <f aca="false">IF(A105="YES", B89*B57, 0)</f>
        <v>461.23025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12223.6562197843</v>
      </c>
      <c r="B183" s="103" t="n">
        <f aca="false">E114</f>
        <v>4000</v>
      </c>
      <c r="C183" s="353"/>
      <c r="D183" s="361" t="n">
        <f aca="false">B58</f>
        <v>27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1306.93621886492</v>
      </c>
      <c r="B186" s="103" t="n">
        <f aca="false">IF(A105="YES", B89, 0)</f>
        <v>51.2478055555556</v>
      </c>
      <c r="C186" s="353"/>
      <c r="D186" s="103" t="n">
        <f aca="false">B91</f>
        <v>1358.18402442048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578.85</v>
      </c>
      <c r="B197" s="103" t="n">
        <f aca="false">B102</f>
        <v>400</v>
      </c>
      <c r="C197" s="103"/>
      <c r="D197" s="103" t="n">
        <f aca="false">IF(A105="YES", (B40*B105)*B125, 0)*0.1</f>
        <v>42.5751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1121.4151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6077.925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765.741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6264.816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6077.925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6264.816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425.751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395.217512584753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258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385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275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287</v>
      </c>
      <c r="B105" s="312" t="s">
        <v>268</v>
      </c>
      <c r="C105" s="312"/>
      <c r="D105" s="421" t="n">
        <v>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345</v>
      </c>
      <c r="B135" s="328" t="s">
        <v>253</v>
      </c>
      <c r="C135" s="328"/>
      <c r="D135" s="328" t="s">
        <v>119</v>
      </c>
      <c r="E135" s="216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346</v>
      </c>
      <c r="B138" s="215" t="s">
        <v>242</v>
      </c>
      <c r="C138" s="215"/>
      <c r="D138" s="215" t="s">
        <v>246</v>
      </c>
      <c r="E138" s="216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255</v>
      </c>
      <c r="B141" s="215" t="s">
        <v>256</v>
      </c>
      <c r="C141" s="215"/>
      <c r="D141" s="215" t="s">
        <v>260</v>
      </c>
      <c r="E141" s="216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313</v>
      </c>
      <c r="C144" s="215"/>
      <c r="D144" s="215" t="s">
        <v>314</v>
      </c>
      <c r="E144" s="216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316</v>
      </c>
      <c r="B147" s="215" t="s">
        <v>317</v>
      </c>
      <c r="C147" s="215"/>
      <c r="D147" s="215" t="s">
        <v>318</v>
      </c>
      <c r="E147" s="216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320</v>
      </c>
      <c r="B150" s="215" t="s">
        <v>321</v>
      </c>
      <c r="C150" s="215"/>
      <c r="D150" s="215"/>
      <c r="E150" s="216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326</v>
      </c>
      <c r="B154" s="215"/>
      <c r="C154" s="215"/>
      <c r="D154" s="282"/>
      <c r="E154" s="283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25040.004</v>
      </c>
      <c r="C61" s="215"/>
      <c r="D61" s="215"/>
      <c r="E61" s="216"/>
      <c r="F61" s="63"/>
      <c r="G61" s="214" t="s">
        <v>14</v>
      </c>
      <c r="H61" s="291" t="n">
        <f aca="false">G18</f>
        <v>25040.004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1752.80028</v>
      </c>
      <c r="C64" s="215" t="n">
        <v>10000</v>
      </c>
      <c r="D64" s="291" t="n">
        <f aca="false">B64</f>
        <v>1752.80028</v>
      </c>
      <c r="E64" s="216"/>
      <c r="F64" s="63"/>
      <c r="G64" s="285" t="s">
        <v>90</v>
      </c>
      <c r="H64" s="133" t="n">
        <f aca="false">H61*H63</f>
        <v>1752.80028</v>
      </c>
      <c r="I64" s="215"/>
      <c r="J64" s="291" t="n">
        <f aca="false">H64</f>
        <v>1752.80028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125.20002</v>
      </c>
      <c r="C67" s="215"/>
      <c r="D67" s="291"/>
      <c r="E67" s="216"/>
      <c r="F67" s="63"/>
      <c r="G67" s="285" t="s">
        <v>93</v>
      </c>
      <c r="H67" s="133" t="n">
        <f aca="false">H61*H66</f>
        <v>125.20002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3033.46694666667</v>
      </c>
      <c r="C81" s="215"/>
      <c r="D81" s="215"/>
      <c r="E81" s="216"/>
      <c r="F81" s="63"/>
      <c r="G81" s="303" t="s">
        <v>102</v>
      </c>
      <c r="H81" s="304" t="n">
        <f aca="false">SUM(J64:J80)</f>
        <v>3379.30028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252.788912222222</v>
      </c>
      <c r="C82" s="215"/>
      <c r="D82" s="215"/>
      <c r="E82" s="216"/>
      <c r="F82" s="63"/>
      <c r="G82" s="214" t="s">
        <v>103</v>
      </c>
      <c r="H82" s="300" t="n">
        <f aca="false">H81/H29</f>
        <v>281.608356666667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10854.560336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11269.560336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76.6255772004841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79.5551859136749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10931.1859132005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11249.1255219137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910.932159433374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937.427126826139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910.932159433374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937.427126826139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0.0</v>
      </c>
      <c r="C102" s="107"/>
      <c r="D102" s="107" t="n">
        <v>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398</v>
      </c>
      <c r="B105" s="312" t="n">
        <v>20.0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910.932159433374</v>
      </c>
      <c r="B128" s="321" t="n">
        <f aca="false">IF(A105="YES", B89, 0)</f>
        <v>0</v>
      </c>
      <c r="C128" s="326"/>
      <c r="D128" s="321" t="n">
        <f aca="false">B91</f>
        <v>910.932159433374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937.427126826139</v>
      </c>
      <c r="H130" s="177" t="n">
        <f aca="false">IF(G105="YES", H89*H57, 0)</f>
        <v>0</v>
      </c>
      <c r="I130" s="177"/>
      <c r="J130" s="334" t="n">
        <f aca="false">H91</f>
        <v>937.427126826139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910.932159433374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937.427126826139</v>
      </c>
      <c r="H133" s="103" t="n">
        <f aca="false">IF(G105="YES", H89*H57, 0)</f>
        <v>0</v>
      </c>
      <c r="I133" s="221"/>
      <c r="J133" s="184" t="n">
        <f aca="false">H91*H57</f>
        <v>937.427126826139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910.932159433374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0.151830024</v>
      </c>
      <c r="H136" s="103" t="n">
        <f aca="false">IF(G105="YES", E15*0.000002, 0)</f>
        <v>0.050610008</v>
      </c>
      <c r="I136" s="103"/>
      <c r="J136" s="103" t="n">
        <f aca="false">G136+H136</f>
        <v>0.202440032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910.932159433374</v>
      </c>
      <c r="B137" s="38" t="n">
        <f aca="false">IF(A105="YES", B89, 0)</f>
        <v>0</v>
      </c>
      <c r="C137" s="317"/>
      <c r="D137" s="38" t="n">
        <f aca="false">B91</f>
        <v>910.932159433374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125.20002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18.02880288</v>
      </c>
      <c r="B140" s="343" t="n">
        <f aca="false">G18*0.000002 *1.2*100</f>
        <v>6.00960096</v>
      </c>
      <c r="C140" s="317"/>
      <c r="D140" s="343" t="n">
        <f aca="false">A140+B140</f>
        <v>24.03840384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1345.18802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125.20002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625.19002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937.427126826139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910.932159433374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910.932159433374</v>
      </c>
      <c r="B171" s="355" t="n">
        <f aca="false">IF(A105="YES", B89, 0)</f>
        <v>0</v>
      </c>
      <c r="C171" s="358"/>
      <c r="D171" s="355" t="n">
        <f aca="false">B91</f>
        <v>910.932159433374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910.932159433374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910.932159433374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910.932159433374</v>
      </c>
      <c r="B180" s="103" t="n">
        <f aca="false">IF(A105="YES", B89, 0)</f>
        <v>0</v>
      </c>
      <c r="C180" s="353"/>
      <c r="D180" s="103" t="n">
        <f aca="false">B91</f>
        <v>910.932159433374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18.02880288</v>
      </c>
      <c r="B183" s="365" t="n">
        <f aca="false">G18*0.000002 *1.2*100</f>
        <v>6.00960096</v>
      </c>
      <c r="C183" s="353"/>
      <c r="D183" s="365" t="n">
        <f aca="false">A183+B183</f>
        <v>24.03840384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125.20002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625.19002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1752.80028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125.20002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1967.59026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1752.80028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125.20002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1967.59026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76.6255772004841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11344.6166666667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11440.7187037784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953.393225314867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1013.39322531487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398</v>
      </c>
      <c r="B105" s="312" t="n">
        <v>20.0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953.393225314867</v>
      </c>
      <c r="B128" s="321" t="n">
        <f aca="false">IF(A105="YES", B89, 0)</f>
        <v>60</v>
      </c>
      <c r="C128" s="326"/>
      <c r="D128" s="321" t="n">
        <f aca="false">B91</f>
        <v>1013.39322531487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953.393225314867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1013.39322531487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953.393225314867</v>
      </c>
      <c r="B137" s="38" t="n">
        <f aca="false">IF(A105="YES", B89, 0)</f>
        <v>60</v>
      </c>
      <c r="C137" s="317"/>
      <c r="D137" s="38" t="n">
        <f aca="false">B91</f>
        <v>1013.39322531487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1013.39322531487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953.393225314867</v>
      </c>
      <c r="B171" s="355" t="n">
        <f aca="false">IF(A105="YES", B89, 0)</f>
        <v>60</v>
      </c>
      <c r="C171" s="358"/>
      <c r="D171" s="355" t="n">
        <f aca="false">B91</f>
        <v>1013.39322531487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953.393225314867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1013.39322531487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953.393225314867</v>
      </c>
      <c r="B180" s="103" t="n">
        <f aca="false">IF(A105="YES", B89, 0)</f>
        <v>60</v>
      </c>
      <c r="C180" s="353"/>
      <c r="D180" s="103" t="n">
        <f aca="false">B91</f>
        <v>1013.39322531487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801.415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4222.515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4927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2023-08-03T18:39:17Z</dcterms:modified>
  <cp:revision>870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