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CP (Formula 3) - PCH" sheetId="1" state="visible" r:id="rId2"/>
    <sheet name="CP (Formula 3) - BCH" sheetId="2" state="visible" r:id="rId3"/>
    <sheet name="HPNR (Formula 3) - 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HPNR" sheetId="10" state="visible" r:id="rId11"/>
    <sheet name="HirePurchaseNonRegulated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BCH (Formula 3) - P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ormula1-BCH" sheetId="21" state="visible" r:id="rId22"/>
    <sheet name="FL (Formula 3) - BCH, PCH, FL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<sst xmlns="http://schemas.openxmlformats.org/spreadsheetml/2006/main" count="9374" uniqueCount="315">
  <si>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</si>
  <si>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</si>
  <si>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</si>
  <si>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</si>
  <si>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</si>
  <si>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</si>
  <si>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</si>
  <si>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</si>
  <si>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</si>
  <si>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</si>
  <si>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</si>
  <si>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</si>
  <si>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</si>
  <si>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</si>
  <si>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</si>
  <si>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</si>
  <si>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</si>
  <si>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</si>
  <si>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</si>
  <si>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</si>
  <si>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</si>
  <si>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</si>
  <si>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</si>
  <si>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</si>
  <si>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</si>
  <si>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</si>
  <si>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</si>
  <si>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</si>
  <si>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</si>
  <si>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</si>
  <si>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</si>
  <si>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</si>
  <si>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</si>
  <si>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</si>
  <si>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</si>
  <si>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</si>
  <si>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</si>
  <si>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</si>
  <si>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</si>
  <si>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</si>
  <si>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</si>
  <si>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</si>
  <si>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</si>
  <si>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</si>
  <si>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12</t>
  </si>
  <si>
    <t xml:space="preserve">5000</t>
  </si>
  <si>
    <t xml:space="preserve">Maintenance Cost (SMR) Annual Value</t>
  </si>
  <si>
    <t xml:space="preserve">Cash deposit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</si>
  <si>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</si>
  <si>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</si>
  <si>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</si>
  <si>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</si>
  <si>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</si>
  <si>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</si>
  <si>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</si>
  <si>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</si>
  <si>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</si>
  <si>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</si>
  <si>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</si>
  <si>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</si>
  <si>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</si>
  <si>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</si>
  <si>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</si>
  <si>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</si>
  <si>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</si>
  <si>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</si>
  <si>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</si>
  <si>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</si>
  <si>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</si>
  <si>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</si>
  <si>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</si>
  <si>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</si>
  <si>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</si>
  <si>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</si>
  <si>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</si>
  <si>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</si>
  <si>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</si>
  <si>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</si>
  <si>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</si>
  <si>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</si>
  <si>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without maintenance Holding cost</t>
  </si>
  <si>
    <t xml:space="preserve">Term (months)</t>
  </si>
  <si>
    <t xml:space="preserve">Mileage per annum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</si>
  <si>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</si>
  <si>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</si>
  <si>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</si>
  <si>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</si>
  <si>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</si>
  <si>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</si>
  <si>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</si>
  <si>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</si>
  <si>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</si>
  <si>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</si>
  <si>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</si>
  <si>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</si>
  <si>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</si>
  <si>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</si>
  <si>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</si>
  <si>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</si>
  <si>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</si>
  <si>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</si>
  <si>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</si>
  <si>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</si>
  <si>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</si>
  <si>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</si>
  <si>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</si>
  <si>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</si>
  <si>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</si>
  <si>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</si>
  <si>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</si>
  <si>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</si>
  <si>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</si>
  <si>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</si>
  <si>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</si>
  <si>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</si>
  <si>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</si>
  <si>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</si>
  <si>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</si>
  <si>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</si>
  <si>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</si>
  <si>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</si>
  <si>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</si>
  <si>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</si>
  <si>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</si>
  <si>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</si>
  <si>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</si>
  <si>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</si>
  <si>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</si>
  <si>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</si>
  <si>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</si>
  <si>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</si>
  <si>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</si>
  <si>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</si>
  <si>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</si>
  <si>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</si>
  <si>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</si>
  <si>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</si>
  <si>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</si>
  <si>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</si>
  <si>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</si>
  <si>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</si>
  <si>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</si>
  <si>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</si>
  <si>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</si>
  <si>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</si>
  <si>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</si>
  <si>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</si>
  <si>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</si>
  <si>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</si>
  <si>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</si>
  <si>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</si>
  <si>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</si>
  <si>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</si>
  <si>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</si>
  <si>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</si>
  <si>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</si>
  <si>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</si>
  <si>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</si>
  <si>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</si>
  <si>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</si>
  <si>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</si>
  <si>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</si>
  <si>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</si>
  <si>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</si>
  <si>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</si>
  <si>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</si>
  <si>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</si>
  <si>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</si>
  <si>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</si>
  <si>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</si>
  <si>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</si>
  <si>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</si>
  <si>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</si>
  <si>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</si>
  <si>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</si>
  <si>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</si>
  <si>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</si>
  <si>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</si>
  <si>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</si>
  <si>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</si>
  <si>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</si>
  <si>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</si>
  <si>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Document Fee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</si>
  <si>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</si>
  <si>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</si>
  <si>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</si>
  <si>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</si>
  <si>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</si>
  <si>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</si>
  <si>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</si>
  <si>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</si>
  <si>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</si>
  <si>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</si>
  <si>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</si>
  <si>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</si>
  <si>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</si>
  <si>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</si>
  <si>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</si>
  <si>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</si>
  <si>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</si>
  <si>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Monthly maint. Payment</t>
  </si>
  <si>
    <t xml:space="preserve">Pence per excess mile - maint</t>
  </si>
  <si>
    <t xml:space="preserve">Pence per excess mile - total</t>
  </si>
  <si>
    <t xml:space="preserve">% CAP residual value used</t>
  </si>
  <si>
    <t xml:space="preserve">% CAP maintenance cost used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</si>
  <si>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</si>
  <si>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</si>
  <si>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</si>
  <si>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</si>
  <si>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</si>
  <si>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</si>
  <si>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</si>
  <si>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</si>
  <si>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</si>
  <si>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</si>
  <si>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</si>
  <si>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</si>
  <si>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</si>
  <si>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</si>
  <si>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</si>
  <si>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</si>
  <si>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</si>
  <si>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</si>
  <si>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</si>
  <si>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</si>
  <si>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</si>
  <si>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</si>
  <si>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</si>
  <si>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</si>
  <si>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</si>
  <si>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</si>
  <si>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</si>
  <si>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</si>
  <si>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</si>
  <si>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</si>
  <si>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</si>
  <si>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</si>
  <si>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</si>
  <si>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</si>
  <si>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</si>
  <si>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</si>
  <si>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</si>
  <si>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</si>
  <si>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</si>
  <si>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</si>
  <si>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</si>
  <si>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</si>
  <si>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</si>
  <si>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</si>
  <si>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</si>
  <si>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</si>
  <si>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</si>
  <si>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</si>
  <si>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</si>
  <si>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</si>
  <si>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</si>
  <si>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</si>
  <si>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</si>
  <si>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</si>
  <si>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</si>
  <si>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</si>
  <si>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</si>
  <si>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</si>
  <si>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</si>
  <si>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</si>
  <si>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</si>
  <si>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</si>
  <si>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</si>
  <si>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TOTAL CASH PURCHASE</t>
  </si>
  <si>
    <t xml:space="preserve">48877.50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</si>
  <si>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</si>
  <si>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</si>
  <si>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</si>
  <si>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</si>
  <si>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199.99</t>
  </si>
  <si>
    <t xml:space="preserve">Hire purchase – Regulated</t>
  </si>
  <si>
    <t xml:space="preserve">5.28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</si>
  <si>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</si>
  <si>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</si>
  <si>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</si>
  <si>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</si>
  <si>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</si>
  <si>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</si>
  <si>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</si>
  <si>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</si>
  <si>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</si>
  <si>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</si>
  <si>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</si>
  <si>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</si>
  <si>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</si>
  <si>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</si>
  <si>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</si>
  <si>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</si>
  <si>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</si>
  <si>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</si>
  <si>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</si>
  <si>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</si>
  <si>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A1 Credit</t>
  </si>
  <si>
    <t xml:space="preserve">60</t>
  </si>
  <si>
    <t xml:space="preserve">2</t>
  </si>
  <si>
    <t xml:space="preserve">1</t>
  </si>
  <si>
    <t xml:space="preserve">Customer Quote – Finance Lease</t>
  </si>
  <si>
    <t xml:space="preserve">Upload document</t>
  </si>
  <si>
    <t xml:space="preserve">`</t>
  </si>
  <si>
    <t xml:space="preserve">239.99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</si>
  <si>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</si>
  <si>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</si>
  <si>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</si>
  <si>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</si>
  <si>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Default broker margin</t>
  </si>
  <si>
    <t xml:space="preserve">Total tracker cost</t>
  </si>
  <si>
    <t xml:space="preserve">Contingency insurance value</t>
  </si>
  <si>
    <t xml:space="preserve">Select Caste</t>
  </si>
  <si>
    <t xml:space="preserve">Referrer commission (Ex. VAT)</t>
  </si>
  <si>
    <t xml:space="preserve">RFL included?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</si>
</sst>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0%"/>
    <numFmt numFmtId="169" formatCode="0.00"/>
    <numFmt numFmtId="170" formatCode="General"/>
    <numFmt numFmtId="171" formatCode="#,##0.00"/>
    <numFmt numFmtId="172" formatCode="#,##0.0000000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sz val="14"/>
      <color rgb="FFC9211E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2A6099"/>
        <bgColor rgb="FF666699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81D41A"/>
        <bgColor rgb="FF70AD47"/>
      </patternFill>
    </fill>
    <fill>
      <patternFill patternType="solid">
        <fgColor rgb="FFAFD095"/>
        <bgColor rgb="FFA9D18E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A8D08D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B111" activeCellId="0" sqref="B111"/>
    </sheetView>
  </sheetViews>
  <sheetFormatPr defaultColWidth="10.8476562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44926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44</v>
      </c>
      <c r="B34" s="48" t="s">
        <v>47</v>
      </c>
      <c r="C34" s="45" t="s">
        <v>45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63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69</v>
      </c>
      <c r="B44" s="42" t="s">
        <v>70</v>
      </c>
      <c r="C44" s="42"/>
      <c r="D44" s="42" t="s">
        <v>70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((B89*H29)+B87)*1.2</f>
        <v>2567.74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2585.86644211376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IF(B105=Z104,(((H41*A32)+(H41*A32)*(B111/100))/(B64)),(((H41*A32)+(H41*A32)*(B111/100))/(B63+B64)))*1.2</f>
        <v>60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215.488870176146</v>
      </c>
      <c r="C96" s="13"/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215.488870176146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121</v>
      </c>
      <c r="C105" s="109"/>
      <c r="D105" s="110" t="n">
        <v>1000</v>
      </c>
      <c r="E105" s="110"/>
      <c r="F105" s="2"/>
      <c r="G105" s="34" t="s">
        <v>122</v>
      </c>
      <c r="H105" s="109" t="s">
        <v>123</v>
      </c>
      <c r="I105" s="109"/>
      <c r="J105" s="110" t="n">
        <v>5000</v>
      </c>
      <c r="K105" s="110"/>
      <c r="L105" s="2"/>
      <c r="M105" s="34" t="s">
        <v>122</v>
      </c>
      <c r="N105" s="109" t="s">
        <v>124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26</v>
      </c>
      <c r="B111" s="109" t="n">
        <v>20</v>
      </c>
      <c r="C111" s="109"/>
      <c r="D111" s="112" t="s">
        <v>135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25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11" t="n">
        <v>10000</v>
      </c>
      <c r="E118" s="112" t="n">
        <v>6000</v>
      </c>
      <c r="F118" s="2"/>
      <c r="G118" s="6" t="s">
        <v>140</v>
      </c>
      <c r="H118" s="13"/>
      <c r="I118" s="13"/>
      <c r="J118" s="111" t="n">
        <v>10000</v>
      </c>
      <c r="K118" s="112" t="n">
        <v>5000</v>
      </c>
      <c r="L118" s="2"/>
      <c r="M118" s="6" t="s">
        <v>140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4" t="n">
        <f aca="false">E119</f>
        <v>2000</v>
      </c>
      <c r="E119" s="112" t="n">
        <v>2000</v>
      </c>
      <c r="F119" s="2"/>
      <c r="G119" s="6" t="s">
        <v>141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141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142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142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4" t="n">
        <f aca="false">D120-E120</f>
        <v>4000</v>
      </c>
      <c r="E121" s="14"/>
      <c r="F121" s="2"/>
      <c r="G121" s="6" t="s">
        <v>143</v>
      </c>
      <c r="H121" s="13"/>
      <c r="I121" s="13"/>
      <c r="J121" s="114" t="n">
        <f aca="false">J120-K120</f>
        <v>5000</v>
      </c>
      <c r="K121" s="14"/>
      <c r="L121" s="2"/>
      <c r="M121" s="6" t="s">
        <v>143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144</v>
      </c>
      <c r="B123" s="80"/>
      <c r="C123" s="80"/>
      <c r="D123" s="80"/>
      <c r="E123" s="102" t="n">
        <f aca="false">D105</f>
        <v>1000</v>
      </c>
      <c r="F123" s="2"/>
      <c r="G123" s="79" t="s">
        <v>144</v>
      </c>
      <c r="H123" s="80"/>
      <c r="I123" s="80"/>
      <c r="J123" s="80"/>
      <c r="K123" s="102" t="n">
        <f aca="false">J105</f>
        <v>5000</v>
      </c>
      <c r="L123" s="2"/>
      <c r="M123" s="79" t="s">
        <v>144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239.99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145</v>
      </c>
      <c r="B125" s="77"/>
      <c r="C125" s="77"/>
      <c r="D125" s="77"/>
      <c r="E125" s="84" t="n">
        <f aca="false">(E124+E123)-E120</f>
        <v>-2760.01</v>
      </c>
      <c r="F125" s="2"/>
      <c r="G125" s="116" t="s">
        <v>145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145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147</v>
      </c>
      <c r="B130" s="117" t="n">
        <v>0</v>
      </c>
      <c r="C130" s="117"/>
      <c r="D130" s="13"/>
      <c r="E130" s="14"/>
      <c r="F130" s="2"/>
      <c r="G130" s="6" t="s">
        <v>147</v>
      </c>
      <c r="H130" s="117" t="n">
        <v>0</v>
      </c>
      <c r="I130" s="117"/>
      <c r="J130" s="13"/>
      <c r="K130" s="14"/>
      <c r="L130" s="2"/>
      <c r="M130" s="6" t="s">
        <v>147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11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11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148</v>
      </c>
      <c r="B135" s="121" t="s">
        <v>149</v>
      </c>
      <c r="C135" s="121"/>
      <c r="D135" s="121" t="s">
        <v>112</v>
      </c>
      <c r="E135" s="14"/>
      <c r="F135" s="2"/>
      <c r="G135" s="120" t="s">
        <v>150</v>
      </c>
      <c r="H135" s="121" t="s">
        <v>151</v>
      </c>
      <c r="I135" s="121"/>
      <c r="J135" s="121" t="s">
        <v>152</v>
      </c>
      <c r="K135" s="14"/>
      <c r="L135" s="2"/>
      <c r="M135" s="120" t="s">
        <v>148</v>
      </c>
      <c r="N135" s="121" t="s">
        <v>149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215.488870176146</v>
      </c>
      <c r="B136" s="123" t="n">
        <f aca="false">IF(A111="YES", B95*B63, 0)</f>
        <v>0</v>
      </c>
      <c r="C136" s="123"/>
      <c r="D136" s="123" t="n">
        <f aca="false">B97</f>
        <v>215.488870176146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154</v>
      </c>
      <c r="C138" s="13"/>
      <c r="D138" s="13" t="s">
        <v>155</v>
      </c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215.488870176146</v>
      </c>
      <c r="B139" s="126" t="n">
        <f aca="false">IF(A111="YES", B95*B63, 0)</f>
        <v>0</v>
      </c>
      <c r="C139" s="127"/>
      <c r="D139" s="128" t="n">
        <f aca="false">B97*B63</f>
        <v>215.488870176146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159</v>
      </c>
      <c r="B141" s="13" t="s">
        <v>160</v>
      </c>
      <c r="C141" s="13"/>
      <c r="D141" s="13" t="s">
        <v>161</v>
      </c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165</v>
      </c>
      <c r="B144" s="13" t="s">
        <v>166</v>
      </c>
      <c r="C144" s="13"/>
      <c r="D144" s="13" t="s">
        <v>167</v>
      </c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239.99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169</v>
      </c>
      <c r="B147" s="13" t="s">
        <v>170</v>
      </c>
      <c r="C147" s="13"/>
      <c r="D147" s="13" t="s">
        <v>171</v>
      </c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139.99</v>
      </c>
      <c r="C148" s="126"/>
      <c r="D148" s="126" t="n">
        <f aca="false">(B145+D145+A148+B148)-B151</f>
        <v>622.365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172</v>
      </c>
      <c r="B150" s="13" t="s">
        <v>173</v>
      </c>
      <c r="C150" s="13"/>
      <c r="D150" s="13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174</v>
      </c>
      <c r="N153" s="114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176</v>
      </c>
      <c r="B154" s="13"/>
      <c r="C154" s="13"/>
      <c r="D154" s="67"/>
      <c r="E154" s="68"/>
      <c r="F154" s="2"/>
      <c r="G154" s="66" t="s">
        <v>176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176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215.488870176146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55466.9696823396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33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 t="n">
        <f aca="false">(B82/((1+B84)^(B85+1)))</f>
        <v>0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27.3675754865307</v>
      </c>
      <c r="C87" s="330" t="n">
        <f aca="false">((1-(1/((1+B84)^B85)))/B84)</f>
        <v>27.3675754865307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47877.5</v>
      </c>
      <c r="C88" s="330" t="n">
        <f aca="false">B81-B86</f>
        <v>47877.5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1749.42424196705</v>
      </c>
      <c r="C89" s="330" t="n">
        <f aca="false">(B88/B87)</f>
        <v>1749.42424196705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57730.9999849127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57730.9999849127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17.0909090909091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1749.42424196705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1766.51515105796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1749.42424196705</v>
      </c>
      <c r="B167" s="213" t="n">
        <f aca="false">B94</f>
        <v>17.0909090909091</v>
      </c>
      <c r="C167" s="360"/>
      <c r="D167" s="360"/>
      <c r="E167" s="213" t="n">
        <f aca="false">B96</f>
        <v>1766.51515105796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1766.51515105796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/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str">
        <f aca="false">IF(B26="YES",K42,"0")</f>
        <v>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(K32/K36)*C45/100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65" t="s">
        <v>291</v>
      </c>
      <c r="B45" s="330"/>
      <c r="C45" s="252" t="s">
        <v>291</v>
      </c>
      <c r="D45" s="252"/>
      <c r="E45" s="25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0.024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9431.52556441513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-756.0974340266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0.01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(G158*B67)</f>
        <v>585.25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B73*K29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30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45468.749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0.089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0.00741666666666667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21076.7652577131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30.7264493562845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37448.2347422869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26865.8831902377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1218.7621911032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927.687248290581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42656.676688612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32469.0536901703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42656.676688612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32469.0536901703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350" t="str">
        <f aca="false">IF(B26="YES",((E40/B85)*(1+A108)),"0")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1218.7621911032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927.687248290581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B94+B95</f>
        <v>1218.7621911032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927.687248290581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0.089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(U121*U122)+U123</f>
        <v>11713.5425</v>
      </c>
      <c r="V124" s="356" t="n">
        <f aca="false">(V121*V122)+V123</f>
        <v>0</v>
      </c>
      <c r="W124" s="202" t="n">
        <f aca="false">(W121*W122)+W123</f>
        <v>0</v>
      </c>
      <c r="X124" s="356" t="n">
        <f aca="false">(X121*X122)+X123</f>
        <v>0</v>
      </c>
      <c r="Y124" s="202" t="n">
        <f aca="false">(Y121*Y122)+Y123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35140.6275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35973.9575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7304.7915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44468.749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44468.749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0</v>
      </c>
      <c r="I148" s="215" t="n">
        <f aca="false">(H148-G81)/1.2</f>
        <v>0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-14056.251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45468.749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1218.7621911032</v>
      </c>
      <c r="B167" s="213" t="str">
        <f aca="false">B94</f>
        <v>0</v>
      </c>
      <c r="C167" s="360"/>
      <c r="D167" s="360"/>
      <c r="E167" s="213" t="n">
        <f aca="false">B96</f>
        <v>1218.7621911032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927.687248290581</v>
      </c>
      <c r="T167" s="213" t="n">
        <f aca="false">T94</f>
        <v>0</v>
      </c>
      <c r="U167" s="360"/>
      <c r="V167" s="360"/>
      <c r="W167" s="213" t="n">
        <f aca="false">T96</f>
        <v>927.687248290581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K29</f>
        <v>36</v>
      </c>
      <c r="B170" s="118" t="n">
        <f aca="false">K30</f>
        <v>10000</v>
      </c>
      <c r="C170" s="361"/>
      <c r="D170" s="235"/>
      <c r="E170" s="60" t="n">
        <f aca="false">IF(A111="YES", 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36523.9575</v>
      </c>
      <c r="T173" s="214" t="n">
        <f aca="false">Z137</f>
        <v>7304.7915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H147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44468.749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45468.749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11631.676688612</v>
      </c>
      <c r="B182" s="214" t="str">
        <f aca="false">B114</f>
        <v>199.99</v>
      </c>
      <c r="C182" s="214"/>
      <c r="D182" s="235"/>
      <c r="E182" s="214" t="n">
        <f aca="false">E179+A182+B182+A185</f>
        <v>70366.6666886121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14500.3046901703</v>
      </c>
      <c r="T182" s="214" t="n">
        <f aca="false">T114</f>
        <v>199.99</v>
      </c>
      <c r="U182" s="214"/>
      <c r="V182" s="235"/>
      <c r="W182" s="214" t="n">
        <f aca="false">W179+S182+T182+S185</f>
        <v>60179.0436901703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585.25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378.906241666667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685.24</v>
      </c>
      <c r="C191" s="330"/>
      <c r="D191" s="330"/>
      <c r="E191" s="214" t="n">
        <f aca="false">H148</f>
        <v>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1478.89624166667</v>
      </c>
      <c r="U191" s="330"/>
      <c r="V191" s="330"/>
      <c r="W191" s="214" t="n">
        <f aca="false">Z148</f>
        <v>-14056.251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1218.7621911032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927.687248290581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J112" activeCellId="0" sqref="J112"/>
    </sheetView>
  </sheetViews>
  <sheetFormatPr defaultColWidth="10.87109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60</v>
      </c>
      <c r="E32" s="158"/>
      <c r="F32" s="134"/>
      <c r="G32" s="159" t="s">
        <v>179</v>
      </c>
      <c r="H32" s="157" t="str">
        <f aca="false">A41</f>
        <v>60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560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298</v>
      </c>
      <c r="B41" s="55" t="n">
        <f aca="false">IF(B38="YES", D38+A41, D38)</f>
        <v>560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299</v>
      </c>
      <c r="E44" s="42"/>
      <c r="F44" s="134"/>
      <c r="G44" s="134" t="s">
        <v>187</v>
      </c>
      <c r="H44" s="164" t="str">
        <f aca="false">H32</f>
        <v>60</v>
      </c>
      <c r="I44" s="62" t="n">
        <f aca="false">((A41*(B35-1))+D32)/B35</f>
        <v>60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560.833333333333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6" t="s">
        <v>300</v>
      </c>
      <c r="C47" s="366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560.833333333333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74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97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98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500.833333333333</v>
      </c>
      <c r="C89" s="144"/>
      <c r="D89" s="144"/>
      <c r="E89" s="145"/>
      <c r="F89" s="134"/>
      <c r="G89" s="200" t="s">
        <v>107</v>
      </c>
      <c r="H89" s="201" t="n">
        <f aca="false">H46</f>
        <v>500.833333333333</v>
      </c>
      <c r="I89" s="144"/>
      <c r="J89" s="144"/>
      <c r="K89" s="145"/>
      <c r="L89" s="134"/>
      <c r="M89" s="200" t="s">
        <v>107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10721.95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108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90.8273295683744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109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10812.7773295684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901.064777464031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973.064777464031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301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117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13" t="n">
        <v>20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901.064777464031</v>
      </c>
      <c r="B136" s="213" t="n">
        <f aca="false">IF(A111="YES", B95*B63, 0)</f>
        <v>72</v>
      </c>
      <c r="C136" s="213"/>
      <c r="D136" s="213" t="n">
        <f aca="false">B97</f>
        <v>973.064777464031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901.064777464031</v>
      </c>
      <c r="B139" s="214" t="n">
        <f aca="false">IF(A111="YES", B95*B63, 0)</f>
        <v>72</v>
      </c>
      <c r="C139" s="154"/>
      <c r="D139" s="128" t="n">
        <f aca="false">B97*B63</f>
        <v>973.064777464031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1440</v>
      </c>
      <c r="B148" s="214" t="n">
        <f aca="false">A108-100</f>
        <v>99.99</v>
      </c>
      <c r="C148" s="214"/>
      <c r="D148" s="214" t="n">
        <f aca="false">(B145+D145+A148+B148)-B151</f>
        <v>2022.365</v>
      </c>
      <c r="E148" s="130"/>
      <c r="F148" s="134"/>
      <c r="G148" s="129" t="n">
        <f aca="false">IF(G111="YES", ((A41*H111)*0.1)*(G133), 0)</f>
        <v>14.4</v>
      </c>
      <c r="H148" s="214" t="n">
        <f aca="false">G108-100</f>
        <v>139.988</v>
      </c>
      <c r="I148" s="214"/>
      <c r="J148" s="214" t="n">
        <f aca="false">(H145+J145+G148+H148)-H151</f>
        <v>1475.5755</v>
      </c>
      <c r="K148" s="130"/>
      <c r="L148" s="134"/>
      <c r="M148" s="129" t="n">
        <f aca="false">IF(M111="YES", ((A41*N111)*0.1)*(M133), 0)</f>
        <v>14.4</v>
      </c>
      <c r="N148" s="214" t="n">
        <f aca="false">M108-100</f>
        <v>99.99</v>
      </c>
      <c r="O148" s="214"/>
      <c r="P148" s="214" t="n">
        <f aca="false">(N145+P145+M148+N148)-N151</f>
        <v>1435.5775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973.064777464031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B95" activeCellId="0" sqref="B95"/>
    </sheetView>
  </sheetViews>
  <sheetFormatPr defaultColWidth="10.87109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6" t="s">
        <v>300</v>
      </c>
      <c r="C47" s="366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75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500.833333333333</v>
      </c>
      <c r="C89" s="144"/>
      <c r="D89" s="144"/>
      <c r="E89" s="145"/>
      <c r="F89" s="134"/>
      <c r="G89" s="200" t="s">
        <v>107</v>
      </c>
      <c r="H89" s="201" t="n">
        <f aca="false">H46</f>
        <v>500.833333333333</v>
      </c>
      <c r="I89" s="144"/>
      <c r="J89" s="144"/>
      <c r="K89" s="145"/>
      <c r="L89" s="134"/>
      <c r="M89" s="200" t="s">
        <v>107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((B89*H29)+B87)*1.2</f>
        <v>12918.34</v>
      </c>
      <c r="C91" s="144"/>
      <c r="D91" s="144"/>
      <c r="E91" s="145"/>
      <c r="F91" s="134"/>
      <c r="G91" s="179" t="s">
        <v>108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108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91.1944130697862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109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13009.5344130698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1084.12786775582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1156.12786775582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117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1084.12786775582</v>
      </c>
      <c r="B136" s="213" t="n">
        <f aca="false">IF(A111="YES", B95*B63, 0)</f>
        <v>72</v>
      </c>
      <c r="C136" s="213"/>
      <c r="D136" s="213" t="n">
        <f aca="false">B97</f>
        <v>1156.12786775582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1084.12786775582</v>
      </c>
      <c r="B139" s="214" t="n">
        <f aca="false">IF(A111="YES", B95*B63, 0)</f>
        <v>72</v>
      </c>
      <c r="C139" s="154"/>
      <c r="D139" s="128" t="n">
        <f aca="false">B97*B63</f>
        <v>1156.12786775582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139.99</v>
      </c>
      <c r="C148" s="214"/>
      <c r="D148" s="214" t="n">
        <f aca="false">(B145+D145+A148+B148)-B151</f>
        <v>1822.365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1156.12786775582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111" activeCellId="0" sqref="B111"/>
    </sheetView>
  </sheetViews>
  <sheetFormatPr defaultColWidth="10.87109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42" t="s">
        <v>70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6" t="s">
        <v>300</v>
      </c>
      <c r="C47" s="366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10767.2833333333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6858.49468871857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571.541224059881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631.541224059881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571.541224059881</v>
      </c>
      <c r="B136" s="213" t="n">
        <f aca="false">IF(A111="YES", B95*B63, 0)</f>
        <v>540</v>
      </c>
      <c r="C136" s="213"/>
      <c r="D136" s="213" t="n">
        <f aca="false">B97</f>
        <v>631.541224059881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5143.87101653893</v>
      </c>
      <c r="B139" s="214" t="n">
        <f aca="false">IF(A111="YES", B95*B63, 0)</f>
        <v>540</v>
      </c>
      <c r="C139" s="154"/>
      <c r="D139" s="128" t="n">
        <f aca="false">B97*B63</f>
        <v>5683.87101653893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99.99</v>
      </c>
      <c r="C148" s="214"/>
      <c r="D148" s="214" t="n">
        <f aca="false">(B145+D145+A148+B148)-B151</f>
        <v>1782.365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631.541224059881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90" activeCellId="0" sqref="B90"/>
    </sheetView>
  </sheetViews>
  <sheetFormatPr defaultColWidth="10.87109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367" t="n">
        <v>0</v>
      </c>
      <c r="C4" s="367" t="n">
        <v>0</v>
      </c>
      <c r="D4" s="367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(B3*B4)+B5</f>
        <v>0</v>
      </c>
      <c r="C6" s="143" t="n">
        <f aca="false">(C3*C4)+C5</f>
        <v>0</v>
      </c>
      <c r="D6" s="143" t="n">
        <f aca="false">(D3*D4)+D5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165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83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IF(B99=Z101,H29-B57,IF(B99=Z102,H29-B57,IF(B99=Z103,H29-1,IF(B99=Z104,H29-1,IF(B99=Z105,H29-1,IF(B99=Z106,H29-1,IF(B99=Z107,H29-B57,IF(B99=Z108,H29-B57,IF(B99=Z109,H29-B57,0)))))))))</f>
        <v>3</v>
      </c>
      <c r="C58" s="144" t="s">
        <v>303</v>
      </c>
      <c r="D58" s="144"/>
      <c r="E58" s="145"/>
      <c r="F58" s="134"/>
      <c r="G58" s="137" t="s">
        <v>84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87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B61*B66</f>
        <v>578.85</v>
      </c>
      <c r="C67" s="144"/>
      <c r="D67" s="143"/>
      <c r="E67" s="145"/>
      <c r="F67" s="134"/>
      <c r="G67" s="176" t="s">
        <v>90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96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0</v>
      </c>
      <c r="C74" s="144"/>
      <c r="D74" s="144"/>
      <c r="E74" s="145"/>
      <c r="F74" s="134"/>
      <c r="G74" s="182" t="s">
        <v>97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0</v>
      </c>
      <c r="C75" s="144" t="n">
        <f aca="false">IF(G18&gt;40000, 325, 0)</f>
        <v>325</v>
      </c>
      <c r="D75" s="144"/>
      <c r="E75" s="145"/>
      <c r="F75" s="134"/>
      <c r="G75" s="135" t="s">
        <v>98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4711.95</v>
      </c>
      <c r="C81" s="144"/>
      <c r="D81" s="144"/>
      <c r="E81" s="145"/>
      <c r="F81" s="134"/>
      <c r="G81" s="198" t="s">
        <v>105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392.6625</v>
      </c>
      <c r="C82" s="144"/>
      <c r="D82" s="144"/>
      <c r="E82" s="145"/>
      <c r="F82" s="134"/>
      <c r="G82" s="137" t="s">
        <v>106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H46</f>
        <v>501</v>
      </c>
      <c r="C83" s="144"/>
      <c r="D83" s="144"/>
      <c r="E83" s="145"/>
      <c r="F83" s="134"/>
      <c r="G83" s="200" t="s">
        <v>107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((B83*(H29)+B81))*1.2</f>
        <v>12868.74</v>
      </c>
      <c r="C85" s="144"/>
      <c r="D85" s="144"/>
      <c r="E85" s="145"/>
      <c r="F85" s="134"/>
      <c r="G85" s="179" t="s">
        <v>108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(((B83*(H29))+B81)/(1-B70))*B70</f>
        <v>90.8442718838241</v>
      </c>
      <c r="C86" s="144"/>
      <c r="D86" s="144"/>
      <c r="E86" s="145"/>
      <c r="F86" s="134"/>
      <c r="G86" s="137" t="s">
        <v>109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IF(B110="YES",((B85+B86)-E114),((B85+B86)))</f>
        <v>8959.58427188382</v>
      </c>
      <c r="C87" s="144"/>
      <c r="D87" s="144"/>
      <c r="E87" s="145"/>
      <c r="F87" s="134"/>
      <c r="G87" s="176" t="s">
        <v>110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8" t="n">
        <f aca="false">IF(B99=Z102,(((H44*B35)+(H44*B35)*(B105/100))/(B58))*1.2,(((H44*B35)+(H44*B35)*(B105/100))/(B57+B58))*1.2)</f>
        <v>0</v>
      </c>
      <c r="C89" s="144"/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IF(B99=Z102, (B87-D105)/(B58), B87/(B57+B58))</f>
        <v>746.632022656985</v>
      </c>
      <c r="C90" s="144"/>
      <c r="D90" s="144"/>
      <c r="E90" s="145"/>
      <c r="F90" s="134"/>
      <c r="G90" s="204" t="s">
        <v>111</v>
      </c>
      <c r="H90" s="205" t="n">
        <f aca="false">IF(H99=AE98, (H87-J105)/(H58), H87/(H57+H58))</f>
        <v>1180.02508941778</v>
      </c>
      <c r="I90" s="144"/>
      <c r="J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746.632022656985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114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117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117</v>
      </c>
      <c r="AA101" s="134"/>
    </row>
    <row r="102" customFormat="false" ht="18.75" hidden="false" customHeight="true" outlineLevel="0" collapsed="false">
      <c r="A102" s="111" t="n">
        <f aca="false">199.99*1.2</f>
        <v>239.988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120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125</v>
      </c>
      <c r="AA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126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130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124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123</v>
      </c>
      <c r="AA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134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136</v>
      </c>
    </row>
    <row r="110" customFormat="false" ht="18.75" hidden="false" customHeight="true" outlineLevel="0" collapsed="false">
      <c r="A110" s="137" t="s">
        <v>139</v>
      </c>
      <c r="B110" s="155" t="s">
        <v>25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</v>
      </c>
      <c r="E112" s="112" t="n">
        <v>6000</v>
      </c>
      <c r="F112" s="134"/>
      <c r="G112" s="137" t="s">
        <v>140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141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239.988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-2760.012</v>
      </c>
      <c r="F119" s="134"/>
      <c r="G119" s="210" t="s">
        <v>145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81</v>
      </c>
      <c r="B126" s="144" t="s">
        <v>82</v>
      </c>
      <c r="C126" s="144"/>
      <c r="D126" s="144" t="s">
        <v>84</v>
      </c>
      <c r="E126" s="145"/>
      <c r="F126" s="134"/>
      <c r="G126" s="137" t="s">
        <v>81</v>
      </c>
      <c r="H126" s="144" t="s">
        <v>82</v>
      </c>
      <c r="I126" s="144"/>
      <c r="J126" s="144" t="s">
        <v>84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A152</f>
        <v>12</v>
      </c>
      <c r="C127" s="45"/>
      <c r="D127" s="118" t="n">
        <f aca="false">B151</f>
        <v>5000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150</v>
      </c>
      <c r="B129" s="212" t="s">
        <v>151</v>
      </c>
      <c r="C129" s="212"/>
      <c r="D129" s="212" t="s">
        <v>152</v>
      </c>
      <c r="E129" s="145"/>
      <c r="F129" s="134"/>
      <c r="G129" s="211" t="s">
        <v>150</v>
      </c>
      <c r="H129" s="212" t="s">
        <v>151</v>
      </c>
      <c r="I129" s="212"/>
      <c r="J129" s="212" t="s">
        <v>152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69"/>
    </row>
    <row r="130" customFormat="false" ht="18.75" hidden="false" customHeight="true" outlineLevel="0" collapsed="false">
      <c r="A130" s="122" t="n">
        <f aca="false">B90</f>
        <v>746.632022656985</v>
      </c>
      <c r="B130" s="213" t="n">
        <f aca="false">IF(A105="YES", B89*B57, 0)</f>
        <v>0</v>
      </c>
      <c r="C130" s="213"/>
      <c r="D130" s="124" t="n">
        <f aca="false">B91</f>
        <v>746.632022656985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69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69"/>
    </row>
    <row r="132" customFormat="false" ht="18.75" hidden="false" customHeight="true" outlineLevel="0" collapsed="false">
      <c r="A132" s="137" t="s">
        <v>156</v>
      </c>
      <c r="B132" s="144" t="s">
        <v>157</v>
      </c>
      <c r="C132" s="144"/>
      <c r="D132" s="144" t="s">
        <v>158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6719.68820391287</v>
      </c>
      <c r="B133" s="214" t="n">
        <f aca="false">IF(A105="YES", B89*B57, 0)</f>
        <v>0</v>
      </c>
      <c r="C133" s="154"/>
      <c r="D133" s="128" t="n">
        <f aca="false">B91*B57</f>
        <v>6719.68820391287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162</v>
      </c>
      <c r="B135" s="144" t="s">
        <v>163</v>
      </c>
      <c r="C135" s="144"/>
      <c r="D135" s="144" t="s">
        <v>164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168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239.988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139.988</v>
      </c>
      <c r="C142" s="214"/>
      <c r="D142" s="214" t="n">
        <f aca="false">(B139+D139+A142+B142)-B145</f>
        <v>505.951463887758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212.886536112242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746.632022656985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555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0" t="s">
        <v>291</v>
      </c>
      <c r="B45" s="330"/>
      <c r="C45" s="371" t="s">
        <v>291</v>
      </c>
      <c r="D45" s="371"/>
      <c r="E45" s="371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15827.3446084403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40250.357840503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1401.49987807535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49052.4957326372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49052.4957326372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IF(B26="YES",((E40/B85)*(1+A108)*1.2),"0")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1401.49987807535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1401.49987807535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223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1401.49987807535</v>
      </c>
      <c r="B167" s="213" t="str">
        <f aca="false">B94</f>
        <v>0</v>
      </c>
      <c r="C167" s="360"/>
      <c r="D167" s="360"/>
      <c r="E167" s="213" t="n">
        <f aca="false">B96</f>
        <v>1401.49987807535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18027.4957326372</v>
      </c>
      <c r="B182" s="214" t="str">
        <f aca="false">B114</f>
        <v>239.99</v>
      </c>
      <c r="C182" s="214"/>
      <c r="D182" s="235"/>
      <c r="E182" s="214" t="n">
        <f aca="false">E179+A182+B182+A185</f>
        <v>76802.4857326372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182.890625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322.880625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1401.49987807535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0.0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0.0</v>
      </c>
      <c r="C4" s="328" t="n">
        <v>0</v>
      </c>
      <c r="D4" s="328" t="n">
        <v>0.0</v>
      </c>
      <c r="E4" s="328"/>
      <c r="F4" s="328" t="n">
        <v>0.0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0.0</v>
      </c>
      <c r="C5" s="221" t="n">
        <v>0</v>
      </c>
      <c r="D5" s="221" t="n">
        <v>0.0</v>
      </c>
      <c r="E5" s="221"/>
      <c r="F5" s="221" t="n">
        <v>0.0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550.0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585.0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55.0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0.0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0" t="s">
        <v>291</v>
      </c>
      <c r="B45" s="330"/>
      <c r="C45" s="371" t="s">
        <v>291</v>
      </c>
      <c r="D45" s="371"/>
      <c r="E45" s="371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15827.3446084403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40250.357840503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1401.49987807535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49052.4957326372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49052.4957326372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1401.49987807535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1401.49987807535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-1000.0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1401.49987807535</v>
      </c>
      <c r="B167" s="213" t="str">
        <f aca="false">B94</f>
        <v>0</v>
      </c>
      <c r="C167" s="360"/>
      <c r="D167" s="360"/>
      <c r="E167" s="213" t="n">
        <f aca="false">B96</f>
        <v>1401.49987807535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18027.4957326372</v>
      </c>
      <c r="B182" s="214" t="str">
        <f aca="false">B114</f>
        <v>199.99</v>
      </c>
      <c r="C182" s="214"/>
      <c r="D182" s="235"/>
      <c r="E182" s="214" t="n">
        <f aca="false">E179+A182+B182+A185</f>
        <v>76762.4857326372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182.890625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282.880625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1401.49987807535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25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1030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951.531975672137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15" t="n">
        <f aca="false">K39-L39</f>
        <v>4944.10784855496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n">
        <f aca="false">IF(B26="YES", K42, "0.00")</f>
        <v>28.6111111111111</v>
      </c>
      <c r="C40" s="112"/>
      <c r="D40" s="112"/>
      <c r="E40" s="60" t="n">
        <f aca="false">K32</f>
        <v>1030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5" t="n">
        <f aca="false">N38-N39</f>
        <v>-2032.42784855496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28.6111111111111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2" t="s">
        <v>291</v>
      </c>
      <c r="B45" s="330"/>
      <c r="C45" s="371" t="s">
        <v>291</v>
      </c>
      <c r="D45" s="371"/>
      <c r="E45" s="371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5" t="n">
        <f aca="false">K47-L47</f>
        <v>151.531975672137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951.531975672137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951.531975672137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0.024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9431.52556441513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951.531975672137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951.531975672137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0.089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0.00741666666666667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21076.7652577131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30.7264493562845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37448.2347422869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1218.7621911032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42656.676688612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42656.676688612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n">
        <f aca="false">IF(B26="YES",((E40/B85)*(1+A108)*1.2),"0")</f>
        <v>42.3771428571428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44.6333333333333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35.3142857142857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42.3771428571428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1218.7621911032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1261.13933396034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1521.94639790342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1443.51455760232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970.064391147723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221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25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0.089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1218.7621911032</v>
      </c>
      <c r="B167" s="213" t="n">
        <f aca="false">B94</f>
        <v>42.3771428571428</v>
      </c>
      <c r="C167" s="360"/>
      <c r="D167" s="360"/>
      <c r="E167" s="213" t="n">
        <f aca="false">B96</f>
        <v>1261.13933396034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44.6333333333333</v>
      </c>
      <c r="L167" s="360"/>
      <c r="M167" s="360"/>
      <c r="N167" s="213" t="n">
        <f aca="false">K96</f>
        <v>1521.94639790342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35.3142857142857</v>
      </c>
      <c r="U167" s="360"/>
      <c r="V167" s="360"/>
      <c r="W167" s="213" t="n">
        <f aca="false">T96</f>
        <v>1443.51455760232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42.3771428571428</v>
      </c>
      <c r="AD167" s="360"/>
      <c r="AE167" s="360"/>
      <c r="AF167" s="213" t="n">
        <f aca="false">AC96</f>
        <v>970.064391147723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11631.676688612</v>
      </c>
      <c r="B182" s="214" t="str">
        <f aca="false">B114</f>
        <v>239.99</v>
      </c>
      <c r="C182" s="214"/>
      <c r="D182" s="235"/>
      <c r="E182" s="214" t="n">
        <f aca="false">E179+A182+B182+A185</f>
        <v>70406.6666886121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(G158*B67)/1.2</f>
        <v>182.890625</v>
      </c>
      <c r="C188" s="330"/>
      <c r="D188" s="330"/>
      <c r="E188" s="214" t="n">
        <f aca="false">(E40*A108)*0.1</f>
        <v>20.6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30.9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343.480625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3524.3275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1615.46031241667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1539.49624166667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1261.13933396034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1521.94639790342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1443.51455760232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970.064391147723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B30" colorId="64" zoomScale="75" zoomScaleNormal="75" zoomScalePageLayoutView="100" workbookViewId="0">
      <selection pane="topLeft" activeCell="M30" activeCellId="0" sqref="M30"/>
    </sheetView>
  </sheetViews>
  <sheetFormatPr defaultColWidth="10.87109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3" t="n">
        <v>46854.17</v>
      </c>
      <c r="C3" s="138" t="n">
        <v>0</v>
      </c>
      <c r="D3" s="373" t="n">
        <v>833.33</v>
      </c>
      <c r="E3" s="139" t="n">
        <v>0</v>
      </c>
      <c r="F3" s="134"/>
      <c r="G3" s="134" t="n">
        <v>25000</v>
      </c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5" t="n">
        <f aca="false">G9*100/B3</f>
        <v>-222.685622218897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6" t="n">
        <f aca="false">(B7+C7+D7+E3)</f>
        <v>47687.5</v>
      </c>
      <c r="F9" s="134"/>
      <c r="G9" s="374" t="n">
        <f aca="false">E9-G11</f>
        <v>-104337.5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4" t="n">
        <f aca="false">G13/1.2</f>
        <v>152025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4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77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78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25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79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278</v>
      </c>
      <c r="C30" s="117"/>
      <c r="D30" s="144"/>
      <c r="E30" s="145"/>
      <c r="F30" s="134"/>
      <c r="G30" s="151" t="s">
        <v>39</v>
      </c>
      <c r="H30" s="379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64" t="n">
        <f aca="false">IF(C107="YES",H31,0)</f>
        <v>27500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0" t="s">
        <v>279</v>
      </c>
      <c r="E32" s="145"/>
      <c r="F32" s="134"/>
      <c r="G32" s="151" t="s">
        <v>46</v>
      </c>
      <c r="I32" s="364" t="n">
        <v>1030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1" t="n">
        <f aca="false">H48</f>
        <v>951.531975672137</v>
      </c>
      <c r="E33" s="145"/>
      <c r="F33" s="134"/>
      <c r="G33" s="152" t="s">
        <v>280</v>
      </c>
      <c r="H33" s="382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305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I31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3" t="s">
        <v>203</v>
      </c>
      <c r="B44" s="144"/>
      <c r="C44" s="384" t="s">
        <v>204</v>
      </c>
      <c r="D44" s="384"/>
      <c r="E44" s="145"/>
      <c r="F44" s="134"/>
      <c r="G44" s="134" t="s">
        <v>306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5" t="s">
        <v>291</v>
      </c>
      <c r="B45" s="144"/>
      <c r="C45" s="386" t="s">
        <v>291</v>
      </c>
      <c r="D45" s="386"/>
      <c r="E45" s="145"/>
      <c r="F45" s="134"/>
      <c r="G45" s="134" t="s">
        <v>307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308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87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144"/>
      <c r="D64" s="143" t="n">
        <f aca="false">B64-A145</f>
        <v>6077.925</v>
      </c>
      <c r="E64" s="145"/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(B61*B66)/1.2</f>
        <v>964.75</v>
      </c>
      <c r="C67" s="144"/>
      <c r="D67" s="143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388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88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90" t="s">
        <v>97</v>
      </c>
      <c r="B74" s="191" t="n">
        <v>0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92" t="s">
        <v>98</v>
      </c>
      <c r="B75" s="193" t="n">
        <v>0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94" t="s">
        <v>99</v>
      </c>
      <c r="B76" s="195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202" t="n">
        <f aca="false">B102*1.1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6857.925</v>
      </c>
      <c r="C81" s="144"/>
      <c r="D81" s="144"/>
      <c r="E81" s="145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190.497916666667</v>
      </c>
      <c r="C82" s="144"/>
      <c r="D82" s="144"/>
      <c r="E82" s="145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144"/>
      <c r="D83" s="144"/>
      <c r="E83" s="145"/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</f>
        <v>40083.0761241969</v>
      </c>
      <c r="C85" s="144"/>
      <c r="D85" s="144"/>
      <c r="E85" s="145"/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(B85/(1-B70))*B70</f>
        <v>339.550059946807</v>
      </c>
      <c r="C86" s="144"/>
      <c r="D86" s="144"/>
      <c r="E86" s="145"/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IF(B110="YES",((B85+B86)-E114),(B85+B86))</f>
        <v>40422.6261841437</v>
      </c>
      <c r="C87" s="144"/>
      <c r="D87" s="144"/>
      <c r="E87" s="145"/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</f>
        <v>34.3333333333333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1122.85072733733</v>
      </c>
      <c r="C90" s="144"/>
      <c r="D90" s="144"/>
      <c r="E90" s="145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1157.18406067066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115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25</v>
      </c>
      <c r="B105" s="113" t="n">
        <v>0.2</v>
      </c>
      <c r="C105" s="113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 t="s">
        <v>137</v>
      </c>
      <c r="C107" s="155" t="s">
        <v>25</v>
      </c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26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500</v>
      </c>
      <c r="E112" s="112" t="n">
        <v>300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100</v>
      </c>
      <c r="E113" s="112" t="n">
        <v>100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400</v>
      </c>
      <c r="E114" s="115" t="n">
        <f aca="false">E112-E113</f>
        <v>200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200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999.99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211" t="s">
        <v>148</v>
      </c>
      <c r="B126" s="212" t="s">
        <v>149</v>
      </c>
      <c r="C126" s="212"/>
      <c r="D126" s="212" t="s">
        <v>112</v>
      </c>
      <c r="E126" s="145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22" t="n">
        <f aca="false">B90</f>
        <v>1122.85072733733</v>
      </c>
      <c r="B127" s="213" t="n">
        <f aca="false">IF(A105="YES", B89*B57, 0)</f>
        <v>309</v>
      </c>
      <c r="C127" s="213"/>
      <c r="D127" s="213" t="n">
        <f aca="false">B91</f>
        <v>1157.18406067066</v>
      </c>
      <c r="E127" s="145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 t="s">
        <v>81</v>
      </c>
      <c r="B129" s="144" t="s">
        <v>82</v>
      </c>
      <c r="C129" s="144"/>
      <c r="D129" s="144" t="s">
        <v>84</v>
      </c>
      <c r="E129" s="145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3" t="n">
        <f aca="false">A155</f>
        <v>36</v>
      </c>
      <c r="B130" s="118" t="n">
        <f aca="false">B151</f>
        <v>0</v>
      </c>
      <c r="C130" s="45"/>
      <c r="D130" s="118" t="n">
        <f aca="false">B58</f>
        <v>27</v>
      </c>
      <c r="E130" s="145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153</v>
      </c>
      <c r="B132" s="144" t="s">
        <v>154</v>
      </c>
      <c r="C132" s="144"/>
      <c r="D132" s="144" t="s">
        <v>155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10105.6565460359</v>
      </c>
      <c r="B133" s="214" t="n">
        <f aca="false">IF(A105="YES", B89*B57, 0)</f>
        <v>309</v>
      </c>
      <c r="C133" s="154"/>
      <c r="D133" s="128" t="n">
        <f aca="false">B91*B57</f>
        <v>10414.6565460359</v>
      </c>
      <c r="E133" s="145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159</v>
      </c>
      <c r="B135" s="144" t="s">
        <v>160</v>
      </c>
      <c r="C135" s="144"/>
      <c r="D135" s="144" t="s">
        <v>161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0.11705</v>
      </c>
      <c r="C136" s="214"/>
      <c r="D136" s="214" t="n">
        <f aca="false">A136+B136</f>
        <v>0.4682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165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964.75</v>
      </c>
      <c r="C139" s="214"/>
      <c r="D139" s="214" t="n">
        <f aca="false">B102*0.9</f>
        <v>0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((B36*B105)*0.1)*(A130), 0)</f>
        <v>20.6</v>
      </c>
      <c r="B142" s="214" t="n">
        <f aca="false">A102-100</f>
        <v>99.99</v>
      </c>
      <c r="C142" s="214"/>
      <c r="D142" s="214" t="n">
        <f aca="false">(B139+D139+A142+B142)-B145</f>
        <v>1085.34</v>
      </c>
      <c r="E142" s="130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v>0</v>
      </c>
      <c r="B145" s="214" t="n">
        <f aca="false">(B139+D139+A142+B142)*(A145/B64)</f>
        <v>0</v>
      </c>
      <c r="C145" s="144"/>
      <c r="D145" s="144"/>
      <c r="E145" s="145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29"/>
      <c r="B146" s="21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1" t="s">
        <v>174</v>
      </c>
      <c r="B147" s="209" t="s">
        <v>175</v>
      </c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32" t="n">
        <v>18000</v>
      </c>
      <c r="B148" s="133" t="n">
        <v>0.99</v>
      </c>
      <c r="C148" s="133"/>
      <c r="D148" s="144"/>
      <c r="E148" s="145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/>
      <c r="B150" s="144"/>
      <c r="C150" s="144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71" t="s">
        <v>176</v>
      </c>
      <c r="B151" s="144"/>
      <c r="C151" s="144"/>
      <c r="D151" s="172"/>
      <c r="E151" s="173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74"/>
      <c r="C152" s="174"/>
      <c r="D152" s="144"/>
      <c r="E152" s="145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71" t="s">
        <v>81</v>
      </c>
      <c r="B153" s="72" t="s">
        <v>82</v>
      </c>
      <c r="C153" s="72"/>
      <c r="D153" s="144"/>
      <c r="E153" s="145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71"/>
      <c r="B154" s="73" t="n">
        <f aca="false">A51</f>
        <v>0</v>
      </c>
      <c r="C154" s="73"/>
      <c r="D154" s="144"/>
      <c r="E154" s="145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74" t="n">
        <f aca="false">A52</f>
        <v>36</v>
      </c>
      <c r="B155" s="75" t="n">
        <f aca="false">B91</f>
        <v>1157.18406067066</v>
      </c>
      <c r="C155" s="75"/>
      <c r="D155" s="144"/>
      <c r="E155" s="145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95" activeCellId="0" sqref="B95"/>
    </sheetView>
  </sheetViews>
  <sheetFormatPr defaultColWidth="10.8476562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44926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73</v>
      </c>
      <c r="B34" s="48" t="s">
        <v>47</v>
      </c>
      <c r="C34" s="45" t="s">
        <v>75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75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69</v>
      </c>
      <c r="B44" s="42" t="s">
        <v>70</v>
      </c>
      <c r="C44" s="42"/>
      <c r="D44" s="42" t="s">
        <v>70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</f>
        <v>2139.78333333333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2157.90977544709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</f>
        <v>50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179.825814620591</v>
      </c>
      <c r="C96" s="13" t="s">
        <v>75</v>
      </c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179.825814620591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121</v>
      </c>
      <c r="C105" s="109"/>
      <c r="D105" s="110" t="n">
        <v>1000</v>
      </c>
      <c r="E105" s="110"/>
      <c r="F105" s="2"/>
      <c r="G105" s="34" t="s">
        <v>122</v>
      </c>
      <c r="H105" s="109" t="s">
        <v>123</v>
      </c>
      <c r="I105" s="109"/>
      <c r="J105" s="110" t="n">
        <v>5000</v>
      </c>
      <c r="K105" s="110"/>
      <c r="L105" s="2"/>
      <c r="M105" s="34" t="s">
        <v>122</v>
      </c>
      <c r="N105" s="109" t="s">
        <v>124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26</v>
      </c>
      <c r="B111" s="109" t="n">
        <v>20</v>
      </c>
      <c r="C111" s="109"/>
      <c r="D111" s="112" t="s">
        <v>135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25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11" t="n">
        <v>10000</v>
      </c>
      <c r="E118" s="112" t="n">
        <v>6000</v>
      </c>
      <c r="F118" s="2"/>
      <c r="G118" s="6" t="s">
        <v>140</v>
      </c>
      <c r="H118" s="13"/>
      <c r="I118" s="13"/>
      <c r="J118" s="111" t="n">
        <v>10000</v>
      </c>
      <c r="K118" s="112" t="n">
        <v>5000</v>
      </c>
      <c r="L118" s="2"/>
      <c r="M118" s="6" t="s">
        <v>140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4" t="n">
        <f aca="false">E119</f>
        <v>2000</v>
      </c>
      <c r="E119" s="112" t="n">
        <v>2000</v>
      </c>
      <c r="F119" s="2"/>
      <c r="G119" s="6" t="s">
        <v>141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141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142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142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4" t="n">
        <f aca="false">D120-E120</f>
        <v>4000</v>
      </c>
      <c r="E121" s="14"/>
      <c r="F121" s="2"/>
      <c r="G121" s="6" t="s">
        <v>143</v>
      </c>
      <c r="H121" s="13"/>
      <c r="I121" s="13"/>
      <c r="J121" s="114" t="n">
        <f aca="false">J120-K120</f>
        <v>5000</v>
      </c>
      <c r="K121" s="14"/>
      <c r="L121" s="2"/>
      <c r="M121" s="6" t="s">
        <v>143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144</v>
      </c>
      <c r="B123" s="80"/>
      <c r="C123" s="80"/>
      <c r="D123" s="80"/>
      <c r="E123" s="102" t="n">
        <f aca="false">D105</f>
        <v>1000</v>
      </c>
      <c r="F123" s="2"/>
      <c r="G123" s="79" t="s">
        <v>144</v>
      </c>
      <c r="H123" s="80"/>
      <c r="I123" s="80"/>
      <c r="J123" s="80"/>
      <c r="K123" s="102" t="n">
        <f aca="false">J105</f>
        <v>5000</v>
      </c>
      <c r="L123" s="2"/>
      <c r="M123" s="79" t="s">
        <v>144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199.99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145</v>
      </c>
      <c r="B125" s="77"/>
      <c r="C125" s="77"/>
      <c r="D125" s="77"/>
      <c r="E125" s="84" t="n">
        <f aca="false">(E124+E123)-E120</f>
        <v>-2800.01</v>
      </c>
      <c r="F125" s="2"/>
      <c r="G125" s="116" t="s">
        <v>145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145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147</v>
      </c>
      <c r="B130" s="117" t="n">
        <v>0</v>
      </c>
      <c r="C130" s="117"/>
      <c r="D130" s="13"/>
      <c r="E130" s="14"/>
      <c r="F130" s="2"/>
      <c r="G130" s="6" t="s">
        <v>147</v>
      </c>
      <c r="H130" s="117" t="n">
        <v>0</v>
      </c>
      <c r="I130" s="117"/>
      <c r="J130" s="13"/>
      <c r="K130" s="14"/>
      <c r="L130" s="2"/>
      <c r="M130" s="6" t="s">
        <v>147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11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11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148</v>
      </c>
      <c r="B135" s="121" t="s">
        <v>149</v>
      </c>
      <c r="C135" s="121"/>
      <c r="D135" s="121" t="s">
        <v>112</v>
      </c>
      <c r="E135" s="14"/>
      <c r="F135" s="2"/>
      <c r="G135" s="120" t="s">
        <v>150</v>
      </c>
      <c r="H135" s="121" t="s">
        <v>151</v>
      </c>
      <c r="I135" s="121"/>
      <c r="J135" s="121" t="s">
        <v>152</v>
      </c>
      <c r="K135" s="14"/>
      <c r="L135" s="2"/>
      <c r="M135" s="120" t="s">
        <v>148</v>
      </c>
      <c r="N135" s="121" t="s">
        <v>149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179.825814620591</v>
      </c>
      <c r="B136" s="123" t="n">
        <f aca="false">IF(A111="YES", B95*B63, 0)</f>
        <v>0</v>
      </c>
      <c r="C136" s="123"/>
      <c r="D136" s="123" t="n">
        <f aca="false">B97</f>
        <v>179.825814620591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154</v>
      </c>
      <c r="C138" s="13"/>
      <c r="D138" s="13" t="s">
        <v>155</v>
      </c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179.825814620591</v>
      </c>
      <c r="B139" s="126" t="n">
        <f aca="false">IF(A111="YES", B95*B63, 0)</f>
        <v>0</v>
      </c>
      <c r="C139" s="127"/>
      <c r="D139" s="128" t="n">
        <f aca="false">B97*B63</f>
        <v>179.825814620591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159</v>
      </c>
      <c r="B141" s="13" t="s">
        <v>160</v>
      </c>
      <c r="C141" s="13"/>
      <c r="D141" s="13" t="s">
        <v>161</v>
      </c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165</v>
      </c>
      <c r="B144" s="13" t="s">
        <v>166</v>
      </c>
      <c r="C144" s="13"/>
      <c r="D144" s="13" t="s">
        <v>167</v>
      </c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199.99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169</v>
      </c>
      <c r="B147" s="13" t="s">
        <v>170</v>
      </c>
      <c r="C147" s="13"/>
      <c r="D147" s="13" t="s">
        <v>171</v>
      </c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99.99</v>
      </c>
      <c r="C148" s="126"/>
      <c r="D148" s="126" t="n">
        <f aca="false">(B145+D145+A148+B148)-B151</f>
        <v>582.365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172</v>
      </c>
      <c r="B150" s="13" t="s">
        <v>173</v>
      </c>
      <c r="C150" s="13"/>
      <c r="D150" s="13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174</v>
      </c>
      <c r="N153" s="114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176</v>
      </c>
      <c r="B154" s="13"/>
      <c r="C154" s="13"/>
      <c r="D154" s="67"/>
      <c r="E154" s="68"/>
      <c r="F154" s="2"/>
      <c r="G154" s="66" t="s">
        <v>176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176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179.825814620591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89" activeCellId="0" sqref="B89"/>
    </sheetView>
  </sheetViews>
  <sheetFormatPr defaultColWidth="10.87109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3" t="n">
        <v>46854.17</v>
      </c>
      <c r="C3" s="138" t="n">
        <v>0</v>
      </c>
      <c r="D3" s="373" t="n">
        <v>833.33</v>
      </c>
      <c r="E3" s="139" t="n">
        <v>0</v>
      </c>
      <c r="F3" s="134"/>
      <c r="G3" s="134" t="n">
        <v>25000</v>
      </c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5" t="n">
        <f aca="false">G9*100/B3</f>
        <v>-222.685622218897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6" t="n">
        <f aca="false">(B7+C7+D7+E3)</f>
        <v>47687.5</v>
      </c>
      <c r="F9" s="134"/>
      <c r="G9" s="374" t="n">
        <f aca="false">E9-G11</f>
        <v>-104337.5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4" t="n">
        <f aca="false">G13/1.2</f>
        <v>152025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4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77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78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25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79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278</v>
      </c>
      <c r="C30" s="117"/>
      <c r="D30" s="144"/>
      <c r="E30" s="145"/>
      <c r="F30" s="134"/>
      <c r="G30" s="151" t="s">
        <v>39</v>
      </c>
      <c r="H30" s="379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0" t="s">
        <v>279</v>
      </c>
      <c r="E32" s="145"/>
      <c r="F32" s="134"/>
      <c r="G32" s="151" t="s">
        <v>46</v>
      </c>
      <c r="I32" s="364" t="n">
        <v>1030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1" t="n">
        <f aca="false">H48</f>
        <v>951.531975672137</v>
      </c>
      <c r="E33" s="145"/>
      <c r="F33" s="134"/>
      <c r="G33" s="152" t="s">
        <v>280</v>
      </c>
      <c r="H33" s="382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305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3" t="s">
        <v>203</v>
      </c>
      <c r="B44" s="144"/>
      <c r="C44" s="384" t="s">
        <v>204</v>
      </c>
      <c r="D44" s="384"/>
      <c r="E44" s="145"/>
      <c r="F44" s="134"/>
      <c r="G44" s="134" t="s">
        <v>306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5" t="s">
        <v>291</v>
      </c>
      <c r="B45" s="144"/>
      <c r="C45" s="389" t="s">
        <v>291</v>
      </c>
      <c r="D45" s="389"/>
      <c r="E45" s="145"/>
      <c r="F45" s="134"/>
      <c r="G45" s="134" t="s">
        <v>307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308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87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144"/>
      <c r="D64" s="143" t="n">
        <f aca="false">B64-A145</f>
        <v>6077.925</v>
      </c>
      <c r="E64" s="390" t="n">
        <f aca="false">D64/(B58+B57)</f>
        <v>168.83125</v>
      </c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(B61*B66)/1.2</f>
        <v>964.75</v>
      </c>
      <c r="C67" s="144"/>
      <c r="D67" s="143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88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165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355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202" t="n">
        <f aca="false">B102*1.1</f>
        <v>0</v>
      </c>
      <c r="C77" s="144"/>
      <c r="D77" s="143" t="n">
        <f aca="false">B77</f>
        <v>0</v>
      </c>
      <c r="E77" s="390" t="n">
        <f aca="false">D77/(B58+B57)</f>
        <v>0</v>
      </c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v>0</v>
      </c>
      <c r="C78" s="144"/>
      <c r="D78" s="143" t="n">
        <f aca="false">B78</f>
        <v>0</v>
      </c>
      <c r="E78" s="390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390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390" t="n">
        <f aca="false">(D73+D76+D79+D80)/(B58+B57)</f>
        <v>51.7592592592593</v>
      </c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7941.25833333333</v>
      </c>
      <c r="C81" s="144"/>
      <c r="D81" s="144"/>
      <c r="E81" s="390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220.590509259259</v>
      </c>
      <c r="C82" s="144"/>
      <c r="D82" s="144"/>
      <c r="E82" s="390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144"/>
      <c r="D83" s="144"/>
      <c r="E83" s="390" t="n">
        <f aca="false">B83+E80+E77+E64</f>
        <v>1143.51137382028</v>
      </c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390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((B83*H29)+B81)*1.2</f>
        <v>49399.6913490363</v>
      </c>
      <c r="C85" s="144"/>
      <c r="D85" s="144"/>
      <c r="E85" s="390" t="n">
        <f aca="false">B85/(B58+B57)</f>
        <v>1372.21364858434</v>
      </c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((((B83*H29)+B81))/(1-B70))*B70</f>
        <v>348.727147482104</v>
      </c>
      <c r="C86" s="144"/>
      <c r="D86" s="144"/>
      <c r="E86" s="390" t="n">
        <f aca="false">B86/(B58+B57)</f>
        <v>9.68686520783622</v>
      </c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IF(B110="YES",((B85+B86)-E114),(B85+B86))</f>
        <v>49748.4184965184</v>
      </c>
      <c r="C87" s="144"/>
      <c r="D87" s="144"/>
      <c r="E87" s="390" t="n">
        <f aca="false">E86+E85</f>
        <v>1381.90051379218</v>
      </c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(D40+(D40*B105))/(B57+B58))*1.2</f>
        <v>41.2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1381.90051379218</v>
      </c>
      <c r="C90" s="144"/>
      <c r="D90" s="144"/>
      <c r="E90" s="145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1423.10051379218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114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25</v>
      </c>
      <c r="B105" s="113" t="n">
        <v>0.2</v>
      </c>
      <c r="C105" s="113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26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0</v>
      </c>
      <c r="E112" s="112" t="n">
        <v>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0</v>
      </c>
      <c r="E113" s="112" t="n">
        <v>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0</v>
      </c>
      <c r="E114" s="115" t="n">
        <f aca="false">E112-E113</f>
        <v>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((E118/1.2)+E117)-(D115-E113)</f>
        <v>1166.65833333333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211" t="s">
        <v>150</v>
      </c>
      <c r="B126" s="212" t="s">
        <v>151</v>
      </c>
      <c r="C126" s="212"/>
      <c r="D126" s="212" t="s">
        <v>152</v>
      </c>
      <c r="E126" s="145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22" t="n">
        <f aca="false">B90</f>
        <v>1381.90051379218</v>
      </c>
      <c r="B127" s="213" t="n">
        <f aca="false">IF(A105="YES", B89*B57, 0)</f>
        <v>370.8</v>
      </c>
      <c r="C127" s="213"/>
      <c r="D127" s="124" t="n">
        <f aca="false">B91</f>
        <v>1423.10051379218</v>
      </c>
      <c r="E127" s="145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 t="s">
        <v>81</v>
      </c>
      <c r="B129" s="144" t="s">
        <v>82</v>
      </c>
      <c r="C129" s="144"/>
      <c r="D129" s="144" t="s">
        <v>84</v>
      </c>
      <c r="E129" s="145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3" t="n">
        <f aca="false">A152</f>
        <v>36</v>
      </c>
      <c r="B130" s="118" t="n">
        <f aca="false">B151</f>
        <v>10000</v>
      </c>
      <c r="C130" s="45"/>
      <c r="D130" s="118" t="n">
        <f aca="false">B58</f>
        <v>27</v>
      </c>
      <c r="E130" s="145"/>
      <c r="F130" s="134"/>
      <c r="G130" s="43" t="n">
        <f aca="false">G152</f>
        <v>36</v>
      </c>
      <c r="H130" s="118" t="n">
        <f aca="false">B151</f>
        <v>10000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10000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156</v>
      </c>
      <c r="B132" s="144" t="s">
        <v>157</v>
      </c>
      <c r="C132" s="144"/>
      <c r="D132" s="144" t="s">
        <v>158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12437.1046241296</v>
      </c>
      <c r="B133" s="214" t="n">
        <f aca="false">IF(A105="YES", B89*B57, 0)</f>
        <v>370.8</v>
      </c>
      <c r="C133" s="154"/>
      <c r="D133" s="128" t="n">
        <f aca="false">B91*B57</f>
        <v>12807.9046241296</v>
      </c>
      <c r="E133" s="145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162</v>
      </c>
      <c r="B135" s="144" t="s">
        <v>163</v>
      </c>
      <c r="C135" s="144"/>
      <c r="D135" s="144" t="s">
        <v>164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0.11705</v>
      </c>
      <c r="C136" s="214"/>
      <c r="D136" s="214" t="n">
        <f aca="false">A136+B136</f>
        <v>0.4682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168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964.75</v>
      </c>
      <c r="C139" s="214"/>
      <c r="D139" s="214" t="n">
        <f aca="false">B102*0.9</f>
        <v>0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((B36*B105)*0.1)*(A130), 0)</f>
        <v>20.6</v>
      </c>
      <c r="B142" s="214" t="n">
        <f aca="false">A102-100</f>
        <v>99.99</v>
      </c>
      <c r="C142" s="214"/>
      <c r="D142" s="214" t="n">
        <f aca="false">(B139+D139+A142+B142)-B145</f>
        <v>1085.34</v>
      </c>
      <c r="E142" s="130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v>0</v>
      </c>
      <c r="B145" s="214" t="n">
        <f aca="false">(B139+D139+A142+B142)*(A145/B64)</f>
        <v>0</v>
      </c>
      <c r="C145" s="144"/>
      <c r="D145" s="144"/>
      <c r="E145" s="145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10000</v>
      </c>
      <c r="C151" s="73"/>
      <c r="D151" s="144"/>
      <c r="E151" s="145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36</v>
      </c>
      <c r="B152" s="75" t="n">
        <f aca="false">B91</f>
        <v>1423.10051379218</v>
      </c>
      <c r="C152" s="75"/>
      <c r="D152" s="144"/>
      <c r="E152" s="145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30" colorId="64" zoomScale="75" zoomScaleNormal="75" zoomScalePageLayoutView="100" workbookViewId="0">
      <selection pane="topLeft" activeCell="B75" activeCellId="0" sqref="B75"/>
    </sheetView>
  </sheetViews>
  <sheetFormatPr defaultColWidth="10.87109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3" t="n">
        <v>46854.17</v>
      </c>
      <c r="C3" s="138" t="n">
        <v>0</v>
      </c>
      <c r="D3" s="373" t="n">
        <v>833.33</v>
      </c>
      <c r="E3" s="139" t="n">
        <v>0</v>
      </c>
      <c r="F3" s="134" t="n">
        <v>833.33</v>
      </c>
      <c r="G3" s="134" t="n">
        <v>25000</v>
      </c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 t="n">
        <v>0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 t="n">
        <v>0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5" t="n">
        <f aca="false">G9*100/B3</f>
        <v>-222.685622218897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6" t="n">
        <f aca="false">(B7+C7+D7+E3)</f>
        <v>47687.5</v>
      </c>
      <c r="F9" s="134"/>
      <c r="G9" s="374" t="n">
        <f aca="false">E9-G11</f>
        <v>-104337.5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4" t="n">
        <f aca="false">G13/1.2</f>
        <v>152025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4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77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78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25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79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278</v>
      </c>
      <c r="C30" s="117"/>
      <c r="D30" s="144"/>
      <c r="E30" s="145"/>
      <c r="F30" s="134"/>
      <c r="G30" s="151" t="s">
        <v>39</v>
      </c>
      <c r="H30" s="379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0" t="s">
        <v>279</v>
      </c>
      <c r="E32" s="145"/>
      <c r="F32" s="134"/>
      <c r="G32" s="151" t="s">
        <v>46</v>
      </c>
      <c r="I32" s="364" t="n">
        <v>1030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1" t="n">
        <f aca="false">H48</f>
        <v>951.531975672137</v>
      </c>
      <c r="E33" s="145"/>
      <c r="F33" s="134"/>
      <c r="G33" s="152" t="s">
        <v>280</v>
      </c>
      <c r="H33" s="382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305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3" t="s">
        <v>203</v>
      </c>
      <c r="B44" s="144"/>
      <c r="C44" s="384" t="s">
        <v>204</v>
      </c>
      <c r="D44" s="384"/>
      <c r="E44" s="145"/>
      <c r="F44" s="134"/>
      <c r="G44" s="134" t="s">
        <v>306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5" t="s">
        <v>291</v>
      </c>
      <c r="B45" s="144"/>
      <c r="C45" s="386" t="s">
        <v>291</v>
      </c>
      <c r="D45" s="386"/>
      <c r="E45" s="145"/>
      <c r="F45" s="134"/>
      <c r="G45" s="134" t="s">
        <v>307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308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87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B62+(B62*0.25*((H29/12)-1))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391"/>
      <c r="D64" s="143" t="n">
        <f aca="false">B64</f>
        <v>6077.925</v>
      </c>
      <c r="E64" s="390" t="n">
        <f aca="false">D64/(B58+B57)</f>
        <v>168.83125</v>
      </c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3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392" t="s">
        <v>309</v>
      </c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</f>
        <v>1157.7</v>
      </c>
      <c r="C67" s="393" t="s">
        <v>309</v>
      </c>
      <c r="D67" s="394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395"/>
      <c r="D68" s="143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88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396" t="n">
        <f aca="false">B73+B71</f>
        <v>380</v>
      </c>
      <c r="E73" s="145" t="s">
        <v>310</v>
      </c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165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355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79" t="s">
        <v>100</v>
      </c>
      <c r="B77" s="202" t="n">
        <f aca="false">B102*1.1</f>
        <v>0</v>
      </c>
      <c r="C77" s="397"/>
      <c r="D77" s="143" t="n">
        <f aca="false">B77</f>
        <v>0</v>
      </c>
      <c r="E77" s="390" t="n">
        <f aca="false">D77/(B58+B57)</f>
        <v>0</v>
      </c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D102/(1-0.1)</f>
        <v>0</v>
      </c>
      <c r="C78" s="397"/>
      <c r="D78" s="143" t="n">
        <f aca="false">B78</f>
        <v>0</v>
      </c>
      <c r="E78" s="390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397"/>
      <c r="D79" s="143" t="n">
        <f aca="false">B79</f>
        <v>200</v>
      </c>
      <c r="E79" s="390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397"/>
      <c r="D80" s="143" t="n">
        <f aca="false">B80</f>
        <v>200</v>
      </c>
      <c r="E80" s="390" t="n">
        <f aca="false">(D73+D76+D79+D80)/(B58+B57)</f>
        <v>51.7592592592593</v>
      </c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7941.25833333333</v>
      </c>
      <c r="C81" s="397"/>
      <c r="D81" s="398"/>
      <c r="E81" s="390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220.590509259259</v>
      </c>
      <c r="C82" s="397"/>
      <c r="D82" s="144"/>
      <c r="E82" s="390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397"/>
      <c r="D83" s="144"/>
      <c r="E83" s="390" t="n">
        <f aca="false">B83+E80+E77+E64</f>
        <v>1143.51137382028</v>
      </c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397"/>
      <c r="D84" s="397"/>
      <c r="E84" s="390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</f>
        <v>41166.4094575303</v>
      </c>
      <c r="C85" s="397"/>
      <c r="D85" s="397"/>
      <c r="E85" s="390" t="n">
        <f aca="false">B85/(B58+B57)</f>
        <v>1143.51137382028</v>
      </c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(((B83*H29)+B81)/(1-B70))*B70</f>
        <v>348.727147482104</v>
      </c>
      <c r="C86" s="397" t="s">
        <v>311</v>
      </c>
      <c r="D86" s="144"/>
      <c r="E86" s="390" t="n">
        <f aca="false">B86/(B58+B57)</f>
        <v>9.68686520783622</v>
      </c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IF(B110="YES",((B85+B86)-E114),((B85+B86)))</f>
        <v>41515.1366050124</v>
      </c>
      <c r="C87" s="397"/>
      <c r="D87" s="399"/>
      <c r="E87" s="390" t="n">
        <f aca="false">E86+E85</f>
        <v>1153.19823902812</v>
      </c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397"/>
      <c r="D88" s="144"/>
      <c r="E88" s="390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(I32+(I32*B105))/(B58), (I32+(I32*B105))/(B57+B58))</f>
        <v>34.3333333333333</v>
      </c>
      <c r="C89" s="397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1153.19823902812</v>
      </c>
      <c r="C90" s="397"/>
      <c r="D90" s="144"/>
      <c r="E90" s="400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1187.53157236145</v>
      </c>
      <c r="C91" s="397"/>
      <c r="D91" s="401"/>
      <c r="E91" s="189"/>
      <c r="F91" s="134"/>
      <c r="G91" s="206" t="s">
        <v>112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402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 t="s">
        <v>312</v>
      </c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403"/>
      <c r="C97" s="403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313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25</v>
      </c>
      <c r="B105" s="113" t="n">
        <v>0.2</v>
      </c>
      <c r="C105" s="113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n">
        <v>199.99</v>
      </c>
      <c r="B108" s="29" t="n">
        <v>0</v>
      </c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26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 t="s">
        <v>26</v>
      </c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0</v>
      </c>
      <c r="E112" s="112" t="n">
        <v>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0</v>
      </c>
      <c r="E113" s="112" t="n">
        <v>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0</v>
      </c>
      <c r="E114" s="115" t="n">
        <f aca="false">E112-E113</f>
        <v>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IF(B110="YES",((E118*1.2)+E117)-E114,((E118*1.2)+E117))</f>
        <v>1239.988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404" t="n">
        <v>0</v>
      </c>
      <c r="C124" s="404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211" t="s">
        <v>148</v>
      </c>
      <c r="B126" s="212" t="s">
        <v>149</v>
      </c>
      <c r="C126" s="212"/>
      <c r="D126" s="212" t="s">
        <v>112</v>
      </c>
      <c r="E126" s="145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22" t="n">
        <f aca="false">B90</f>
        <v>1153.19823902812</v>
      </c>
      <c r="B127" s="213" t="n">
        <f aca="false">IF(A105="YES", B89, 0)</f>
        <v>34.3333333333333</v>
      </c>
      <c r="C127" s="213"/>
      <c r="D127" s="213" t="n">
        <f aca="false">B91</f>
        <v>1187.53157236145</v>
      </c>
      <c r="E127" s="145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 t="s">
        <v>81</v>
      </c>
      <c r="B129" s="144" t="s">
        <v>82</v>
      </c>
      <c r="C129" s="144"/>
      <c r="D129" s="144" t="s">
        <v>84</v>
      </c>
      <c r="E129" s="145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3" t="n">
        <f aca="false">A152</f>
        <v>36</v>
      </c>
      <c r="B130" s="118" t="n">
        <f aca="false">B151</f>
        <v>10000</v>
      </c>
      <c r="C130" s="45"/>
      <c r="D130" s="118" t="n">
        <f aca="false">B58</f>
        <v>27</v>
      </c>
      <c r="E130" s="145"/>
      <c r="F130" s="134"/>
      <c r="G130" s="43" t="n">
        <f aca="false">G152</f>
        <v>36</v>
      </c>
      <c r="H130" s="118" t="n">
        <f aca="false">B151</f>
        <v>10000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10000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153</v>
      </c>
      <c r="B132" s="144" t="s">
        <v>154</v>
      </c>
      <c r="C132" s="144"/>
      <c r="D132" s="144" t="s">
        <v>155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10378.7841512531</v>
      </c>
      <c r="B133" s="214" t="n">
        <f aca="false">IF(A105="YES", B89*B57, 0)</f>
        <v>309</v>
      </c>
      <c r="C133" s="154"/>
      <c r="D133" s="128" t="n">
        <f aca="false">B91*B57</f>
        <v>10687.7841512531</v>
      </c>
      <c r="E133" s="145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159</v>
      </c>
      <c r="B135" s="144" t="s">
        <v>160</v>
      </c>
      <c r="C135" s="144"/>
      <c r="D135" s="144" t="s">
        <v>161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405" t="n">
        <f aca="false">E15*0.000006</f>
        <v>0.35115</v>
      </c>
      <c r="B136" s="406" t="n">
        <f aca="false">IF(A105="YES", E15*0.000002, 0)</f>
        <v>0.11705</v>
      </c>
      <c r="C136" s="214"/>
      <c r="D136" s="406" t="n">
        <f aca="false">A136+B136</f>
        <v>0.4682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165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1157.7</v>
      </c>
      <c r="C139" s="214"/>
      <c r="D139" s="214" t="n">
        <f aca="false">B102*0.9</f>
        <v>0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((B36*B105)*0.1)*(A130), 0)</f>
        <v>20.6</v>
      </c>
      <c r="B142" s="214" t="n">
        <f aca="false">A102-100</f>
        <v>99.99</v>
      </c>
      <c r="C142" s="214"/>
      <c r="D142" s="214" t="n">
        <f aca="false">(B139+D139+A142+B142)-B145</f>
        <v>1278.29</v>
      </c>
      <c r="E142" s="130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v>0</v>
      </c>
      <c r="B145" s="214" t="n">
        <f aca="false">(B139+D139+A142+B142)*(A145/B64)</f>
        <v>0</v>
      </c>
      <c r="C145" s="144"/>
      <c r="D145" s="144"/>
      <c r="E145" s="145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10000</v>
      </c>
      <c r="C151" s="73"/>
      <c r="D151" s="144"/>
      <c r="E151" s="145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36</v>
      </c>
      <c r="B152" s="75" t="n">
        <f aca="false">B91</f>
        <v>1187.53157236145</v>
      </c>
      <c r="C152" s="75"/>
      <c r="D152" s="144"/>
      <c r="E152" s="145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0.87109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n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50</v>
      </c>
      <c r="B41" s="55" t="n">
        <f aca="false">IF(B38="YES", D38+A41, D38)</f>
        <v>550</v>
      </c>
      <c r="C41" s="55"/>
      <c r="D41" s="42" t="n">
        <v>6000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12</v>
      </c>
      <c r="B44" s="42" t="n">
        <v>1</v>
      </c>
      <c r="C44" s="42"/>
      <c r="D44" s="42" t="n">
        <v>1</v>
      </c>
      <c r="E44" s="42"/>
      <c r="F44" s="134"/>
      <c r="G44" s="134" t="s">
        <v>187</v>
      </c>
      <c r="H44" s="164" t="n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6" t="n">
        <v>0.01</v>
      </c>
      <c r="C47" s="366"/>
      <c r="D47" s="42" t="n">
        <v>1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 t="s">
        <v>314</v>
      </c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155" t="s">
        <v>26</v>
      </c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302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205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n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n">
        <f aca="false">H29</f>
        <v>12</v>
      </c>
      <c r="B58" s="75" t="n">
        <f aca="false">H45</f>
        <v>551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12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10723.95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10814.7942718838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((H44*B35)+((H44*B35)*B111))/(B63+B64)</f>
        <v>31.304347826087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IF(B105=Y104, (B93-D111)/(B64), B93/(B63+B64))</f>
        <v>470.208446603645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501.512794429732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 t="s">
        <v>122</v>
      </c>
      <c r="B105" s="109" t="s">
        <v>124</v>
      </c>
      <c r="C105" s="109"/>
      <c r="D105" s="110" t="n">
        <v>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13" t="n">
        <v>0.2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/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0</v>
      </c>
      <c r="E118" s="112" t="n">
        <v>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0</v>
      </c>
      <c r="E119" s="112" t="n">
        <v>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0</v>
      </c>
      <c r="E120" s="115" t="n">
        <f aca="false">E118-E119</f>
        <v>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199.99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1200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n">
        <f aca="false">A158</f>
        <v>12</v>
      </c>
      <c r="B133" s="118" t="n">
        <f aca="false">B157</f>
        <v>5000</v>
      </c>
      <c r="C133" s="45"/>
      <c r="D133" s="118" t="n">
        <f aca="false">B64</f>
        <v>11</v>
      </c>
      <c r="E133" s="145"/>
      <c r="F133" s="134"/>
      <c r="G133" s="43" t="n">
        <f aca="false">G158</f>
        <v>12</v>
      </c>
      <c r="H133" s="118" t="n">
        <f aca="false">B157</f>
        <v>5000</v>
      </c>
      <c r="I133" s="45"/>
      <c r="J133" s="118" t="n">
        <f aca="false">B64</f>
        <v>11</v>
      </c>
      <c r="K133" s="145"/>
      <c r="L133" s="134"/>
      <c r="M133" s="43" t="n">
        <f aca="false">M161</f>
        <v>12</v>
      </c>
      <c r="N133" s="118" t="n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470.208446603645</v>
      </c>
      <c r="B136" s="213" t="n">
        <f aca="false">IF(A111="YES", B95*B63, 0)</f>
        <v>375.652173913043</v>
      </c>
      <c r="C136" s="213"/>
      <c r="D136" s="213" t="n">
        <f aca="false">B97</f>
        <v>501.512794429732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5642.50135924373</v>
      </c>
      <c r="B139" s="214" t="n">
        <f aca="false">IF(A111="YES", B95*B63, 0)</f>
        <v>375.652173913043</v>
      </c>
      <c r="C139" s="154"/>
      <c r="D139" s="128" t="n">
        <f aca="false">B97*B63</f>
        <v>6018.15353315678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</v>
      </c>
      <c r="B148" s="214" t="n">
        <f aca="false">A108-100</f>
        <v>99.99</v>
      </c>
      <c r="C148" s="214"/>
      <c r="D148" s="214" t="n">
        <f aca="false">(B145+D145+A148+B148)-B151</f>
        <v>594.365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n">
        <f aca="false">B57</f>
        <v>5000</v>
      </c>
      <c r="C157" s="73"/>
      <c r="D157" s="144"/>
      <c r="E157" s="145"/>
      <c r="F157" s="134"/>
      <c r="G157" s="71"/>
      <c r="H157" s="73" t="n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n">
        <f aca="false">A58</f>
        <v>12</v>
      </c>
      <c r="B158" s="75" t="n">
        <f aca="false">B97</f>
        <v>501.512794429732</v>
      </c>
      <c r="C158" s="75"/>
      <c r="D158" s="144"/>
      <c r="E158" s="145"/>
      <c r="F158" s="134"/>
      <c r="G158" s="74" t="n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n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n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A32" activeCellId="0" sqref="A32"/>
    </sheetView>
  </sheetViews>
  <sheetFormatPr defaultColWidth="10.87109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165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 t="n">
        <f aca="false">(A41*(B58+B57))</f>
        <v>0</v>
      </c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83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IF(B99=Z101,H29-B57,IF(B99=Z102,H29-B57,IF(B99=Z103,H29-1,IF(B99=Z104,H29-1,IF(B99=Z105,H29-1,IF(B99=Z106,H29-1,IF(B99=Z107,H29-B57,IF(B99=Z108,H29-B57,IF(B99=Z109,H29-B57,0)))))))))</f>
        <v>3</v>
      </c>
      <c r="C58" s="144" t="s">
        <v>303</v>
      </c>
      <c r="D58" s="144"/>
      <c r="E58" s="145"/>
      <c r="F58" s="134"/>
      <c r="G58" s="137" t="s">
        <v>84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87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B61*B66</f>
        <v>578.85</v>
      </c>
      <c r="C67" s="144"/>
      <c r="D67" s="143"/>
      <c r="E67" s="145"/>
      <c r="F67" s="134"/>
      <c r="G67" s="176" t="s">
        <v>90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96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0</v>
      </c>
      <c r="C74" s="144"/>
      <c r="D74" s="144"/>
      <c r="E74" s="145"/>
      <c r="F74" s="134"/>
      <c r="G74" s="182" t="s">
        <v>97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0</v>
      </c>
      <c r="C75" s="144"/>
      <c r="D75" s="144"/>
      <c r="E75" s="145"/>
      <c r="F75" s="134"/>
      <c r="G75" s="135" t="s">
        <v>98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4711.95</v>
      </c>
      <c r="C81" s="144"/>
      <c r="D81" s="144"/>
      <c r="E81" s="145"/>
      <c r="F81" s="134"/>
      <c r="G81" s="198" t="s">
        <v>105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392.6625</v>
      </c>
      <c r="C82" s="144"/>
      <c r="D82" s="144"/>
      <c r="E82" s="145"/>
      <c r="F82" s="134"/>
      <c r="G82" s="137" t="s">
        <v>106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H46</f>
        <v>501</v>
      </c>
      <c r="C83" s="144"/>
      <c r="D83" s="144"/>
      <c r="E83" s="145"/>
      <c r="F83" s="134"/>
      <c r="G83" s="200" t="s">
        <v>107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((B83*(H29)+B81))</f>
        <v>10723.95</v>
      </c>
      <c r="C85" s="144"/>
      <c r="D85" s="144"/>
      <c r="E85" s="145"/>
      <c r="F85" s="134"/>
      <c r="G85" s="179" t="s">
        <v>108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(B85/(1-B70))*B70</f>
        <v>90.8442718838241</v>
      </c>
      <c r="C86" s="144"/>
      <c r="D86" s="144"/>
      <c r="E86" s="145"/>
      <c r="F86" s="134"/>
      <c r="G86" s="137" t="s">
        <v>109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IF(B110="YES",((B85+B86)-A151-E114),((B85+B86)-A151))</f>
        <v>6814.79427188382</v>
      </c>
      <c r="C87" s="144"/>
      <c r="D87" s="144"/>
      <c r="E87" s="145"/>
      <c r="F87" s="134"/>
      <c r="G87" s="176" t="s">
        <v>110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8" t="n">
        <f aca="false">IF(B99=Z102,(((H44*B35)+(H44*B35)*(B105/100))/(B58)),(((H44*B35)+(H44*B35)*(B105/100))/(B57+B58)))</f>
        <v>0</v>
      </c>
      <c r="C89" s="144" t="s">
        <v>75</v>
      </c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IF(B99=Z102, (B87-D105)/(B58), B87/(B57+B58))</f>
        <v>567.899522656985</v>
      </c>
      <c r="C90" s="144"/>
      <c r="D90" s="144"/>
      <c r="E90" s="145"/>
      <c r="F90" s="134"/>
      <c r="G90" s="204" t="s">
        <v>111</v>
      </c>
      <c r="H90" s="205" t="n">
        <f aca="false">IF(H99=AE98, (H87-J105)/(H58), H87/(H57+H58))</f>
        <v>1180.02508941778</v>
      </c>
      <c r="I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567.899522656985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122</v>
      </c>
      <c r="B99" s="109" t="s">
        <v>130</v>
      </c>
      <c r="C99" s="109"/>
      <c r="D99" s="112" t="n">
        <v>1000</v>
      </c>
      <c r="E99" s="112"/>
      <c r="F99" s="134"/>
      <c r="G99" s="153" t="s">
        <v>122</v>
      </c>
      <c r="H99" s="109" t="s">
        <v>117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117</v>
      </c>
      <c r="AA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120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125</v>
      </c>
      <c r="AA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126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130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124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123</v>
      </c>
      <c r="AA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134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136</v>
      </c>
    </row>
    <row r="110" customFormat="false" ht="18.75" hidden="false" customHeight="true" outlineLevel="0" collapsed="false">
      <c r="A110" s="137" t="s">
        <v>139</v>
      </c>
      <c r="B110" s="155" t="s">
        <v>25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</v>
      </c>
      <c r="E112" s="112" t="n">
        <v>6000</v>
      </c>
      <c r="F112" s="134"/>
      <c r="G112" s="137" t="s">
        <v>140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141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-2800.01</v>
      </c>
      <c r="F119" s="134"/>
      <c r="G119" s="210" t="s">
        <v>145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81</v>
      </c>
      <c r="B126" s="144" t="s">
        <v>82</v>
      </c>
      <c r="C126" s="144"/>
      <c r="D126" s="144" t="s">
        <v>84</v>
      </c>
      <c r="E126" s="145"/>
      <c r="F126" s="134"/>
      <c r="G126" s="137" t="s">
        <v>81</v>
      </c>
      <c r="H126" s="144" t="s">
        <v>82</v>
      </c>
      <c r="I126" s="144"/>
      <c r="J126" s="144" t="s">
        <v>84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B151</f>
        <v>5000</v>
      </c>
      <c r="C127" s="45"/>
      <c r="D127" s="118" t="n">
        <f aca="false">B58</f>
        <v>3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148</v>
      </c>
      <c r="B129" s="212" t="s">
        <v>149</v>
      </c>
      <c r="C129" s="212"/>
      <c r="D129" s="212" t="s">
        <v>112</v>
      </c>
      <c r="E129" s="145"/>
      <c r="F129" s="134"/>
      <c r="G129" s="211" t="s">
        <v>150</v>
      </c>
      <c r="H129" s="212" t="s">
        <v>151</v>
      </c>
      <c r="I129" s="212"/>
      <c r="J129" s="212" t="s">
        <v>152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69"/>
    </row>
    <row r="130" customFormat="false" ht="18.75" hidden="false" customHeight="true" outlineLevel="0" collapsed="false">
      <c r="A130" s="122" t="n">
        <f aca="false">B90</f>
        <v>567.899522656985</v>
      </c>
      <c r="B130" s="213" t="n">
        <f aca="false">IF(A105="YES", B89*B57, 0)</f>
        <v>0</v>
      </c>
      <c r="C130" s="213"/>
      <c r="D130" s="213" t="n">
        <f aca="false">B91</f>
        <v>567.899522656985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69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69"/>
    </row>
    <row r="132" customFormat="false" ht="18.75" hidden="false" customHeight="true" outlineLevel="0" collapsed="false">
      <c r="A132" s="137" t="s">
        <v>153</v>
      </c>
      <c r="B132" s="144" t="s">
        <v>154</v>
      </c>
      <c r="C132" s="144"/>
      <c r="D132" s="144" t="s">
        <v>155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5111.09570391287</v>
      </c>
      <c r="B133" s="214" t="n">
        <f aca="false">IF(A105="YES", B89*B57, 0)</f>
        <v>0</v>
      </c>
      <c r="C133" s="154"/>
      <c r="D133" s="128" t="n">
        <f aca="false">B91*B57</f>
        <v>5111.09570391287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159</v>
      </c>
      <c r="B135" s="144" t="s">
        <v>160</v>
      </c>
      <c r="C135" s="144"/>
      <c r="D135" s="144" t="s">
        <v>161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165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99.99</v>
      </c>
      <c r="C142" s="214"/>
      <c r="D142" s="214" t="n">
        <f aca="false">(B139+D139+A142+B142)-B145</f>
        <v>477.799019731241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201.040980268759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567.899522656985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3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3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3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1" t="n">
        <v>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81</v>
      </c>
      <c r="B58" s="258" t="s">
        <v>82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83</v>
      </c>
      <c r="B67" s="12" t="n">
        <v>1</v>
      </c>
      <c r="C67" s="12"/>
      <c r="D67" s="12"/>
      <c r="E67" s="235"/>
      <c r="F67" s="235"/>
      <c r="G67" s="235"/>
      <c r="H67" s="11"/>
      <c r="J67" s="220" t="s">
        <v>83</v>
      </c>
      <c r="K67" s="12" t="n">
        <v>1</v>
      </c>
      <c r="L67" s="12"/>
      <c r="M67" s="12"/>
      <c r="N67" s="235"/>
      <c r="O67" s="235"/>
      <c r="P67" s="235"/>
      <c r="Q67" s="11"/>
      <c r="S67" s="220" t="s">
        <v>83</v>
      </c>
      <c r="T67" s="12" t="n">
        <v>1</v>
      </c>
      <c r="U67" s="12"/>
      <c r="V67" s="12"/>
      <c r="W67" s="235"/>
      <c r="X67" s="235"/>
      <c r="Y67" s="235"/>
      <c r="Z67" s="11"/>
      <c r="AB67" s="220" t="s">
        <v>83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84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84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84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84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87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87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87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87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88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88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88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88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89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89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89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89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90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90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90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90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91</v>
      </c>
      <c r="B78" s="264" t="n">
        <v>0</v>
      </c>
      <c r="C78" s="12"/>
      <c r="D78" s="12"/>
      <c r="E78" s="235"/>
      <c r="F78" s="235"/>
      <c r="G78" s="235"/>
      <c r="H78" s="11"/>
      <c r="J78" s="263" t="s">
        <v>91</v>
      </c>
      <c r="K78" s="264" t="n">
        <v>0</v>
      </c>
      <c r="L78" s="12"/>
      <c r="M78" s="12"/>
      <c r="N78" s="235"/>
      <c r="O78" s="235"/>
      <c r="P78" s="235"/>
      <c r="Q78" s="11"/>
      <c r="S78" s="263" t="s">
        <v>91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91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92</v>
      </c>
      <c r="B79" s="265" t="n">
        <v>0</v>
      </c>
      <c r="C79" s="12"/>
      <c r="D79" s="12"/>
      <c r="E79" s="235"/>
      <c r="F79" s="235"/>
      <c r="G79" s="235"/>
      <c r="H79" s="11"/>
      <c r="J79" s="217" t="s">
        <v>92</v>
      </c>
      <c r="K79" s="265" t="n">
        <v>0</v>
      </c>
      <c r="L79" s="12"/>
      <c r="M79" s="12"/>
      <c r="N79" s="235"/>
      <c r="O79" s="235"/>
      <c r="P79" s="235"/>
      <c r="Q79" s="11"/>
      <c r="S79" s="217" t="s">
        <v>92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92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93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93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93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93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94</v>
      </c>
      <c r="B81" s="87" t="n">
        <v>0</v>
      </c>
      <c r="C81" s="12"/>
      <c r="D81" s="12"/>
      <c r="E81" s="235"/>
      <c r="F81" s="235"/>
      <c r="G81" s="235"/>
      <c r="H81" s="11"/>
      <c r="J81" s="263" t="s">
        <v>94</v>
      </c>
      <c r="K81" s="87" t="n">
        <v>0</v>
      </c>
      <c r="L81" s="12"/>
      <c r="M81" s="12"/>
      <c r="N81" s="235"/>
      <c r="O81" s="235"/>
      <c r="P81" s="235"/>
      <c r="Q81" s="11"/>
      <c r="S81" s="263" t="s">
        <v>94</v>
      </c>
      <c r="T81" s="87" t="n">
        <v>0</v>
      </c>
      <c r="U81" s="12"/>
      <c r="V81" s="12"/>
      <c r="W81" s="235"/>
      <c r="X81" s="235"/>
      <c r="Y81" s="235"/>
      <c r="Z81" s="11"/>
      <c r="AB81" s="263" t="s">
        <v>94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95</v>
      </c>
      <c r="B82" s="88" t="n">
        <v>0</v>
      </c>
      <c r="C82" s="12"/>
      <c r="D82" s="12"/>
      <c r="E82" s="235"/>
      <c r="F82" s="235"/>
      <c r="G82" s="235"/>
      <c r="H82" s="11"/>
      <c r="J82" s="217" t="s">
        <v>95</v>
      </c>
      <c r="K82" s="88" t="n">
        <v>0</v>
      </c>
      <c r="L82" s="12"/>
      <c r="M82" s="12"/>
      <c r="N82" s="235"/>
      <c r="O82" s="235"/>
      <c r="P82" s="235"/>
      <c r="Q82" s="11"/>
      <c r="S82" s="217" t="s">
        <v>95</v>
      </c>
      <c r="T82" s="88" t="n">
        <v>0</v>
      </c>
      <c r="U82" s="12"/>
      <c r="V82" s="12"/>
      <c r="W82" s="235"/>
      <c r="X82" s="235"/>
      <c r="Y82" s="235"/>
      <c r="Z82" s="11"/>
      <c r="AB82" s="217" t="s">
        <v>95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96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96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96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103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103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103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103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104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104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104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104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105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105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105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105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106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106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106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106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107</v>
      </c>
      <c r="B88" s="101" t="n">
        <f aca="false">K49</f>
        <v>238.924242424242</v>
      </c>
      <c r="C88" s="12"/>
      <c r="D88" s="12"/>
      <c r="E88" s="235"/>
      <c r="F88" s="235"/>
      <c r="G88" s="235"/>
      <c r="H88" s="11"/>
      <c r="J88" s="272" t="s">
        <v>107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107</v>
      </c>
      <c r="T88" s="101" t="n">
        <f aca="false">B60</f>
        <v>238.924242424242</v>
      </c>
      <c r="U88" s="12"/>
      <c r="V88" s="12"/>
      <c r="W88" s="235"/>
      <c r="X88" s="235"/>
      <c r="Y88" s="235"/>
      <c r="Z88" s="11"/>
      <c r="AB88" s="272" t="s">
        <v>107</v>
      </c>
      <c r="AC88" s="101" t="n">
        <f aca="false">B60</f>
        <v>238.924242424242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108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108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108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108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109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109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109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109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110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110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110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110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</f>
        <v>0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111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111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111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111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112</v>
      </c>
      <c r="B105" s="276" t="n">
        <f aca="false">B103+B104</f>
        <v>1639.88541555755</v>
      </c>
      <c r="C105" s="12"/>
      <c r="D105" s="12"/>
      <c r="E105" s="235" t="s">
        <v>26</v>
      </c>
      <c r="F105" s="235"/>
      <c r="G105" s="235"/>
      <c r="H105" s="11"/>
      <c r="J105" s="275" t="s">
        <v>112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112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112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116</v>
      </c>
      <c r="K111" s="239"/>
      <c r="L111" s="239"/>
      <c r="M111" s="239"/>
      <c r="N111" s="239"/>
      <c r="O111" s="239"/>
      <c r="P111" s="239"/>
      <c r="Q111" s="239"/>
      <c r="S111" s="239" t="s">
        <v>116</v>
      </c>
      <c r="T111" s="239"/>
      <c r="U111" s="239"/>
      <c r="V111" s="239"/>
      <c r="W111" s="239"/>
      <c r="X111" s="239"/>
      <c r="Y111" s="239"/>
      <c r="Z111" s="239"/>
      <c r="AB111" s="239" t="s">
        <v>116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20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20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20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117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117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117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132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132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132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132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144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144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144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144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165</v>
      </c>
      <c r="C122" s="12"/>
      <c r="D122" s="12"/>
      <c r="E122" s="12" t="s">
        <v>133</v>
      </c>
      <c r="F122" s="12"/>
      <c r="G122" s="235"/>
      <c r="H122" s="279"/>
      <c r="J122" s="51" t="s">
        <v>232</v>
      </c>
      <c r="K122" s="12" t="s">
        <v>165</v>
      </c>
      <c r="L122" s="12"/>
      <c r="M122" s="12"/>
      <c r="N122" s="12" t="s">
        <v>133</v>
      </c>
      <c r="O122" s="12"/>
      <c r="P122" s="235"/>
      <c r="Q122" s="279"/>
      <c r="S122" s="51" t="s">
        <v>232</v>
      </c>
      <c r="T122" s="12" t="s">
        <v>165</v>
      </c>
      <c r="U122" s="12"/>
      <c r="V122" s="12"/>
      <c r="W122" s="12" t="s">
        <v>133</v>
      </c>
      <c r="X122" s="12"/>
      <c r="Y122" s="235"/>
      <c r="Z122" s="279"/>
      <c r="AB122" s="51" t="s">
        <v>232</v>
      </c>
      <c r="AC122" s="12" t="s">
        <v>165</v>
      </c>
      <c r="AD122" s="12"/>
      <c r="AE122" s="12"/>
      <c r="AF122" s="12" t="s">
        <v>133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140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140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140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140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141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141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141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141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142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142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142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142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143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143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143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143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147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147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147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147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0</v>
      </c>
      <c r="C176" s="321"/>
      <c r="D176" s="321"/>
      <c r="E176" s="123" t="n">
        <f aca="false">B105</f>
        <v>1639.88541555755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81</v>
      </c>
      <c r="B178" s="12" t="s">
        <v>82</v>
      </c>
      <c r="C178" s="12"/>
      <c r="D178" s="235"/>
      <c r="E178" s="12" t="s">
        <v>251</v>
      </c>
      <c r="F178" s="235"/>
      <c r="G178" s="235"/>
      <c r="H178" s="11"/>
      <c r="J178" s="220" t="s">
        <v>81</v>
      </c>
      <c r="K178" s="12" t="s">
        <v>82</v>
      </c>
      <c r="L178" s="12"/>
      <c r="M178" s="235"/>
      <c r="N178" s="12" t="s">
        <v>251</v>
      </c>
      <c r="O178" s="235"/>
      <c r="P178" s="235"/>
      <c r="Q178" s="11"/>
      <c r="S178" s="220" t="s">
        <v>81</v>
      </c>
      <c r="T178" s="12" t="s">
        <v>82</v>
      </c>
      <c r="U178" s="12"/>
      <c r="V178" s="235"/>
      <c r="W178" s="12" t="s">
        <v>251</v>
      </c>
      <c r="X178" s="235"/>
      <c r="Y178" s="235"/>
      <c r="Z178" s="11"/>
      <c r="AB178" s="220" t="s">
        <v>81</v>
      </c>
      <c r="AC178" s="12" t="s">
        <v>82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144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144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144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144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140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140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140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140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81</v>
      </c>
      <c r="B204" s="258" t="s">
        <v>82</v>
      </c>
      <c r="C204" s="258"/>
      <c r="D204" s="258"/>
      <c r="E204" s="235"/>
      <c r="F204" s="235"/>
      <c r="G204" s="235"/>
      <c r="H204" s="11"/>
      <c r="J204" s="325" t="s">
        <v>81</v>
      </c>
      <c r="K204" s="326" t="s">
        <v>82</v>
      </c>
      <c r="L204" s="326"/>
      <c r="M204" s="326"/>
      <c r="N204" s="235"/>
      <c r="O204" s="235"/>
      <c r="P204" s="235"/>
      <c r="Q204" s="11"/>
      <c r="S204" s="325" t="s">
        <v>81</v>
      </c>
      <c r="T204" s="258" t="s">
        <v>82</v>
      </c>
      <c r="U204" s="258"/>
      <c r="V204" s="258"/>
      <c r="W204" s="235"/>
      <c r="X204" s="235"/>
      <c r="Y204" s="235"/>
      <c r="Z204" s="11"/>
      <c r="AB204" s="325" t="s">
        <v>81</v>
      </c>
      <c r="AC204" s="258" t="s">
        <v>82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1639.88541555755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" colorId="64" zoomScale="75" zoomScaleNormal="75" zoomScalePageLayoutView="100" workbookViewId="0">
      <selection pane="topLeft" activeCell="Z103" activeCellId="0" sqref="Z103"/>
    </sheetView>
  </sheetViews>
  <sheetFormatPr defaultColWidth="10.87109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10767.2833333333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6858.49468871857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571.541224059881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571.541224059881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571.541224059881</v>
      </c>
      <c r="B136" s="213" t="n">
        <f aca="false">IF(A111="YES", B95*B63, 0)</f>
        <v>0</v>
      </c>
      <c r="C136" s="213"/>
      <c r="D136" s="213" t="n">
        <f aca="false">B97</f>
        <v>571.541224059881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5143.87101653893</v>
      </c>
      <c r="B139" s="214" t="n">
        <f aca="false">IF(A111="YES", B95*B63, 0)</f>
        <v>0</v>
      </c>
      <c r="C139" s="154"/>
      <c r="D139" s="128" t="n">
        <f aca="false">B97*B63</f>
        <v>5143.87101653893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571.541224059881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3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3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3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1" t="n">
        <v>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81</v>
      </c>
      <c r="B58" s="258" t="s">
        <v>82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83</v>
      </c>
      <c r="B67" s="12" t="n">
        <v>1</v>
      </c>
      <c r="C67" s="12"/>
      <c r="D67" s="12"/>
      <c r="E67" s="235"/>
      <c r="F67" s="235"/>
      <c r="G67" s="235"/>
      <c r="H67" s="11"/>
      <c r="J67" s="220" t="s">
        <v>83</v>
      </c>
      <c r="K67" s="12" t="n">
        <v>1</v>
      </c>
      <c r="L67" s="12"/>
      <c r="M67" s="12"/>
      <c r="N67" s="235"/>
      <c r="O67" s="235"/>
      <c r="P67" s="235"/>
      <c r="Q67" s="11"/>
      <c r="S67" s="220" t="s">
        <v>83</v>
      </c>
      <c r="T67" s="12" t="n">
        <v>1</v>
      </c>
      <c r="U67" s="12"/>
      <c r="V67" s="12"/>
      <c r="W67" s="235"/>
      <c r="X67" s="235"/>
      <c r="Y67" s="235"/>
      <c r="Z67" s="11"/>
      <c r="AB67" s="220" t="s">
        <v>83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84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84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84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84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87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87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87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87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88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88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88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88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89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89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89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89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90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90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90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90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91</v>
      </c>
      <c r="B78" s="264" t="n">
        <v>0</v>
      </c>
      <c r="C78" s="12"/>
      <c r="D78" s="12"/>
      <c r="E78" s="235"/>
      <c r="F78" s="235"/>
      <c r="G78" s="235"/>
      <c r="H78" s="11"/>
      <c r="J78" s="263" t="s">
        <v>91</v>
      </c>
      <c r="K78" s="264" t="n">
        <v>0</v>
      </c>
      <c r="L78" s="12"/>
      <c r="M78" s="12"/>
      <c r="N78" s="235"/>
      <c r="O78" s="235"/>
      <c r="P78" s="235"/>
      <c r="Q78" s="11"/>
      <c r="S78" s="263" t="s">
        <v>91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91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92</v>
      </c>
      <c r="B79" s="265" t="n">
        <v>0</v>
      </c>
      <c r="C79" s="12"/>
      <c r="D79" s="12"/>
      <c r="E79" s="235"/>
      <c r="F79" s="235"/>
      <c r="G79" s="235"/>
      <c r="H79" s="11"/>
      <c r="J79" s="217" t="s">
        <v>92</v>
      </c>
      <c r="K79" s="265" t="n">
        <v>0</v>
      </c>
      <c r="L79" s="12"/>
      <c r="M79" s="12"/>
      <c r="N79" s="235"/>
      <c r="O79" s="235"/>
      <c r="P79" s="235"/>
      <c r="Q79" s="11"/>
      <c r="S79" s="217" t="s">
        <v>92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92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93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93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93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93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94</v>
      </c>
      <c r="B81" s="87" t="n">
        <v>0</v>
      </c>
      <c r="C81" s="12"/>
      <c r="D81" s="12"/>
      <c r="E81" s="235"/>
      <c r="F81" s="235"/>
      <c r="G81" s="235"/>
      <c r="H81" s="11"/>
      <c r="J81" s="263" t="s">
        <v>94</v>
      </c>
      <c r="K81" s="87" t="n">
        <v>0</v>
      </c>
      <c r="L81" s="12"/>
      <c r="M81" s="12"/>
      <c r="N81" s="235"/>
      <c r="O81" s="235"/>
      <c r="P81" s="235"/>
      <c r="Q81" s="11"/>
      <c r="S81" s="263" t="s">
        <v>94</v>
      </c>
      <c r="T81" s="87" t="n">
        <v>0</v>
      </c>
      <c r="U81" s="12"/>
      <c r="V81" s="12"/>
      <c r="W81" s="235"/>
      <c r="X81" s="235"/>
      <c r="Y81" s="235"/>
      <c r="Z81" s="11"/>
      <c r="AB81" s="263" t="s">
        <v>94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95</v>
      </c>
      <c r="B82" s="88" t="n">
        <v>0</v>
      </c>
      <c r="C82" s="12"/>
      <c r="D82" s="12"/>
      <c r="E82" s="235"/>
      <c r="F82" s="235"/>
      <c r="G82" s="235"/>
      <c r="H82" s="11"/>
      <c r="J82" s="217" t="s">
        <v>95</v>
      </c>
      <c r="K82" s="88" t="n">
        <v>0</v>
      </c>
      <c r="L82" s="12"/>
      <c r="M82" s="12"/>
      <c r="N82" s="235"/>
      <c r="O82" s="235"/>
      <c r="P82" s="235"/>
      <c r="Q82" s="11"/>
      <c r="S82" s="217" t="s">
        <v>95</v>
      </c>
      <c r="T82" s="88" t="n">
        <v>0</v>
      </c>
      <c r="U82" s="12"/>
      <c r="V82" s="12"/>
      <c r="W82" s="235"/>
      <c r="X82" s="235"/>
      <c r="Y82" s="235"/>
      <c r="Z82" s="11"/>
      <c r="AB82" s="217" t="s">
        <v>95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96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96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96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103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103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103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103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104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104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104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104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105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105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105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105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106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106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106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106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107</v>
      </c>
      <c r="B88" s="101" t="n">
        <f aca="false">K49</f>
        <v>238.924242424242</v>
      </c>
      <c r="C88" s="12"/>
      <c r="D88" s="12"/>
      <c r="E88" s="235"/>
      <c r="F88" s="235"/>
      <c r="G88" s="235"/>
      <c r="H88" s="11"/>
      <c r="J88" s="272" t="s">
        <v>107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107</v>
      </c>
      <c r="T88" s="101" t="n">
        <f aca="false">B60</f>
        <v>238.924242424242</v>
      </c>
      <c r="U88" s="12"/>
      <c r="V88" s="12"/>
      <c r="W88" s="235"/>
      <c r="X88" s="235"/>
      <c r="Y88" s="235"/>
      <c r="Z88" s="11"/>
      <c r="AB88" s="272" t="s">
        <v>107</v>
      </c>
      <c r="AC88" s="101" t="n">
        <f aca="false">B60</f>
        <v>238.924242424242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108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108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108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108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109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109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109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109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110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110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110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110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A34)*A117))/(B68)*1.2</f>
        <v>0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111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111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111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111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112</v>
      </c>
      <c r="B105" s="276" t="n">
        <f aca="false">B103+B104</f>
        <v>1639.88541555755</v>
      </c>
      <c r="C105" s="12"/>
      <c r="D105" s="12"/>
      <c r="E105" s="235" t="s">
        <v>26</v>
      </c>
      <c r="F105" s="235"/>
      <c r="G105" s="235"/>
      <c r="H105" s="11"/>
      <c r="J105" s="275" t="s">
        <v>112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112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112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116</v>
      </c>
      <c r="K111" s="239"/>
      <c r="L111" s="239"/>
      <c r="M111" s="239"/>
      <c r="N111" s="239"/>
      <c r="O111" s="239"/>
      <c r="P111" s="239"/>
      <c r="Q111" s="239"/>
      <c r="S111" s="239" t="s">
        <v>116</v>
      </c>
      <c r="T111" s="239"/>
      <c r="U111" s="239"/>
      <c r="V111" s="239"/>
      <c r="W111" s="239"/>
      <c r="X111" s="239"/>
      <c r="Y111" s="239"/>
      <c r="Z111" s="239"/>
      <c r="AB111" s="239" t="s">
        <v>116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20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20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20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117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117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117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132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132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132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132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144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144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144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144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165</v>
      </c>
      <c r="C122" s="12"/>
      <c r="D122" s="12"/>
      <c r="E122" s="12" t="s">
        <v>133</v>
      </c>
      <c r="F122" s="12"/>
      <c r="G122" s="235"/>
      <c r="H122" s="279"/>
      <c r="J122" s="51" t="s">
        <v>232</v>
      </c>
      <c r="K122" s="12" t="s">
        <v>165</v>
      </c>
      <c r="L122" s="12"/>
      <c r="M122" s="12"/>
      <c r="N122" s="12" t="s">
        <v>133</v>
      </c>
      <c r="O122" s="12"/>
      <c r="P122" s="235"/>
      <c r="Q122" s="279"/>
      <c r="S122" s="51" t="s">
        <v>232</v>
      </c>
      <c r="T122" s="12" t="s">
        <v>165</v>
      </c>
      <c r="U122" s="12"/>
      <c r="V122" s="12"/>
      <c r="W122" s="12" t="s">
        <v>133</v>
      </c>
      <c r="X122" s="12"/>
      <c r="Y122" s="235"/>
      <c r="Z122" s="279"/>
      <c r="AB122" s="51" t="s">
        <v>232</v>
      </c>
      <c r="AC122" s="12" t="s">
        <v>165</v>
      </c>
      <c r="AD122" s="12"/>
      <c r="AE122" s="12"/>
      <c r="AF122" s="12" t="s">
        <v>133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140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140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140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140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141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141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141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141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142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142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142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142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143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143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143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143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147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147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147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147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0</v>
      </c>
      <c r="C176" s="321"/>
      <c r="D176" s="321"/>
      <c r="E176" s="123" t="n">
        <f aca="false">B105</f>
        <v>1639.88541555755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81</v>
      </c>
      <c r="B178" s="12" t="s">
        <v>82</v>
      </c>
      <c r="C178" s="12"/>
      <c r="D178" s="235"/>
      <c r="E178" s="12" t="s">
        <v>251</v>
      </c>
      <c r="F178" s="235"/>
      <c r="G178" s="235"/>
      <c r="H178" s="11"/>
      <c r="J178" s="220" t="s">
        <v>81</v>
      </c>
      <c r="K178" s="12" t="s">
        <v>82</v>
      </c>
      <c r="L178" s="12"/>
      <c r="M178" s="235"/>
      <c r="N178" s="12" t="s">
        <v>251</v>
      </c>
      <c r="O178" s="235"/>
      <c r="P178" s="235"/>
      <c r="Q178" s="11"/>
      <c r="S178" s="220" t="s">
        <v>81</v>
      </c>
      <c r="T178" s="12" t="s">
        <v>82</v>
      </c>
      <c r="U178" s="12"/>
      <c r="V178" s="235"/>
      <c r="W178" s="12" t="s">
        <v>251</v>
      </c>
      <c r="X178" s="235"/>
      <c r="Y178" s="235"/>
      <c r="Z178" s="11"/>
      <c r="AB178" s="220" t="s">
        <v>81</v>
      </c>
      <c r="AC178" s="12" t="s">
        <v>82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144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144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144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144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140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140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140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140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81</v>
      </c>
      <c r="B204" s="258" t="s">
        <v>82</v>
      </c>
      <c r="C204" s="258"/>
      <c r="D204" s="258"/>
      <c r="E204" s="235"/>
      <c r="F204" s="235"/>
      <c r="G204" s="235"/>
      <c r="H204" s="11"/>
      <c r="J204" s="325" t="s">
        <v>81</v>
      </c>
      <c r="K204" s="326" t="s">
        <v>82</v>
      </c>
      <c r="L204" s="326"/>
      <c r="M204" s="326"/>
      <c r="N204" s="235"/>
      <c r="O204" s="235"/>
      <c r="P204" s="235"/>
      <c r="Q204" s="11"/>
      <c r="S204" s="325" t="s">
        <v>81</v>
      </c>
      <c r="T204" s="258" t="s">
        <v>82</v>
      </c>
      <c r="U204" s="258"/>
      <c r="V204" s="258"/>
      <c r="W204" s="235"/>
      <c r="X204" s="235"/>
      <c r="Y204" s="235"/>
      <c r="Z204" s="11"/>
      <c r="AB204" s="325" t="s">
        <v>81</v>
      </c>
      <c r="AC204" s="258" t="s">
        <v>82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1639.88541555755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3" colorId="64" zoomScale="75" zoomScaleNormal="7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D41</f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21.15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1661.03541555755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21.15</v>
      </c>
      <c r="C167" s="360"/>
      <c r="D167" s="360"/>
      <c r="E167" s="213" t="n">
        <f aca="false">B96</f>
        <v>1661.03541555755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str">
        <f aca="false">IF(A111="YES", A40, 0)</f>
        <v>Monthly maintenance rental (Ex. VAT)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e">
        <f aca="false">E170+A185</f>
        <v>#VALUE!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1661.03541555755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34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17.625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1657.51041555755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17.625</v>
      </c>
      <c r="C167" s="360"/>
      <c r="D167" s="360"/>
      <c r="E167" s="213" t="n">
        <f aca="false">B96</f>
        <v>1657.51041555755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str">
        <f aca="false">IF(A111="YES", A40, 0)</f>
        <v>Monthly maintenance rental (Ex. VAT)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e">
        <f aca="false">E170+A185</f>
        <v>#VALUE!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1657.51041555755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A95" activeCellId="0" sqref="A9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55466.9696823396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33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 t="n">
        <f aca="false">(B82/((1+B84)^(B85+1)))</f>
        <v>0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27.3675754865307</v>
      </c>
      <c r="C87" s="330" t="n">
        <f aca="false">((1-(1/((1+B84)^B85)))/B84)</f>
        <v>27.3675754865307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47877.5</v>
      </c>
      <c r="C88" s="330" t="n">
        <f aca="false">B81-B86</f>
        <v>47877.5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1749.42424196705</v>
      </c>
      <c r="C89" s="330" t="n">
        <f aca="false">(B88/B87)</f>
        <v>1749.42424196705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57730.9999849127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57730.9999849127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20.5090909090909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1749.42424196705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1769.93333287614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275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25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1749.42424196705</v>
      </c>
      <c r="B167" s="213" t="n">
        <f aca="false">B94</f>
        <v>20.5090909090909</v>
      </c>
      <c r="C167" s="360"/>
      <c r="D167" s="360"/>
      <c r="E167" s="213" t="n">
        <f aca="false">B96</f>
        <v>1769.93333287614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1769.93333287614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65" activeCellId="0" sqref="B65"/>
    </sheetView>
  </sheetViews>
  <sheetFormatPr defaultColWidth="10.87109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5.28</v>
      </c>
      <c r="E32" s="158"/>
      <c r="F32" s="134"/>
      <c r="G32" s="159" t="s">
        <v>179</v>
      </c>
      <c r="H32" s="157" t="str">
        <f aca="false">A41</f>
        <v>5.28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505.28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276</v>
      </c>
      <c r="B41" s="55" t="n">
        <f aca="false">IF(B38="YES", D38+A41, D38)</f>
        <v>505.28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str">
        <f aca="false">H32</f>
        <v>5.28</v>
      </c>
      <c r="I44" s="62" t="n">
        <f aca="false">((A41*(B35-1))+D32)/B35</f>
        <v>5.28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506.28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506.28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97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98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10723.95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6814.79427188382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6.336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567.899522656985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567.899522656985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115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20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567.899522656985</v>
      </c>
      <c r="B136" s="213" t="n">
        <f aca="false">IF(A111="YES", B95*B63, 0)</f>
        <v>0</v>
      </c>
      <c r="C136" s="213"/>
      <c r="D136" s="213" t="n">
        <f aca="false">B97</f>
        <v>567.899522656985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5111.09570391287</v>
      </c>
      <c r="B139" s="214" t="n">
        <f aca="false">IF(A111="YES", B95*B63, 0)</f>
        <v>0</v>
      </c>
      <c r="C139" s="154"/>
      <c r="D139" s="128" t="n">
        <f aca="false">B97*B63</f>
        <v>5111.09570391287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1.2672</v>
      </c>
      <c r="H148" s="214" t="n">
        <f aca="false">G108-100</f>
        <v>139.988</v>
      </c>
      <c r="I148" s="214"/>
      <c r="J148" s="214" t="n">
        <f aca="false">(H145+J145+G148+H148)-H151</f>
        <v>1462.4427</v>
      </c>
      <c r="K148" s="130"/>
      <c r="L148" s="134"/>
      <c r="M148" s="129" t="n">
        <f aca="false">IF(M111="YES", ((A41*N111)*0.1)*(M133), 0)</f>
        <v>1.2672</v>
      </c>
      <c r="N148" s="214" t="n">
        <f aca="false">M108-100</f>
        <v>99.99</v>
      </c>
      <c r="O148" s="214"/>
      <c r="P148" s="214" t="n">
        <f aca="false">(N145+P145+M148+N148)-N151</f>
        <v>1422.4447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567.899522656985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95" activeCellId="0" sqref="B95"/>
    </sheetView>
  </sheetViews>
  <sheetFormatPr defaultColWidth="10.87109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44926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((B89*H29)+B87)*1.2</f>
        <v>12920.74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9011.95135538524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750.995946282103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750.995946282103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750.995946282103</v>
      </c>
      <c r="B136" s="213" t="n">
        <f aca="false">IF(A111="YES", B95*B63, 0)</f>
        <v>0</v>
      </c>
      <c r="C136" s="213"/>
      <c r="D136" s="213" t="n">
        <f aca="false">B97</f>
        <v>750.995946282103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6758.96351653893</v>
      </c>
      <c r="B139" s="214" t="n">
        <f aca="false">IF(A111="YES", B95*B63, 0)</f>
        <v>0</v>
      </c>
      <c r="C139" s="154"/>
      <c r="D139" s="128" t="n">
        <f aca="false">B97*B63</f>
        <v>6758.96351653893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139.99</v>
      </c>
      <c r="C148" s="214"/>
      <c r="D148" s="214" t="n">
        <f aca="false">(B145+D145+A148+B148)-B151</f>
        <v>622.365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750.995946282103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2022-12-30T18:26:50Z</dcterms:modified>
  <cp:revision>304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