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<sst xmlns="http://schemas.openxmlformats.org/spreadsheetml/2006/main" count="35309" uniqueCount="419">
  <si>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</si>
  <si>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</si>
  <si>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</si>
  <si>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</si>
  <si>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</si>
  <si>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</si>
  <si>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</si>
  <si>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</si>
  <si>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</si>
  <si>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</si>
  <si>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</si>
  <si>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</si>
  <si>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</si>
  <si>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</si>
  <si>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</si>
  <si>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</si>
  <si>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</si>
  <si>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</si>
  <si>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</si>
  <si>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</si>
  <si>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</si>
  <si>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</si>
  <si>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</si>
  <si>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</si>
  <si>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</si>
  <si>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</si>
  <si>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</si>
  <si>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</si>
  <si>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</si>
  <si>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</si>
  <si>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</si>
  <si>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</si>
  <si>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</si>
  <si>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</si>
  <si>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</si>
  <si>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</si>
  <si>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</si>
  <si>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</si>
  <si>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</si>
  <si>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</si>
  <si>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</si>
  <si>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</si>
  <si>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</si>
  <si>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</si>
  <si>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</si>
  <si>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</si>
  <si>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</si>
  <si>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</si>
  <si>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</si>
  <si>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</si>
  <si>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</si>
  <si>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</si>
  <si>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</si>
  <si>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</si>
  <si>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</si>
  <si>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</si>
  <si>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</si>
  <si>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</si>
  <si>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</si>
  <si>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</si>
  <si>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</si>
  <si>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</si>
  <si>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</si>
  <si>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</si>
  <si>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</si>
  <si>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</si>
  <si>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</si>
  <si>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</si>
  <si>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</si>
  <si>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</si>
  <si>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</si>
  <si>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</si>
  <si>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</si>
  <si>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</si>
  <si>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</si>
  <si>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</si>
  <si>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</si>
  <si>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</si>
  <si>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</si>
  <si>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</si>
  <si>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</si>
  <si>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</si>
  <si>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</si>
  <si>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</si>
  <si>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</si>
  <si>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</si>
  <si>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</si>
  <si>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</si>
  <si>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</si>
  <si>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</si>
  <si>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</si>
  <si>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</si>
  <si>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</si>
  <si>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</si>
  <si>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</si>
  <si>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</si>
  <si>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</si>
  <si>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</si>
  <si>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</si>
  <si>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</si>
  <si>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</si>
  <si>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</si>
  <si>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</si>
  <si>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</si>
  <si>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</si>
  <si>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</si>
  <si>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</si>
  <si>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</si>
  <si>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</si>
  <si>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</si>
  <si>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</si>
  <si>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</si>
  <si>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</si>
  <si>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</si>
  <si>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</si>
  <si>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</si>
  <si>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</si>
  <si>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</si>
  <si>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</si>
  <si>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</si>
  <si>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</si>
  <si>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</si>
  <si>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</si>
  <si>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</si>
  <si>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</si>
  <si>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</si>
  <si>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</si>
  <si>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</si>
  <si>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</si>
  <si>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</si>
  <si>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</si>
  <si>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</si>
  <si>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</si>
  <si>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</si>
  <si>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</si>
  <si>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</si>
  <si>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</si>
  <si>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</si>
  <si>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</si>
  <si>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</si>
  <si>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</si>
  <si>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</si>
  <si>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</si>
  <si>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</si>
  <si>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</si>
  <si>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</si>
  <si>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</si>
  <si>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</si>
  <si>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</si>
  <si>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</si>
  <si>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</si>
  <si>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</si>
  <si>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</si>
  <si>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</si>
  <si>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</si>
  <si>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</si>
  <si>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</si>
  <si>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</si>
  <si>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</si>
  <si>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</si>
  <si>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</si>
  <si>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</si>
  <si>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</si>
  <si>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</si>
  <si>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</si>
  <si>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</si>
  <si>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</si>
  <si>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</si>
  <si>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</si>
  <si>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</si>
  <si>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</si>
  <si>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</si>
  <si>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</si>
  <si>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</si>
  <si>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</si>
  <si>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</si>
  <si>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</si>
  <si>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</si>
  <si>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</si>
  <si>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</si>
  <si>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</si>
  <si>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</si>
  <si>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</si>
  <si>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</si>
  <si>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</si>
  <si>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</si>
  <si>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</si>
  <si>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</si>
  <si>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</si>
  <si>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</si>
  <si>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</si>
  <si>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</si>
  <si>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</si>
  <si>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</si>
  <si>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</si>
  <si>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</si>
  <si>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</si>
  <si>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</si>
  <si>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</si>
  <si>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</si>
  <si>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</si>
  <si>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</si>
  <si>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</si>
  <si>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</si>
  <si>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</si>
  <si>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</si>
  <si>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</si>
  <si>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</si>
  <si>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</si>
  <si>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</si>
  <si>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</si>
  <si>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</si>
  <si>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</si>
  <si>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</si>
  <si>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</si>
  <si>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</si>
  <si>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</si>
  <si>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</si>
  <si>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</si>
  <si>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</si>
  <si>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</si>
  <si>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</si>
  <si>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</si>
  <si>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</si>
  <si>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</si>
  <si>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</si>
  <si>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</si>
  <si>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</si>
  <si>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</si>
  <si>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</si>
  <si>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</si>
  <si>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</si>
  <si>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</si>
  <si>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</si>
  <si>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</si>
  <si>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</si>
  <si>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</si>
  <si>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</si>
  <si>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</si>
  <si>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</si>
  <si>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</si>
  <si>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</si>
  <si>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</si>
  <si>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</si>
  <si>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</si>
  <si>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</si>
  <si>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</si>
  <si>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</si>
  <si>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</si>
  <si>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</si>
  <si>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</si>
  <si>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</si>
  <si>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</si>
  <si>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</si>
  <si>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</si>
  <si>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</si>
  <si>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</si>
  <si>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</si>
  <si>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</si>
  <si>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</si>
  <si>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</si>
  <si>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</si>
  <si>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</si>
  <si>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</si>
  <si>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</si>
  <si>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</si>
  <si>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</si>
  <si>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</si>
  <si>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</si>
  <si>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</si>
  <si>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</si>
  <si>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</si>
  <si>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</si>
  <si>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</si>
  <si>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</si>
  <si>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</si>
  <si>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</si>
  <si>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</si>
  <si>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</si>
  <si>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</si>
  <si>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</si>
  <si>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</si>
  <si>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</si>
  <si>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</si>
  <si>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</si>
  <si>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</si>
  <si>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</si>
  <si>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</si>
  <si>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</si>
  <si>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</si>
  <si>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</si>
  <si>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</si>
  <si>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</si>
  <si>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</si>
  <si>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</si>
  <si>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</si>
  <si>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</si>
  <si>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</si>
  <si>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</si>
  <si>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</si>
  <si>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</si>
  <si>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</si>
  <si>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</si>
  <si>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</si>
  <si>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</si>
  <si>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</si>
  <si>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</si>
  <si>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</si>
  <si>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</si>
  <si>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</si>
  <si>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</si>
  <si>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</si>
  <si>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</si>
  <si>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</si>
  <si>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</si>
  <si>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</si>
  <si>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</si>
  <si>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</si>
  <si>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</si>
  <si>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</si>
  <si>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</si>
  <si>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</si>
  <si>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</si>
  <si>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</si>
  <si>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</si>
  <si>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</si>
  <si>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</si>
  <si>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</si>
  <si>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</si>
  <si>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</si>
  <si>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</si>
  <si>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</si>
  <si>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</si>
  <si>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</si>
  <si>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</si>
  <si>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</si>
  <si>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</si>
  <si>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</si>
  <si>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</si>
  <si>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</si>
  <si>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</si>
  <si>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</si>
  <si>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</si>
  <si>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</si>
  <si>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</si>
  <si>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</si>
  <si>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</si>
  <si>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</si>
  <si>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</si>
  <si>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</si>
  <si>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</si>
  <si>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</si>
  <si>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</si>
  <si>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</si>
  <si>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</si>
  <si>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</si>
  <si>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</si>
  <si>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</si>
  <si>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</si>
  <si>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</si>
  <si>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</si>
  <si>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</si>
  <si>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</si>
  <si>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</si>
  <si>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</si>
  <si>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</si>
  <si>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</si>
  <si>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</si>
  <si>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</si>
  <si>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</si>
  <si>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</si>
  <si>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</si>
  <si>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</si>
  <si>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</si>
  <si>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</si>
  <si>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</si>
  <si>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</si>
  <si>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</si>
  <si>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</si>
  <si>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</si>
  <si>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</si>
  <si>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</si>
  <si>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</si>
  <si>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</si>
  <si>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RFL included?</t>
  </si>
  <si>
    <t>YES</t>
  </si>
  <si>
    <t>500</t>
  </si>
  <si>
    <t>0.00</t>
  </si>
  <si>
    <t>12</t>
  </si>
  <si>
    <t>NO</t>
  </si>
  <si>
    <t>0</t>
  </si>
  <si>
    <t>100</t>
  </si>
  <si>
    <t>200</t>
  </si>
  <si>
    <t xml:space="preserve"> Terminal pause with 6 down </t>
  </si>
  <si>
    <t>239.99</t>
  </si>
  <si>
    <t>5000</t>
  </si>
  <si>
    <t>1000</t>
  </si>
  <si>
    <t>199.99</t>
  </si>
  <si>
    <t>30</t>
  </si>
  <si>
    <t>6000</t>
  </si>
  <si>
    <t>20</t>
  </si>
  <si>
    <t>50</t>
  </si>
  <si>
    <t>10</t>
  </si>
  <si>
    <t>1</t>
  </si>
  <si>
    <t>17.08</t>
  </si>
  <si>
    <t>18500.00</t>
  </si>
  <si>
    <t>205.00</t>
  </si>
  <si>
    <t>Limited Credit</t>
  </si>
  <si>
    <t>40</t>
  </si>
  <si>
    <t>60</t>
  </si>
  <si>
    <t>A1 Credit</t>
  </si>
  <si>
    <t>2</t>
  </si>
  <si>
    <t>33</t>
  </si>
  <si>
    <t>470.00</t>
  </si>
  <si>
    <t>46887.50</t>
  </si>
  <si>
    <t>70</t>
  </si>
  <si>
    <t>5.28</t>
  </si>
  <si>
    <t>22700.00</t>
  </si>
  <si>
    <t>18916.67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</si>
</sst>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18083.33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388</v>
      </c>
      <c r="B34" s="32"/>
      <c r="C34" s="41" t="s">
        <v>395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396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388</v>
      </c>
      <c r="B40" s="32"/>
      <c r="C40" s="54" t="n">
        <f aca="false">A34-1</f>
        <v>11</v>
      </c>
      <c r="D40" s="54"/>
      <c r="E40" s="32"/>
      <c r="F40" s="41" t="s">
        <v>386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385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394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20000.0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18500.0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388</v>
      </c>
      <c r="B34" s="32"/>
      <c r="C34" s="41" t="s">
        <v>395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396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388</v>
      </c>
      <c r="B40" s="32"/>
      <c r="C40" s="54" t="n">
        <f aca="false">A34-1</f>
        <v>11</v>
      </c>
      <c r="D40" s="54"/>
      <c r="E40" s="32"/>
      <c r="F40" s="41" t="s">
        <v>386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385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20416.67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18500.0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412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387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18500.0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388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385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0.0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18500.0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388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18500.0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388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10000.0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385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10000.0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385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45260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396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388</v>
      </c>
      <c r="B38" s="241" t="n">
        <f aca="false">A32-1</f>
        <v>11</v>
      </c>
      <c r="C38" s="241"/>
      <c r="D38" s="104" t="s">
        <v>386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399</v>
      </c>
      <c r="B41" s="104" t="s">
        <v>400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402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389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45260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396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388</v>
      </c>
      <c r="B38" s="241" t="n">
        <f aca="false">A32-1</f>
        <v>11</v>
      </c>
      <c r="C38" s="241"/>
      <c r="D38" s="104" t="s">
        <v>386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399</v>
      </c>
      <c r="B41" s="104" t="s">
        <v>400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401</v>
      </c>
      <c r="B44" s="104" t="s">
        <v>402</v>
      </c>
      <c r="C44" s="104"/>
      <c r="D44" s="104" t="s">
        <v>402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275.0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389</v>
      </c>
      <c r="B111" s="312" t="n">
        <v>0.0</v>
      </c>
      <c r="C111" s="312"/>
      <c r="D111" s="107" t="s">
        <v>392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390</v>
      </c>
      <c r="B41" s="241" t="str">
        <f aca="false">IF(B38="YES", D38+A41, D38)</f>
        <v>500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390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10000.0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4" t="n">
        <v>0.0</v>
      </c>
      <c r="C111" s="314"/>
      <c r="D111" s="107" t="s">
        <v>392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401</v>
      </c>
      <c r="B41" s="241" t="str">
        <f aca="false">IF(B38="YES", D38+A41, D38)</f>
        <v>500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403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10000.0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385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401</v>
      </c>
      <c r="B41" s="241" t="str">
        <f aca="false">IF(B38="YES", D38+A41, D38)</f>
        <v>500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403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10000.0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s">
        <v>392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10000.0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s">
        <v>392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10000.0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385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10450.0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385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18480.0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251.04000000000005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22464</v>
      </c>
      <c r="C82" s="93"/>
      <c r="D82" s="93"/>
      <c r="E82" s="113"/>
      <c r="F82" s="31" t="s">
        <v>106</v>
      </c>
      <c r="G82" s="33" t="n">
        <f aca="false">IF(A111="YES",A40,0)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385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18500.0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385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18480.0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251.04000000000005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10450.0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385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0.0</v>
      </c>
      <c r="C108" s="107"/>
      <c r="D108" s="107" t="n">
        <v>0.0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385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385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18480.0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251.04000000000005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10450.0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22464</v>
      </c>
      <c r="C82" s="93"/>
      <c r="D82" s="93"/>
      <c r="E82" s="113"/>
      <c r="F82" s="31" t="s">
        <v>106</v>
      </c>
      <c r="G82" s="33" t="n">
        <f aca="false">IF(A111="YES",A40,0)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385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20416.67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1602.99972</v>
      </c>
      <c r="C64" s="465" t="n">
        <v>10000.0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385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12540.0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18500.0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12540.0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388</v>
      </c>
      <c r="B34" s="32"/>
      <c r="C34" s="41" t="s">
        <v>395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396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388</v>
      </c>
      <c r="B40" s="32"/>
      <c r="C40" s="54" t="n">
        <f aca="false">A34-1</f>
        <v>11</v>
      </c>
      <c r="D40" s="54"/>
      <c r="E40" s="32"/>
      <c r="F40" s="41" t="s">
        <v>386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385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385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385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394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20833.33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388</v>
      </c>
      <c r="B34" s="32"/>
      <c r="C34" s="41" t="s">
        <v>395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396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388</v>
      </c>
      <c r="B40" s="32"/>
      <c r="C40" s="54" t="n">
        <f aca="false">A34-1</f>
        <v>11</v>
      </c>
      <c r="D40" s="54"/>
      <c r="E40" s="32"/>
      <c r="F40" s="41" t="s">
        <v>386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s">
        <v>401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385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407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385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385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20833.33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412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388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387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385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388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388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45260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396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388</v>
      </c>
      <c r="B38" s="241" t="n">
        <f aca="false">A32-1</f>
        <v>11</v>
      </c>
      <c r="C38" s="241"/>
      <c r="D38" s="104" t="s">
        <v>386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399</v>
      </c>
      <c r="B41" s="104" t="s">
        <v>400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401</v>
      </c>
      <c r="B44" s="104" t="s">
        <v>402</v>
      </c>
      <c r="C44" s="104"/>
      <c r="D44" s="104" t="s">
        <v>402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385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45260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396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388</v>
      </c>
      <c r="B38" s="241" t="n">
        <f aca="false">A32-1</f>
        <v>11</v>
      </c>
      <c r="C38" s="241"/>
      <c r="D38" s="104" t="s">
        <v>386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399</v>
      </c>
      <c r="B41" s="104" t="s">
        <v>400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402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389</v>
      </c>
      <c r="B111" s="312" t="n">
        <v>0.0</v>
      </c>
      <c r="C111" s="312"/>
      <c r="D111" s="107" t="s">
        <v>392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390</v>
      </c>
      <c r="B41" s="241" t="str">
        <f aca="false">IF(B38="YES", D38+A41, D38)</f>
        <v>500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390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10000.0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401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403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10000.0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385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390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390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10000.0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387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10000.0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10000.0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s">
        <v>392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E186" activeCellId="0" sqref="E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19708.33</v>
      </c>
      <c r="C2" s="4" t="s">
        <v>2</v>
      </c>
      <c r="D2" s="5" t="n">
        <f aca="false">C9</f>
        <v>3941.666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23649.996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18916.67</v>
      </c>
      <c r="C9" s="14" t="n">
        <f aca="false">B9*0.2</f>
        <v>3941.666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19708.33</v>
      </c>
      <c r="C15" s="14" t="n">
        <f aca="false">SUM(C9:C13)</f>
        <v>3941.666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23649.996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19708.33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624.040662861208</v>
      </c>
      <c r="F33" s="232"/>
      <c r="G33" s="232"/>
      <c r="H33" s="47"/>
      <c r="I33" s="2"/>
      <c r="J33" s="34" t="s">
        <v>356</v>
      </c>
      <c r="K33" s="48" t="n">
        <f aca="false">E21</f>
        <v>19708.33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604.040662861208</v>
      </c>
      <c r="B36" s="232" t="n">
        <f aca="false">IF(B26="YES", K42, "0.00")</f>
        <v>20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19708.33</v>
      </c>
      <c r="L39" s="2" t="n">
        <f aca="false">(L47*K46)+K44</f>
        <v>25449.4413127485</v>
      </c>
      <c r="N39" s="1" t="n">
        <f aca="false">K39-L39</f>
        <v>-5741.11131274846</v>
      </c>
      <c r="P39" s="212"/>
    </row>
    <row r="40" customFormat="false" ht="17.35" hidden="false" customHeight="false" outlineLevel="0" collapsed="false">
      <c r="A40" s="107" t="n">
        <f aca="false">E36*A45/100</f>
        <v>16050.0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-5741.11131274846</v>
      </c>
      <c r="N40" s="1" t="n">
        <f aca="false">N38-N39</f>
        <v>8652.79131274846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19708.33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604.040662861208</v>
      </c>
      <c r="L47" s="2" t="n">
        <f aca="false">L49-K42</f>
        <v>780</v>
      </c>
      <c r="M47" s="1" t="n">
        <f aca="false">K47-L47</f>
        <v>-175.959337138792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624.040662861208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624.040662861208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6845.54350701396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209.1667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604.040662861208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604.040662861208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624.040662861208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624.040662861208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25100.004</v>
      </c>
      <c r="C81" s="93"/>
      <c r="D81" s="93"/>
      <c r="E81" s="113"/>
      <c r="F81" s="25" t="s">
        <v>105</v>
      </c>
      <c r="G81" s="27" t="n">
        <f aca="false">G158</f>
        <v>25100.004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0</v>
      </c>
      <c r="C82" s="93"/>
      <c r="D82" s="93"/>
      <c r="E82" s="113"/>
      <c r="F82" s="31" t="s">
        <v>106</v>
      </c>
      <c r="G82" s="33" t="n">
        <f aca="false">IF(A111="YES",A40,0)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36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32.627488862498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25100.004</v>
      </c>
      <c r="C88" s="93"/>
      <c r="D88" s="93"/>
      <c r="E88" s="113"/>
      <c r="F88" s="31" t="s">
        <v>112</v>
      </c>
      <c r="G88" s="33" t="n">
        <f aca="false">G81-G86</f>
        <v>25100.004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816.885924857642</v>
      </c>
      <c r="C89" s="93"/>
      <c r="D89" s="93"/>
      <c r="E89" s="113"/>
      <c r="F89" s="31" t="s">
        <v>113</v>
      </c>
      <c r="G89" s="33" t="n">
        <f aca="false">(G88/G87)</f>
        <v>769.290094796412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28591.0073700175</v>
      </c>
      <c r="C90" s="93"/>
      <c r="D90" s="93"/>
      <c r="E90" s="113"/>
      <c r="F90" s="31" t="s">
        <v>114</v>
      </c>
      <c r="G90" s="33" t="n">
        <f aca="false">((G89*(G85))+G77)</f>
        <v>27694.4434126708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28591.0073700175</v>
      </c>
      <c r="C92" s="93"/>
      <c r="D92" s="93"/>
      <c r="E92" s="113"/>
      <c r="F92" s="56" t="s">
        <v>116</v>
      </c>
      <c r="G92" s="65" t="n">
        <f aca="false">(G90+G91)</f>
        <v>27694.4434126708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29.6228571428571</v>
      </c>
      <c r="C94" s="93"/>
      <c r="D94" s="93"/>
      <c r="E94" s="113"/>
      <c r="F94" s="88" t="s">
        <v>117</v>
      </c>
      <c r="G94" s="94" t="n">
        <f aca="false">IF(B26="YES",((E40/B85)*(1+A108)*(C45/100)),"0")</f>
        <v>24.6857142857143</v>
      </c>
      <c r="H94" s="33"/>
      <c r="J94" s="88" t="s">
        <v>117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816.885924857642</v>
      </c>
      <c r="C95" s="93"/>
      <c r="D95" s="93"/>
      <c r="E95" s="113"/>
      <c r="F95" s="95" t="s">
        <v>118</v>
      </c>
      <c r="G95" s="96" t="n">
        <f aca="false">G92/(G85)</f>
        <v>769.290094796412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846.508782000499</v>
      </c>
      <c r="C96" s="93"/>
      <c r="D96" s="93"/>
      <c r="E96" s="113"/>
      <c r="F96" s="97" t="s">
        <v>119</v>
      </c>
      <c r="G96" s="98" t="n">
        <f aca="false">G94+G95</f>
        <v>793.975809082127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19708.33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23649.996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23649.996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23649.996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19708.33</v>
      </c>
      <c r="C125" s="133" t="n">
        <f aca="false">C121-C124</f>
        <v>21666.67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19708.33</v>
      </c>
      <c r="H135" s="153" t="n">
        <f aca="false">C125+E125+G125+H128</f>
        <v>21666.67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3941.666</v>
      </c>
      <c r="H137" s="33" t="n">
        <f aca="false">(H135+H136)*20%</f>
        <v>4333.334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23649.996</v>
      </c>
      <c r="H141" s="157" t="n">
        <f aca="false">(H135+H136+H139+H140+H137)-H138</f>
        <v>26000.004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23649.996</v>
      </c>
      <c r="H147" s="164" t="n">
        <f aca="false">H141-((H144*1.2)+(H145*1.2)+(H146*1.2)+(H142*1.2))</f>
        <v>26000.004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-19284.72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25100.004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816.885924857642</v>
      </c>
      <c r="B167" s="177" t="n">
        <f aca="false">B94</f>
        <v>29.6228571428571</v>
      </c>
      <c r="C167" s="174"/>
      <c r="D167" s="174"/>
      <c r="E167" s="177" t="n">
        <f aca="false">B96</f>
        <v>846.508782000499</v>
      </c>
      <c r="F167" s="23"/>
      <c r="G167" s="23" t="n">
        <f aca="false">ROUND(G95, 2)</f>
        <v>769.29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21666.67</v>
      </c>
      <c r="B173" s="103" t="n">
        <f aca="false">H137</f>
        <v>4333.334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26000.004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25100.004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4337.51215201796</v>
      </c>
      <c r="B182" s="103" t="str">
        <f aca="false">B114</f>
        <v>239.99</v>
      </c>
      <c r="C182" s="103"/>
      <c r="D182" s="23"/>
      <c r="E182" s="103" t="n">
        <f aca="false">E179+A182+B182+A185</f>
        <v>29687.506152018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IF(A40=0,(E167+A185),(E170+A185))</f>
        <v>856.508782000499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209.1667</v>
      </c>
      <c r="C188" s="93"/>
      <c r="D188" s="93"/>
      <c r="E188" s="103" t="n">
        <f aca="false">(E40*A108)*0.1*(C45/100)</f>
        <v>14.4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323.558366666667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846.508782000499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2671.6547820005</v>
      </c>
      <c r="B201" s="186" t="n">
        <f aca="false">E179+A201+B182+A185</f>
        <v>28021.6487820005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816.885924857642</v>
      </c>
      <c r="B212" s="177" t="n">
        <f aca="false">B167</f>
        <v>29.6228571428571</v>
      </c>
      <c r="C212" s="174"/>
      <c r="D212" s="174"/>
      <c r="E212" s="177" t="n">
        <f aca="false">E167</f>
        <v>846.508782000499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21666.67</v>
      </c>
      <c r="B215" s="103" t="n">
        <f aca="false">B173</f>
        <v>4333.334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26000.004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25100.004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4337.51215201796</v>
      </c>
      <c r="B224" s="103" t="str">
        <f aca="false">B182</f>
        <v>239.99</v>
      </c>
      <c r="C224" s="103"/>
      <c r="D224" s="113"/>
      <c r="E224" s="103" t="n">
        <f aca="false">E182</f>
        <v>29687.506152018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816.885924857642</v>
      </c>
      <c r="B230" s="103" t="n">
        <f aca="false">B167</f>
        <v>29.6228571428571</v>
      </c>
      <c r="C230" s="186"/>
      <c r="D230" s="186"/>
      <c r="E230" s="103" t="n">
        <f aca="false">E167</f>
        <v>846.508782000499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856.508782000499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209.1667</v>
      </c>
      <c r="C240" s="93"/>
      <c r="D240" s="93"/>
      <c r="E240" s="103" t="n">
        <f aca="false">E188</f>
        <v>14.4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2281.89836666666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1675.85737001746</v>
      </c>
      <c r="C254" s="197"/>
      <c r="D254" s="198" t="s">
        <v>216</v>
      </c>
      <c r="E254" s="198"/>
      <c r="F254" s="200" t="n">
        <f aca="false">F261+F267+F269+B270+B271</f>
        <v>251.00004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243.991666666667</v>
      </c>
      <c r="C255" s="197"/>
      <c r="D255" s="198" t="s">
        <v>218</v>
      </c>
      <c r="E255" s="198"/>
      <c r="F255" s="200" t="n">
        <f aca="false">(B254-F254)+B255</f>
        <v>1668.84899668413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1675.85737001746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251.00004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144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1668.84899668413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16050.0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17575</v>
      </c>
      <c r="C82" s="93"/>
      <c r="D82" s="93"/>
      <c r="E82" s="113"/>
      <c r="F82" s="31" t="s">
        <v>106</v>
      </c>
      <c r="G82" s="33" t="n">
        <f aca="false">IF(A111="YES",A40,0)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385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21375</v>
      </c>
      <c r="C2" s="4" t="s">
        <v>2</v>
      </c>
      <c r="D2" s="5" t="n">
        <f aca="false">C9</f>
        <v>4275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25650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18916.67</v>
      </c>
      <c r="C9" s="14" t="n">
        <f aca="false">B9*0.2</f>
        <v>4275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21375</v>
      </c>
      <c r="C15" s="14" t="n">
        <f aca="false">SUM(C9:C13)</f>
        <v>4275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25650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295.338339800905</v>
      </c>
      <c r="F33" s="232"/>
      <c r="G33" s="232"/>
      <c r="H33" s="47"/>
      <c r="I33" s="2"/>
      <c r="J33" s="34" t="s">
        <v>356</v>
      </c>
      <c r="K33" s="48" t="n">
        <f aca="false">E21</f>
        <v>21375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295.338339800905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21375</v>
      </c>
      <c r="L39" s="2" t="n">
        <f aca="false">(L47*K46)+K44</f>
        <v>37719.2069181402</v>
      </c>
      <c r="N39" s="1" t="n">
        <f aca="false">K39-L39</f>
        <v>-16344.2069181402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-16344.2069181402</v>
      </c>
      <c r="N40" s="1" t="n">
        <f aca="false">N38-N39</f>
        <v>19255.8869181402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9564.96464316637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295.338339800905</v>
      </c>
      <c r="L47" s="2" t="n">
        <f aca="false">L49-K42</f>
        <v>800</v>
      </c>
      <c r="M47" s="1" t="n">
        <f aca="false">K47-L47</f>
        <v>-504.661660199095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295.338339800905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295.338339800905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4204.43034340573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295.338339800905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295.338339800905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295.338339800905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295.338339800905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17575</v>
      </c>
      <c r="C82" s="93"/>
      <c r="D82" s="93"/>
      <c r="E82" s="113"/>
      <c r="F82" s="31" t="s">
        <v>106</v>
      </c>
      <c r="G82" s="33" t="n">
        <f aca="false">IF(A111="YES",A40,0)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21375</v>
      </c>
      <c r="C121" s="121" t="n">
        <v>20833.33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25650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25650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25650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21375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21375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4275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25650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25650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-19513.8883333333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1639.56996666667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10000.0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389</v>
      </c>
      <c r="B105" s="312" t="n">
        <v>0.0</v>
      </c>
      <c r="C105" s="312"/>
      <c r="D105" s="107" t="s">
        <v>392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10000.0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385</v>
      </c>
      <c r="B105" s="312" t="n">
        <v>30.0</v>
      </c>
      <c r="C105" s="312"/>
      <c r="D105" s="107" t="s">
        <v>392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385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2604.0725025</v>
      </c>
      <c r="C64" s="465" t="n">
        <v>10000.0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385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44854.17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45260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396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388</v>
      </c>
      <c r="B38" s="241" t="n">
        <f aca="false">A32-1</f>
        <v>11</v>
      </c>
      <c r="C38" s="241"/>
      <c r="D38" s="104" t="s">
        <v>386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399</v>
      </c>
      <c r="B41" s="104" t="s">
        <v>400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402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2124.96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177.08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6802.752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48.0226542960871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6850.77465429609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570.897887858007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570.897887858007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389</v>
      </c>
      <c r="B111" s="312" t="n">
        <v>0.0</v>
      </c>
      <c r="C111" s="312"/>
      <c r="D111" s="107" t="s">
        <v>392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570.897887858007</v>
      </c>
      <c r="B134" s="321" t="n">
        <f aca="false">IF(A111="YES", B95, 0)</f>
        <v>0</v>
      </c>
      <c r="C134" s="325"/>
      <c r="D134" s="321" t="n">
        <f aca="false">B97</f>
        <v>570.897887858007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570.897887858007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570.897887858007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570.897887858007</v>
      </c>
      <c r="B143" s="38" t="n">
        <f aca="false">IF(A111="YES", B95, 0)</f>
        <v>0</v>
      </c>
      <c r="C143" s="317"/>
      <c r="D143" s="38" t="n">
        <f aca="false">B97</f>
        <v>570.897887858007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570.897887858007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570.897887858007</v>
      </c>
      <c r="B177" s="355" t="n">
        <f aca="false">IF(A111="YES", B95, 0)</f>
        <v>0</v>
      </c>
      <c r="C177" s="357"/>
      <c r="D177" s="355" t="n">
        <f aca="false">A177+B177</f>
        <v>570.897887858007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570.897887858007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570.897887858007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570.897887858007</v>
      </c>
      <c r="B186" s="103" t="n">
        <f aca="false">IF(A111="YES", B95, 0)</f>
        <v>0</v>
      </c>
      <c r="C186" s="353"/>
      <c r="D186" s="103" t="n">
        <f aca="false">B97</f>
        <v>570.897887858007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48.0226542960871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44854.17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45260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396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388</v>
      </c>
      <c r="B38" s="241" t="n">
        <f aca="false">A32-1</f>
        <v>11</v>
      </c>
      <c r="C38" s="241"/>
      <c r="D38" s="104" t="s">
        <v>386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399</v>
      </c>
      <c r="B41" s="104" t="s">
        <v>400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401</v>
      </c>
      <c r="B44" s="104" t="s">
        <v>402</v>
      </c>
      <c r="C44" s="104"/>
      <c r="D44" s="104" t="s">
        <v>402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2124.96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177.08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5668.96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48.0226542960871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5716.98265429609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50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476.415221191341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476.415221191341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385</v>
      </c>
      <c r="B111" s="312" t="n">
        <v>30.0</v>
      </c>
      <c r="C111" s="312"/>
      <c r="D111" s="107" t="s">
        <v>392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476.415221191341</v>
      </c>
      <c r="B134" s="321" t="n">
        <f aca="false">IF(A111="YES", B95, 0)</f>
        <v>0</v>
      </c>
      <c r="C134" s="326"/>
      <c r="D134" s="321" t="n">
        <f aca="false">B97</f>
        <v>476.415221191341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476.415221191341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476.415221191341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476.415221191341</v>
      </c>
      <c r="B143" s="38" t="n">
        <f aca="false">IF(A111="YES", B95, 0)</f>
        <v>0</v>
      </c>
      <c r="C143" s="317"/>
      <c r="D143" s="38" t="n">
        <f aca="false">B97</f>
        <v>476.415221191341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476.415221191341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476.415221191341</v>
      </c>
      <c r="B177" s="355" t="n">
        <f aca="false">IF(A111="YES", B95, 0)</f>
        <v>0</v>
      </c>
      <c r="C177" s="358"/>
      <c r="D177" s="355" t="n">
        <f aca="false">B91</f>
        <v>5668.96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476.415221191341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476.415221191341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476.415221191341</v>
      </c>
      <c r="B186" s="103" t="n">
        <f aca="false">IF(A111="YES", B95, 0)</f>
        <v>0</v>
      </c>
      <c r="C186" s="353"/>
      <c r="D186" s="103" t="n">
        <f aca="false">B97</f>
        <v>476.415221191341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48.0226542960871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412</v>
      </c>
      <c r="B34" s="32"/>
      <c r="C34" s="41" t="s">
        <v>395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396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388</v>
      </c>
      <c r="B40" s="32"/>
      <c r="C40" s="54" t="n">
        <f aca="false">A34-1</f>
        <v>32</v>
      </c>
      <c r="D40" s="54"/>
      <c r="E40" s="32"/>
      <c r="F40" s="41" t="s">
        <v>386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385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412</v>
      </c>
      <c r="B34" s="32"/>
      <c r="C34" s="41" t="s">
        <v>395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396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388</v>
      </c>
      <c r="B40" s="32"/>
      <c r="C40" s="54" t="n">
        <f aca="false">A34-1</f>
        <v>32</v>
      </c>
      <c r="D40" s="54"/>
      <c r="E40" s="32"/>
      <c r="F40" s="41" t="s">
        <v>386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419.87796229046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385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394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0</v>
      </c>
      <c r="C176" s="174"/>
      <c r="D176" s="174"/>
      <c r="E176" s="177" t="n">
        <f aca="false">B105</f>
        <v>419.87796229046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419.87796229046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-2324.32</v>
      </c>
      <c r="B210" s="186" t="n">
        <f aca="false">E188+A210+B191+A194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0</v>
      </c>
      <c r="C221" s="174"/>
      <c r="D221" s="174"/>
      <c r="E221" s="177" t="n">
        <f aca="false">E176</f>
        <v>419.87796229046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0</v>
      </c>
      <c r="C239" s="186"/>
      <c r="D239" s="186"/>
      <c r="E239" s="103" t="n">
        <f aca="false">E176</f>
        <v>419.87796229046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1702.41479329472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1603.01895996138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1702.41479329472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1603.01895996138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385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412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413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385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407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E179+A201+B182+A185</f>
        <v>19193.67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2414.55590551985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2414.55590551985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412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1702.41479329472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1603.01729329472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1702.41479329472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1603.01729329472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412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E179+A201+B182+A185</f>
        <v>19193.67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1702.41479329472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1691.81895996138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1702.41479329472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1691.81895996138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385</v>
      </c>
      <c r="B111" s="312" t="n">
        <v>20.0</v>
      </c>
      <c r="C111" s="312"/>
      <c r="D111" s="107" t="s">
        <v>392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385</v>
      </c>
      <c r="B111" s="312" t="n">
        <v>30.0</v>
      </c>
      <c r="C111" s="312"/>
      <c r="D111" s="107" t="s">
        <v>392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s">
        <v>392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18341.67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str">
        <f aca="false">IF(B38="YES", D38+A41, D38)</f>
        <v>500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411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385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390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390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B97</f>
        <v>886.577409170364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s">
        <v>386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401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388</v>
      </c>
      <c r="B44" s="104" t="s">
        <v>402</v>
      </c>
      <c r="C44" s="104"/>
      <c r="D44" s="104" t="s">
        <v>403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403</v>
      </c>
      <c r="C47" s="429"/>
      <c r="D47" s="104" t="s">
        <v>403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385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396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412</v>
      </c>
      <c r="C35" s="223"/>
      <c r="D35" s="223" t="s">
        <v>395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386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388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1702.41479329472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1603.01729329472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1702.41479329472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1603.01729329472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385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9150.0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515.12625396364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515.12625396364</v>
      </c>
      <c r="B36" s="232" t="str">
        <f aca="false">IF(B26="YES", K42, "0.00")</f>
        <v>0.00</v>
      </c>
      <c r="C36" s="232"/>
      <c r="D36" s="232"/>
      <c r="E36" s="232" t="n">
        <f aca="false">K31</f>
        <v>2241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26774.9983482942</v>
      </c>
      <c r="N39" s="1" t="n">
        <f aca="false">K39-L39</f>
        <v>-8994.99834829419</v>
      </c>
      <c r="P39" s="212"/>
    </row>
    <row r="40" customFormat="false" ht="17.35" hidden="false" customHeight="false" outlineLevel="0" collapsed="false">
      <c r="A40" s="107" t="n">
        <f aca="false">E36*A45/100</f>
        <v>27250.0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1867.5</v>
      </c>
      <c r="L40" s="2" t="n">
        <f aca="false">K39-L39</f>
        <v>-8994.99834829419</v>
      </c>
      <c r="N40" s="1" t="n">
        <f aca="false">N38-N39</f>
        <v>11906.6783482942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1514.68995288002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16265.31004712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515.12625396364</v>
      </c>
      <c r="L47" s="2" t="n">
        <f aca="false">L49-K42</f>
        <v>800</v>
      </c>
      <c r="M47" s="1" t="n">
        <f aca="false">K47-L47</f>
        <v>-284.87374603636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515.12625396364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515.12625396364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7367.11090899601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31639.1695844312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851.028129382037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851.028129382037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515.12625396364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515.12625396364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515.12625396364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515.12625396364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2241</v>
      </c>
      <c r="C82" s="93"/>
      <c r="D82" s="93"/>
      <c r="E82" s="113"/>
      <c r="F82" s="31" t="s">
        <v>106</v>
      </c>
      <c r="G82" s="33" t="n">
        <f aca="false">IF(A111="YES",A40,0)</f>
        <v>2241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2241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2241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1581.95372023583</v>
      </c>
      <c r="C86" s="93"/>
      <c r="D86" s="93"/>
      <c r="E86" s="113"/>
      <c r="F86" s="31" t="s">
        <v>110</v>
      </c>
      <c r="G86" s="33" t="n">
        <f aca="false">(G82/((1+G84)^(G85+1)))</f>
        <v>1828.23077312619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1532.51372507505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1532.51372507505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21439.6502797642</v>
      </c>
      <c r="C88" s="93"/>
      <c r="D88" s="93"/>
      <c r="E88" s="113"/>
      <c r="F88" s="31" t="s">
        <v>112</v>
      </c>
      <c r="G88" s="33" t="n">
        <f aca="false">G81-G86</f>
        <v>21193.3732268738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15701.986274925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15701.986274925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746.956758756571</v>
      </c>
      <c r="C89" s="93"/>
      <c r="D89" s="93"/>
      <c r="E89" s="113"/>
      <c r="F89" s="31" t="s">
        <v>113</v>
      </c>
      <c r="G89" s="33" t="n">
        <f aca="false">(G88/G87)</f>
        <v>689.000841508943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555.307265238513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555.307265238513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25396.5297977234</v>
      </c>
      <c r="C90" s="93"/>
      <c r="D90" s="93"/>
      <c r="E90" s="113"/>
      <c r="F90" s="31" t="s">
        <v>114</v>
      </c>
      <c r="G90" s="33" t="n">
        <f aca="false">((G89*(G85))+G77)</f>
        <v>23426.0286113041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18880.4470181094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18880.4470181094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25396.5297977234</v>
      </c>
      <c r="C92" s="93"/>
      <c r="D92" s="93"/>
      <c r="E92" s="113"/>
      <c r="F92" s="56" t="s">
        <v>116</v>
      </c>
      <c r="G92" s="65" t="n">
        <f aca="false">(G90+G91)</f>
        <v>23426.0286113041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18880.4470181094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18880.4470181094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746.956758756571</v>
      </c>
      <c r="C95" s="93"/>
      <c r="D95" s="93"/>
      <c r="E95" s="113"/>
      <c r="F95" s="95" t="s">
        <v>118</v>
      </c>
      <c r="G95" s="96" t="n">
        <f aca="false">G92/(G85)</f>
        <v>689.000841508943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555.307265238513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555.307265238513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746.956758756571</v>
      </c>
      <c r="C96" s="93"/>
      <c r="D96" s="93"/>
      <c r="E96" s="113"/>
      <c r="F96" s="97" t="s">
        <v>119</v>
      </c>
      <c r="G96" s="98" t="n">
        <f aca="false">G94+G95</f>
        <v>689.000841508943</v>
      </c>
      <c r="H96" s="33"/>
      <c r="J96" s="97" t="s">
        <v>119</v>
      </c>
      <c r="K96" s="98" t="n">
        <f aca="false">(K94+K95)</f>
        <v>1460.84083744584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555.307265238513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555.307265238513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385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410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385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-9355.83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746.956758756571</v>
      </c>
      <c r="B167" s="177" t="str">
        <f aca="false">B94</f>
        <v>0</v>
      </c>
      <c r="C167" s="174"/>
      <c r="D167" s="174"/>
      <c r="E167" s="177" t="n">
        <f aca="false">B96</f>
        <v>746.956758756571</v>
      </c>
      <c r="F167" s="23"/>
      <c r="G167" s="23" t="n">
        <f aca="false">ROUND(G95, 2)</f>
        <v>689</v>
      </c>
      <c r="H167" s="33"/>
      <c r="J167" s="176" t="n">
        <f aca="false">K95</f>
        <v>1460.84083744584</v>
      </c>
      <c r="K167" s="177" t="n">
        <f aca="false">K94</f>
        <v>0</v>
      </c>
      <c r="L167" s="174"/>
      <c r="M167" s="174"/>
      <c r="N167" s="177" t="n">
        <f aca="false">K96</f>
        <v>1460.84083744584</v>
      </c>
      <c r="O167" s="23"/>
      <c r="P167" s="23"/>
      <c r="Q167" s="33"/>
      <c r="S167" s="176" t="n">
        <f aca="false">T95</f>
        <v>555.307265238513</v>
      </c>
      <c r="T167" s="177" t="n">
        <f aca="false">T94</f>
        <v>0</v>
      </c>
      <c r="U167" s="174"/>
      <c r="V167" s="174"/>
      <c r="W167" s="177" t="n">
        <f aca="false">T96</f>
        <v>555.307265238513</v>
      </c>
      <c r="X167" s="23"/>
      <c r="Y167" s="23"/>
      <c r="Z167" s="33"/>
      <c r="AB167" s="176" t="n">
        <f aca="false">AC95</f>
        <v>555.307265238513</v>
      </c>
      <c r="AC167" s="177" t="n">
        <f aca="false">AC94</f>
        <v>0</v>
      </c>
      <c r="AD167" s="174"/>
      <c r="AE167" s="174"/>
      <c r="AF167" s="177" t="n">
        <f aca="false">AC96</f>
        <v>555.307265238513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2241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2241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2241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2241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4615.9257977234</v>
      </c>
      <c r="B182" s="103" t="str">
        <f aca="false">B114</f>
        <v>199.99</v>
      </c>
      <c r="C182" s="103"/>
      <c r="D182" s="23"/>
      <c r="E182" s="103" t="n">
        <f aca="false">E179+A182+(B182*1.2)+A185</f>
        <v>27887.5177977234</v>
      </c>
      <c r="F182" s="23"/>
      <c r="G182" s="23"/>
      <c r="H182" s="105"/>
      <c r="J182" s="111" t="n">
        <f aca="false">(J167*K59)+N185-N179-J185</f>
        <v>15390.5844731586</v>
      </c>
      <c r="K182" s="103" t="n">
        <f aca="false">K114</f>
        <v>239.99</v>
      </c>
      <c r="L182" s="103"/>
      <c r="M182" s="23"/>
      <c r="N182" s="103" t="n">
        <f aca="false">N179+J182+K182+J185</f>
        <v>52169.5784731586</v>
      </c>
      <c r="O182" s="23"/>
      <c r="P182" s="23"/>
      <c r="Q182" s="105"/>
      <c r="S182" s="111" t="n">
        <f aca="false">(S167*T59)+W185-W179-S185</f>
        <v>3886.94701810943</v>
      </c>
      <c r="T182" s="103" t="n">
        <f aca="false">T114</f>
        <v>199.99</v>
      </c>
      <c r="U182" s="103"/>
      <c r="V182" s="23"/>
      <c r="W182" s="103" t="n">
        <f aca="false">W179+S182+T182+S185</f>
        <v>21331.4370181094</v>
      </c>
      <c r="X182" s="23"/>
      <c r="Y182" s="23"/>
      <c r="Z182" s="105"/>
      <c r="AB182" s="111" t="n">
        <f aca="false">(AB167*AC59)+AF185-AF179-AB185</f>
        <v>3886.94701810943</v>
      </c>
      <c r="AC182" s="103" t="n">
        <f aca="false">AC114</f>
        <v>239.99</v>
      </c>
      <c r="AD182" s="103"/>
      <c r="AE182" s="23"/>
      <c r="AF182" s="103" t="n">
        <f aca="false">AF179+AB182+AC182+AB185</f>
        <v>21371.4370181094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2251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2261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2251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2251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140.628732638889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287.83989375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3390.72722569444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1240.61873263889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1280.61873263889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746.956758756571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555.307265238513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555.307265238513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2645.396</v>
      </c>
      <c r="B201" s="186" t="n">
        <f aca="false">E179+A201+(B182*1.2)+A185</f>
        <v>25916.988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746.956758756571</v>
      </c>
      <c r="B212" s="177" t="str">
        <f aca="false">B167</f>
        <v>0</v>
      </c>
      <c r="C212" s="174"/>
      <c r="D212" s="174"/>
      <c r="E212" s="177" t="n">
        <f aca="false">E167</f>
        <v>746.956758756571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4615.9257977234</v>
      </c>
      <c r="B224" s="103" t="str">
        <f aca="false">B182</f>
        <v>199.99</v>
      </c>
      <c r="C224" s="103"/>
      <c r="D224" s="113"/>
      <c r="E224" s="103" t="n">
        <f aca="false">E182</f>
        <v>27887.5177977234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746.956758756571</v>
      </c>
      <c r="B230" s="103" t="str">
        <f aca="false">B167</f>
        <v>0</v>
      </c>
      <c r="C230" s="186"/>
      <c r="D230" s="186"/>
      <c r="E230" s="103" t="n">
        <f aca="false">E167</f>
        <v>746.956758756571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2241</v>
      </c>
      <c r="B233" s="103" t="n">
        <f aca="false">E185</f>
        <v>2251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3832.50989375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1980.5297977234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1855.0999252234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1980.5297977234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1855.0999252234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5490.0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533.275858914992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483.145858914992</v>
      </c>
      <c r="B36" s="232" t="n">
        <f aca="false">IF(B26="YES", K42, "0.00")</f>
        <v>50.13</v>
      </c>
      <c r="C36" s="232"/>
      <c r="D36" s="232"/>
      <c r="E36" s="232" t="n">
        <f aca="false">K31</f>
        <v>3735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26201.9175753866</v>
      </c>
      <c r="N39" s="1" t="n">
        <f aca="false">K39-L39</f>
        <v>-8421.91757538657</v>
      </c>
      <c r="P39" s="212"/>
    </row>
    <row r="40" customFormat="false" ht="17.35" hidden="false" customHeight="false" outlineLevel="0" collapsed="false">
      <c r="A40" s="107" t="n">
        <f aca="false">E36*A45/100</f>
        <v>27250.0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3112.5</v>
      </c>
      <c r="L40" s="2" t="n">
        <f aca="false">K39-L39</f>
        <v>-8421.91757538657</v>
      </c>
      <c r="N40" s="1" t="n">
        <f aca="false">N38-N39</f>
        <v>11333.5975753866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2524.48325480003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15255.5167452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483.145858914992</v>
      </c>
      <c r="L47" s="2" t="n">
        <f aca="false">L49-K42</f>
        <v>749.87</v>
      </c>
      <c r="M47" s="1" t="n">
        <f aca="false">K47-L47</f>
        <v>-266.724141085008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533.275858914992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533.275858914992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7237.14643528071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32758.4834111338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6721.82809968542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741.85431194456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483.145858914992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483.145858914992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533.275858914992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533.275858914992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3735</v>
      </c>
      <c r="C82" s="93"/>
      <c r="D82" s="93"/>
      <c r="E82" s="113"/>
      <c r="F82" s="31" t="s">
        <v>106</v>
      </c>
      <c r="G82" s="33" t="n">
        <f aca="false">IF(A111="YES",A40,0)</f>
        <v>3735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3735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3735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2636.58953372639</v>
      </c>
      <c r="C86" s="93"/>
      <c r="D86" s="93"/>
      <c r="E86" s="113"/>
      <c r="F86" s="31" t="s">
        <v>110</v>
      </c>
      <c r="G86" s="33" t="n">
        <f aca="false">(G82/((1+G84)^(G85+1)))</f>
        <v>3047.05128854364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2554.18954179175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2554.18954179175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20385.0144662736</v>
      </c>
      <c r="C88" s="93"/>
      <c r="D88" s="93"/>
      <c r="E88" s="113"/>
      <c r="F88" s="31" t="s">
        <v>112</v>
      </c>
      <c r="G88" s="33" t="n">
        <f aca="false">G81-G86</f>
        <v>19974.5527114564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19653.5754582083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14680.3104582083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710.213279332513</v>
      </c>
      <c r="C89" s="93"/>
      <c r="D89" s="93"/>
      <c r="E89" s="113"/>
      <c r="F89" s="31" t="s">
        <v>113</v>
      </c>
      <c r="G89" s="33" t="n">
        <f aca="false">(G88/G87)</f>
        <v>649.376740532599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695.056857697357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519.175275704979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24147.2514973054</v>
      </c>
      <c r="C90" s="93"/>
      <c r="D90" s="93"/>
      <c r="E90" s="113"/>
      <c r="F90" s="31" t="s">
        <v>114</v>
      </c>
      <c r="G90" s="33" t="n">
        <f aca="false">((G89*(G85))+G77)</f>
        <v>22078.8091781084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23631.9331617101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17651.9593739693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24147.2514973054</v>
      </c>
      <c r="C92" s="93"/>
      <c r="D92" s="93"/>
      <c r="E92" s="113"/>
      <c r="F92" s="56" t="s">
        <v>116</v>
      </c>
      <c r="G92" s="65" t="n">
        <f aca="false">(G90+G91)</f>
        <v>22078.8091781084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23631.9331617101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17651.9593739693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93"/>
      <c r="D94" s="93"/>
      <c r="E94" s="113"/>
      <c r="F94" s="88" t="s">
        <v>117</v>
      </c>
      <c r="G94" s="94" t="n">
        <f aca="false">IF(B26="YES",((E40/B85)*(1+A108)*(C45/100)),"0")</f>
        <v>67.0857352941177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710.213279332513</v>
      </c>
      <c r="C95" s="93"/>
      <c r="D95" s="93"/>
      <c r="E95" s="113"/>
      <c r="F95" s="95" t="s">
        <v>118</v>
      </c>
      <c r="G95" s="96" t="n">
        <f aca="false">G92/(G85)</f>
        <v>649.376740532599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695.056857697357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519.175275704979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790.716161685454</v>
      </c>
      <c r="C96" s="93"/>
      <c r="D96" s="93"/>
      <c r="E96" s="113"/>
      <c r="F96" s="97" t="s">
        <v>119</v>
      </c>
      <c r="G96" s="98" t="n">
        <f aca="false">G94+G95</f>
        <v>716.462475826717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756.982151815004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593.485628646156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407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385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-9355.83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710.213279332513</v>
      </c>
      <c r="B167" s="177" t="n">
        <f aca="false">B94</f>
        <v>80.5028823529412</v>
      </c>
      <c r="C167" s="174"/>
      <c r="D167" s="174"/>
      <c r="E167" s="177" t="n">
        <f aca="false">B96</f>
        <v>790.716161685454</v>
      </c>
      <c r="F167" s="23"/>
      <c r="G167" s="23" t="n">
        <f aca="false">ROUND(G95, 2)</f>
        <v>649.38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695.056857697357</v>
      </c>
      <c r="T167" s="177" t="n">
        <f aca="false">T94</f>
        <v>61.9252941176471</v>
      </c>
      <c r="U167" s="174"/>
      <c r="V167" s="174"/>
      <c r="W167" s="177" t="n">
        <f aca="false">T96</f>
        <v>756.982151815004</v>
      </c>
      <c r="X167" s="23"/>
      <c r="Y167" s="23"/>
      <c r="Z167" s="33"/>
      <c r="AB167" s="176" t="n">
        <f aca="false">AC95</f>
        <v>519.175275704979</v>
      </c>
      <c r="AC167" s="177" t="n">
        <f aca="false">AC94</f>
        <v>74.3103529411765</v>
      </c>
      <c r="AD167" s="174"/>
      <c r="AE167" s="174"/>
      <c r="AF167" s="177" t="n">
        <f aca="false">AC96</f>
        <v>593.485628646156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3735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3735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3735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3735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4860.64749730544</v>
      </c>
      <c r="B182" s="103" t="str">
        <f aca="false">B114</f>
        <v>239.99</v>
      </c>
      <c r="C182" s="103"/>
      <c r="D182" s="23"/>
      <c r="E182" s="103" t="n">
        <f aca="false">E179+A182+B182+A185</f>
        <v>28132.2414973054</v>
      </c>
      <c r="F182" s="23"/>
      <c r="G182" s="23"/>
      <c r="H182" s="105"/>
      <c r="J182" s="111" t="n">
        <f aca="false">(J167*K59)+N185-N179-J185</f>
        <v>16884.5844731586</v>
      </c>
      <c r="K182" s="103" t="n">
        <f aca="false">K114</f>
        <v>239.99</v>
      </c>
      <c r="L182" s="103"/>
      <c r="M182" s="23"/>
      <c r="N182" s="103" t="n">
        <f aca="false">N179+J182+K182+J185</f>
        <v>53663.5784731586</v>
      </c>
      <c r="O182" s="23"/>
      <c r="P182" s="23"/>
      <c r="Q182" s="105"/>
      <c r="S182" s="111" t="n">
        <f aca="false">(S167*T59)+W185-W179-S185</f>
        <v>5159.16816171015</v>
      </c>
      <c r="T182" s="103" t="n">
        <f aca="false">T114</f>
        <v>199.99</v>
      </c>
      <c r="U182" s="103"/>
      <c r="V182" s="23"/>
      <c r="W182" s="103" t="n">
        <f aca="false">W179+S182+T182+S185</f>
        <v>27576.9231617102</v>
      </c>
      <c r="X182" s="23"/>
      <c r="Y182" s="23"/>
      <c r="Z182" s="105"/>
      <c r="AB182" s="111" t="n">
        <f aca="false">(AB167*AC59)+AF185-AF179-AB185</f>
        <v>4152.45937396929</v>
      </c>
      <c r="AC182" s="103" t="n">
        <f aca="false">AC114</f>
        <v>239.99</v>
      </c>
      <c r="AD182" s="103"/>
      <c r="AE182" s="23"/>
      <c r="AF182" s="103" t="n">
        <f aca="false">AF179+AB182+AC182+AB185</f>
        <v>21636.9493739693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3745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3755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3745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3745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187.84989375</v>
      </c>
      <c r="C188" s="93"/>
      <c r="D188" s="93"/>
      <c r="E188" s="103" t="n">
        <f aca="false">(E40*A108)*0.1*(C45/100)</f>
        <v>52.6365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340.478060416667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790.716161685454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756.982151815004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593.485628646156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2792.316</v>
      </c>
      <c r="B201" s="186" t="n">
        <f aca="false">E179+A201+B182+A185</f>
        <v>26063.91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710.213279332513</v>
      </c>
      <c r="B212" s="177" t="n">
        <f aca="false">B167</f>
        <v>80.5028823529412</v>
      </c>
      <c r="C212" s="174"/>
      <c r="D212" s="174"/>
      <c r="E212" s="177" t="n">
        <f aca="false">E167</f>
        <v>790.716161685454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4860.64749730544</v>
      </c>
      <c r="B224" s="103" t="str">
        <f aca="false">B182</f>
        <v>239.99</v>
      </c>
      <c r="C224" s="103"/>
      <c r="D224" s="113"/>
      <c r="E224" s="103" t="n">
        <f aca="false">E182</f>
        <v>28132.2414973054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710.213279332513</v>
      </c>
      <c r="B230" s="103" t="n">
        <f aca="false">B167</f>
        <v>80.5028823529412</v>
      </c>
      <c r="C230" s="186"/>
      <c r="D230" s="186"/>
      <c r="E230" s="103" t="n">
        <f aca="false">E167</f>
        <v>790.716161685454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3735</v>
      </c>
      <c r="B233" s="103" t="n">
        <f aca="false">E185</f>
        <v>3745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52.6365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3885.14806041667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2078.33149730544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626.356666666667</v>
      </c>
      <c r="C255" s="197"/>
      <c r="D255" s="198" t="s">
        <v>218</v>
      </c>
      <c r="E255" s="198"/>
      <c r="F255" s="200" t="n">
        <f aca="false">(B254-F254)+B255</f>
        <v>2479.26829147211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2078.33149730544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2479.26829147211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385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7320.0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544.720425894169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494.590425894169</v>
      </c>
      <c r="B36" s="232" t="n">
        <f aca="false">IF(B26="YES", K42, "0.00")</f>
        <v>50.13</v>
      </c>
      <c r="C36" s="232"/>
      <c r="D36" s="232"/>
      <c r="E36" s="232" t="n">
        <f aca="false">K31</f>
        <v>2988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25898.9680156023</v>
      </c>
      <c r="N39" s="1" t="n">
        <f aca="false">K39-L39</f>
        <v>-8118.96801560228</v>
      </c>
      <c r="P39" s="212"/>
    </row>
    <row r="40" customFormat="false" ht="17.35" hidden="false" customHeight="false" outlineLevel="0" collapsed="false">
      <c r="A40" s="313" t="n">
        <f aca="false">E36*A45/100</f>
        <v>27250.0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2490</v>
      </c>
      <c r="L40" s="2" t="n">
        <f aca="false">K39-L39</f>
        <v>-8118.96801560228</v>
      </c>
      <c r="N40" s="1" t="n">
        <f aca="false">N38-N39</f>
        <v>11030.6480156023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2049.93674396706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15730.0632560329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494.590425894169</v>
      </c>
      <c r="L47" s="2" t="n">
        <f aca="false">L49-K42</f>
        <v>749.87</v>
      </c>
      <c r="M47" s="1" t="n">
        <f aca="false">K47-L47</f>
        <v>-255.279574105831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544.720425894169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544.720425894169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9138.78156077983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32357.9235668626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6935.5120774843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955.538289743439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200.905449305556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494.590425894169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494.590425894169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544.720425894169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544.720425894169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24621.604</v>
      </c>
      <c r="C81" s="93"/>
      <c r="D81" s="93"/>
      <c r="E81" s="113"/>
      <c r="F81" s="25" t="s">
        <v>105</v>
      </c>
      <c r="G81" s="27" t="n">
        <f aca="false">G158</f>
        <v>24621.604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2988</v>
      </c>
      <c r="C82" s="93"/>
      <c r="D82" s="93"/>
      <c r="E82" s="113"/>
      <c r="F82" s="31" t="s">
        <v>106</v>
      </c>
      <c r="G82" s="33" t="n">
        <f aca="false">IF(A111="YES",A40,0)</f>
        <v>2988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2988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2988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2139.95459271991</v>
      </c>
      <c r="C86" s="93"/>
      <c r="D86" s="93"/>
      <c r="E86" s="113"/>
      <c r="F86" s="31" t="s">
        <v>110</v>
      </c>
      <c r="G86" s="33" t="n">
        <f aca="false">(G82/((1+G84)^(G85+1)))</f>
        <v>2473.24868159626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2043.3516334334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2043.3516334334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22481.6494072801</v>
      </c>
      <c r="C88" s="93"/>
      <c r="D88" s="93"/>
      <c r="E88" s="113"/>
      <c r="F88" s="31" t="s">
        <v>112</v>
      </c>
      <c r="G88" s="33" t="n">
        <f aca="false">G81-G86</f>
        <v>22148.3553184037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20164.4133665666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15191.1483665666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777.924896090463</v>
      </c>
      <c r="C89" s="93"/>
      <c r="D89" s="93"/>
      <c r="E89" s="113"/>
      <c r="F89" s="31" t="s">
        <v>113</v>
      </c>
      <c r="G89" s="33" t="n">
        <f aca="false">(G88/G87)</f>
        <v>715.005234238779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713.122852464124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537.241270471746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26449.4464670757</v>
      </c>
      <c r="C90" s="93"/>
      <c r="D90" s="93"/>
      <c r="E90" s="113"/>
      <c r="F90" s="31" t="s">
        <v>114</v>
      </c>
      <c r="G90" s="33" t="n">
        <f aca="false">((G89*(G85))+G77)</f>
        <v>24310.1779641185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24246.1769837802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18266.2031960394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26449.4464670757</v>
      </c>
      <c r="C92" s="93"/>
      <c r="D92" s="93"/>
      <c r="E92" s="113"/>
      <c r="F92" s="56" t="s">
        <v>116</v>
      </c>
      <c r="G92" s="65" t="n">
        <f aca="false">(G90+G91)</f>
        <v>24310.1779641185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24246.1769837802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18266.2031960394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93"/>
      <c r="D94" s="93"/>
      <c r="E94" s="113"/>
      <c r="F94" s="88" t="s">
        <v>117</v>
      </c>
      <c r="G94" s="94" t="n">
        <f aca="false">IF(B26="YES",((E40/B85)*(1+A108)*(C45/100)),"0")</f>
        <v>67.0857352941177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777.924896090463</v>
      </c>
      <c r="C95" s="93"/>
      <c r="D95" s="93"/>
      <c r="E95" s="113"/>
      <c r="F95" s="95" t="s">
        <v>118</v>
      </c>
      <c r="G95" s="96" t="n">
        <f aca="false">G92/(G85)</f>
        <v>715.005234238779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713.122852464124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537.241270471746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858.427778443404</v>
      </c>
      <c r="C96" s="93"/>
      <c r="D96" s="93"/>
      <c r="E96" s="113"/>
      <c r="F96" s="97" t="s">
        <v>119</v>
      </c>
      <c r="G96" s="98" t="n">
        <f aca="false">G94+G95</f>
        <v>782.090969532897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775.048146581771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611.551623412922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385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410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385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394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-9355.83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-17564.1116666667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777.924896090463</v>
      </c>
      <c r="B167" s="177" t="n">
        <f aca="false">B94</f>
        <v>80.5028823529412</v>
      </c>
      <c r="C167" s="174"/>
      <c r="D167" s="174"/>
      <c r="E167" s="177" t="n">
        <f aca="false">B96</f>
        <v>858.427778443404</v>
      </c>
      <c r="F167" s="23"/>
      <c r="G167" s="23" t="n">
        <f aca="false">ROUND(G95, 2)</f>
        <v>715.01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713.122852464124</v>
      </c>
      <c r="T167" s="177" t="n">
        <f aca="false">T94</f>
        <v>61.9252941176471</v>
      </c>
      <c r="U167" s="174"/>
      <c r="V167" s="174"/>
      <c r="W167" s="177" t="n">
        <f aca="false">T96</f>
        <v>775.048146581771</v>
      </c>
      <c r="X167" s="23"/>
      <c r="Y167" s="23"/>
      <c r="Z167" s="33"/>
      <c r="AB167" s="176" t="n">
        <f aca="false">AC95</f>
        <v>537.241270471746</v>
      </c>
      <c r="AC167" s="177" t="n">
        <f aca="false">AC94</f>
        <v>74.3103529411765</v>
      </c>
      <c r="AD167" s="174"/>
      <c r="AE167" s="174"/>
      <c r="AF167" s="177" t="n">
        <f aca="false">AC96</f>
        <v>611.551623412922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2988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2988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2988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2988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24621.604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4815.84246707575</v>
      </c>
      <c r="B182" s="103" t="str">
        <f aca="false">B114</f>
        <v>239.99</v>
      </c>
      <c r="C182" s="103"/>
      <c r="D182" s="23"/>
      <c r="E182" s="103" t="n">
        <f aca="false">E179+A182+B182+A185</f>
        <v>29687.4364670757</v>
      </c>
      <c r="F182" s="23"/>
      <c r="G182" s="23"/>
      <c r="H182" s="105"/>
      <c r="J182" s="111" t="n">
        <f aca="false">(J167*K59)+N185-N179-J185</f>
        <v>16137.5844731586</v>
      </c>
      <c r="K182" s="103" t="n">
        <f aca="false">K114</f>
        <v>239.99</v>
      </c>
      <c r="L182" s="103"/>
      <c r="M182" s="23"/>
      <c r="N182" s="103" t="n">
        <f aca="false">N179+J182+K182+J185</f>
        <v>52916.5784731586</v>
      </c>
      <c r="O182" s="23"/>
      <c r="P182" s="23"/>
      <c r="Q182" s="105"/>
      <c r="S182" s="111" t="n">
        <f aca="false">(S167*T59)+W185-W179-S185</f>
        <v>5026.41198378022</v>
      </c>
      <c r="T182" s="103" t="n">
        <f aca="false">T114</f>
        <v>199.99</v>
      </c>
      <c r="U182" s="103"/>
      <c r="V182" s="23"/>
      <c r="W182" s="103" t="n">
        <f aca="false">W179+S182+T182+S185</f>
        <v>27444.1669837802</v>
      </c>
      <c r="X182" s="23"/>
      <c r="Y182" s="23"/>
      <c r="Z182" s="105"/>
      <c r="AB182" s="111" t="n">
        <f aca="false">(AB167*AC59)+AF185-AF179-AB185</f>
        <v>4019.70319603936</v>
      </c>
      <c r="AC182" s="103" t="n">
        <f aca="false">AC114</f>
        <v>239.99</v>
      </c>
      <c r="AD182" s="103"/>
      <c r="AE182" s="23"/>
      <c r="AF182" s="103" t="n">
        <f aca="false">AF179+AB182+AC182+AB185</f>
        <v>21504.1931960394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2998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3008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2998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2998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0.041856</v>
      </c>
      <c r="B188" s="103" t="n">
        <f aca="false">(G158*B67)/1.2</f>
        <v>200.905449305556</v>
      </c>
      <c r="C188" s="93"/>
      <c r="D188" s="93"/>
      <c r="E188" s="103" t="n">
        <f aca="false">(E40*A108)*0.1*C45/100</f>
        <v>52.6365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353.533615972222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858.427778443404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775.048146581771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611.551623412922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2676.736</v>
      </c>
      <c r="B201" s="186" t="n">
        <f aca="false">E179+A201+B182+A185</f>
        <v>27548.33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777.924896090463</v>
      </c>
      <c r="B212" s="177" t="n">
        <f aca="false">B167</f>
        <v>80.5028823529412</v>
      </c>
      <c r="C212" s="174"/>
      <c r="D212" s="174"/>
      <c r="E212" s="177" t="n">
        <f aca="false">E167</f>
        <v>858.427778443404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24621.604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4815.84246707575</v>
      </c>
      <c r="B224" s="103" t="str">
        <f aca="false">B182</f>
        <v>239.99</v>
      </c>
      <c r="C224" s="103"/>
      <c r="D224" s="113"/>
      <c r="E224" s="103" t="n">
        <f aca="false">E182</f>
        <v>29687.4364670757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777.924896090463</v>
      </c>
      <c r="B230" s="103" t="n">
        <f aca="false">B167</f>
        <v>80.5028823529412</v>
      </c>
      <c r="C230" s="186"/>
      <c r="D230" s="186"/>
      <c r="E230" s="103" t="n">
        <f aca="false">E167</f>
        <v>858.427778443404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2988</v>
      </c>
      <c r="B233" s="103" t="n">
        <f aca="false">E185</f>
        <v>2998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200.905449305556</v>
      </c>
      <c r="C240" s="93"/>
      <c r="D240" s="93"/>
      <c r="E240" s="103" t="n">
        <f aca="false">E188</f>
        <v>52.6365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3898.20361597222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2149.10646707575</v>
      </c>
      <c r="C254" s="197"/>
      <c r="D254" s="198" t="s">
        <v>216</v>
      </c>
      <c r="E254" s="198"/>
      <c r="F254" s="200" t="n">
        <f aca="false">F261+F267+F269+B270+B271</f>
        <v>241.086539166667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626.356666666667</v>
      </c>
      <c r="C255" s="197"/>
      <c r="D255" s="198" t="s">
        <v>218</v>
      </c>
      <c r="E255" s="198"/>
      <c r="F255" s="200" t="n">
        <f aca="false">(B254-F254)+B255</f>
        <v>2534.37659457575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2149.10646707575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241.086539166667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2534.37659457575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5490.0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532.542993914011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462.362993914011</v>
      </c>
      <c r="B36" s="232" t="n">
        <f aca="false">IF(B26="YES", K42, "0.00")</f>
        <v>70.18</v>
      </c>
      <c r="C36" s="232"/>
      <c r="D36" s="232"/>
      <c r="E36" s="232" t="n">
        <f aca="false">K31</f>
        <v>4482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26286.2617546544</v>
      </c>
      <c r="N39" s="1" t="n">
        <f aca="false">K39-L39</f>
        <v>-8506.26175465438</v>
      </c>
      <c r="P39" s="212"/>
    </row>
    <row r="40" customFormat="false" ht="17.35" hidden="false" customHeight="false" outlineLevel="0" collapsed="false">
      <c r="A40" s="313" t="n">
        <f aca="false">E36*A45/100</f>
        <v>27250.0</v>
      </c>
      <c r="B40" s="107" t="n">
        <f aca="false">IF(B26="YES", K42, "0.00")</f>
        <v>70.18</v>
      </c>
      <c r="C40" s="107"/>
      <c r="D40" s="107"/>
      <c r="E40" s="182" t="n">
        <f aca="false">K32</f>
        <v>2456.3</v>
      </c>
      <c r="F40" s="186"/>
      <c r="G40" s="186"/>
      <c r="H40" s="47"/>
      <c r="J40" s="2" t="s">
        <v>106</v>
      </c>
      <c r="K40" s="2" t="n">
        <f aca="false">(A40)/1.2</f>
        <v>3735</v>
      </c>
      <c r="L40" s="2" t="n">
        <f aca="false">K39-L39</f>
        <v>-8506.26175465438</v>
      </c>
      <c r="N40" s="1" t="n">
        <f aca="false">N38-N39</f>
        <v>11417.9417546544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70.18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3074.90511595059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14705.0948840494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462.362993914011</v>
      </c>
      <c r="L47" s="2" t="n">
        <f aca="false">L49-K42</f>
        <v>729.82</v>
      </c>
      <c r="M47" s="1" t="n">
        <f aca="false">K47-L47</f>
        <v>-267.457006085989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532.542993914011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532.542993914011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8857.87288697008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33485.8836861682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6834.9845526497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855.010764908842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462.362993914011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462.362993914011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532.542993914011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532.542993914011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4482</v>
      </c>
      <c r="C82" s="93"/>
      <c r="D82" s="93"/>
      <c r="E82" s="113"/>
      <c r="F82" s="31" t="s">
        <v>106</v>
      </c>
      <c r="G82" s="33" t="n">
        <f aca="false">IF(A111="YES",A40,0)</f>
        <v>4482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4482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4482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3460.60673372307</v>
      </c>
      <c r="C86" s="93"/>
      <c r="D86" s="93"/>
      <c r="E86" s="113"/>
      <c r="F86" s="31" t="s">
        <v>110</v>
      </c>
      <c r="G86" s="33" t="n">
        <f aca="false">(G82/((1+G84)^(G85+1)))</f>
        <v>3709.87302239438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3065.0274501501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3065.0274501501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22060.9972662769</v>
      </c>
      <c r="C88" s="93"/>
      <c r="D88" s="93"/>
      <c r="E88" s="113"/>
      <c r="F88" s="31" t="s">
        <v>112</v>
      </c>
      <c r="G88" s="33" t="n">
        <f aca="false">G81-G86</f>
        <v>21811.7309776056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19142.7375498499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14169.4725498499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736.487578645896</v>
      </c>
      <c r="C89" s="93"/>
      <c r="D89" s="93"/>
      <c r="E89" s="113"/>
      <c r="F89" s="31" t="s">
        <v>113</v>
      </c>
      <c r="G89" s="33" t="n">
        <f aca="false">(G88/G87)</f>
        <v>704.138144462463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676.990862930591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501.109280938213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25040.5776739605</v>
      </c>
      <c r="C90" s="93"/>
      <c r="D90" s="93"/>
      <c r="E90" s="113"/>
      <c r="F90" s="31" t="s">
        <v>114</v>
      </c>
      <c r="G90" s="33" t="n">
        <f aca="false">((G89*(G85))+G77)</f>
        <v>23940.6969117238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23017.6893396401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17037.7155518992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25040.5776739605</v>
      </c>
      <c r="C92" s="93"/>
      <c r="D92" s="93"/>
      <c r="E92" s="113"/>
      <c r="F92" s="56" t="s">
        <v>116</v>
      </c>
      <c r="G92" s="65" t="n">
        <f aca="false">(G90+G91)</f>
        <v>23940.6969117238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23017.6893396401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17037.7155518992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86.6929411764706</v>
      </c>
      <c r="C94" s="93"/>
      <c r="D94" s="93"/>
      <c r="E94" s="113"/>
      <c r="F94" s="88" t="s">
        <v>117</v>
      </c>
      <c r="G94" s="94" t="n">
        <f aca="false">IF(B26="YES",((E40/B85)*(1+A108)*(C45/100)),"0")</f>
        <v>86.6929411764706</v>
      </c>
      <c r="H94" s="33"/>
      <c r="J94" s="88" t="s">
        <v>117</v>
      </c>
      <c r="K94" s="89" t="n">
        <f aca="false">((E40/K85)*(1+J108))*1.2</f>
        <v>109.4808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86.6929411764706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104.031529411765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736.487578645896</v>
      </c>
      <c r="C95" s="93"/>
      <c r="D95" s="93"/>
      <c r="E95" s="113"/>
      <c r="F95" s="95" t="s">
        <v>118</v>
      </c>
      <c r="G95" s="96" t="n">
        <f aca="false">G92/(G85)</f>
        <v>704.138144462463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676.990862930591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501.109280938213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823.180519822367</v>
      </c>
      <c r="C96" s="93"/>
      <c r="D96" s="93"/>
      <c r="E96" s="113"/>
      <c r="F96" s="97" t="s">
        <v>119</v>
      </c>
      <c r="G96" s="98" t="n">
        <f aca="false">G94+G95</f>
        <v>790.831085638934</v>
      </c>
      <c r="H96" s="33"/>
      <c r="J96" s="97" t="s">
        <v>119</v>
      </c>
      <c r="K96" s="98" t="n">
        <f aca="false">(K94+K95)</f>
        <v>1570.32163744584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763.683804107061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605.140810349977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407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385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-9355.83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736.487578645896</v>
      </c>
      <c r="B167" s="177" t="n">
        <f aca="false">B94</f>
        <v>86.6929411764706</v>
      </c>
      <c r="C167" s="174"/>
      <c r="D167" s="174"/>
      <c r="E167" s="177" t="n">
        <f aca="false">B96</f>
        <v>823.180519822367</v>
      </c>
      <c r="F167" s="23"/>
      <c r="G167" s="23" t="n">
        <f aca="false">ROUND(G95, 2)</f>
        <v>704.14</v>
      </c>
      <c r="H167" s="33"/>
      <c r="J167" s="176" t="n">
        <f aca="false">K95</f>
        <v>1460.84083744584</v>
      </c>
      <c r="K167" s="177" t="n">
        <f aca="false">K94</f>
        <v>109.4808</v>
      </c>
      <c r="L167" s="174"/>
      <c r="M167" s="174"/>
      <c r="N167" s="177" t="n">
        <f aca="false">K96</f>
        <v>1570.32163744584</v>
      </c>
      <c r="O167" s="23"/>
      <c r="P167" s="23"/>
      <c r="Q167" s="33"/>
      <c r="S167" s="176" t="n">
        <f aca="false">T95</f>
        <v>676.990862930591</v>
      </c>
      <c r="T167" s="177" t="n">
        <f aca="false">T94</f>
        <v>86.6929411764706</v>
      </c>
      <c r="U167" s="174"/>
      <c r="V167" s="174"/>
      <c r="W167" s="177" t="n">
        <f aca="false">T96</f>
        <v>763.683804107061</v>
      </c>
      <c r="X167" s="23"/>
      <c r="Y167" s="23"/>
      <c r="Z167" s="33"/>
      <c r="AB167" s="176" t="n">
        <f aca="false">AC95</f>
        <v>501.109280938213</v>
      </c>
      <c r="AC167" s="177" t="n">
        <f aca="false">AC94</f>
        <v>104.031529411765</v>
      </c>
      <c r="AD167" s="174"/>
      <c r="AE167" s="174"/>
      <c r="AF167" s="177" t="n">
        <f aca="false">AC96</f>
        <v>605.140810349977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4482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4482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4482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4482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4000.97367396046</v>
      </c>
      <c r="B182" s="103" t="str">
        <f aca="false">B114</f>
        <v>199.99</v>
      </c>
      <c r="C182" s="103"/>
      <c r="D182" s="23"/>
      <c r="E182" s="103" t="n">
        <f aca="false">E179+A182+(B182*1.2)+A185</f>
        <v>29772.5656739605</v>
      </c>
      <c r="F182" s="23"/>
      <c r="G182" s="23"/>
      <c r="H182" s="105"/>
      <c r="J182" s="111" t="n">
        <f aca="false">(J167*K59)+N185-N179-J185</f>
        <v>17631.5844731586</v>
      </c>
      <c r="K182" s="103" t="n">
        <f aca="false">K114</f>
        <v>239.99</v>
      </c>
      <c r="L182" s="103"/>
      <c r="M182" s="23"/>
      <c r="N182" s="103" t="n">
        <f aca="false">N179+J182+K182+J185</f>
        <v>54410.5784731586</v>
      </c>
      <c r="O182" s="23"/>
      <c r="P182" s="23"/>
      <c r="Q182" s="105"/>
      <c r="S182" s="111" t="n">
        <f aca="false">(S167*T59)+W185-W179-S185</f>
        <v>5291.92433964009</v>
      </c>
      <c r="T182" s="103" t="n">
        <f aca="false">T114</f>
        <v>199.99</v>
      </c>
      <c r="U182" s="103"/>
      <c r="V182" s="23"/>
      <c r="W182" s="103" t="n">
        <f aca="false">W179+S182+T182+S185</f>
        <v>27709.6793396401</v>
      </c>
      <c r="X182" s="23"/>
      <c r="Y182" s="23"/>
      <c r="Z182" s="105"/>
      <c r="AB182" s="111" t="n">
        <f aca="false">(AB167*AC59)+AF185-AF179-AB185</f>
        <v>4285.21555189923</v>
      </c>
      <c r="AC182" s="103" t="n">
        <f aca="false">AC114</f>
        <v>239.99</v>
      </c>
      <c r="AD182" s="103"/>
      <c r="AE182" s="23"/>
      <c r="AF182" s="103" t="n">
        <f aca="false">AF179+AB182+AC182+AB185</f>
        <v>21769.7055518992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4492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4502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4492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4492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49.126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73.689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49.126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49.126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357.365199305556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3464.41622569444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1330.32519357639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1329.74473263889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823.180519822367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1570.32163744584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763.683804107061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605.140810349977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2901.156</v>
      </c>
      <c r="B201" s="186" t="n">
        <f aca="false">E179+A201+(B182*1.2)+A185</f>
        <v>28672.748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736.487578645896</v>
      </c>
      <c r="B212" s="177" t="n">
        <f aca="false">B167</f>
        <v>86.6929411764706</v>
      </c>
      <c r="C212" s="174"/>
      <c r="D212" s="174"/>
      <c r="E212" s="177" t="n">
        <f aca="false">E167</f>
        <v>823.180519822367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4000.97367396046</v>
      </c>
      <c r="B224" s="103" t="str">
        <f aca="false">B182</f>
        <v>199.99</v>
      </c>
      <c r="C224" s="103"/>
      <c r="D224" s="113"/>
      <c r="E224" s="103" t="n">
        <f aca="false">E182</f>
        <v>29772.5656739605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736.487578645896</v>
      </c>
      <c r="B230" s="103" t="n">
        <f aca="false">B167</f>
        <v>86.6929411764706</v>
      </c>
      <c r="C230" s="186"/>
      <c r="D230" s="186"/>
      <c r="E230" s="103" t="n">
        <f aca="false">E167</f>
        <v>823.180519822367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4482</v>
      </c>
      <c r="B233" s="103" t="n">
        <f aca="false">E185</f>
        <v>4492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49.126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3902.03519930555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1109.81767396046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591.25</v>
      </c>
      <c r="C255" s="197"/>
      <c r="D255" s="198" t="s">
        <v>218</v>
      </c>
      <c r="E255" s="198"/>
      <c r="F255" s="200" t="n">
        <f aca="false">(B254-F254)+B255</f>
        <v>1451.1686347938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1109.81767396046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491.26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1451.1686347938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18300.0</v>
      </c>
      <c r="I31" s="238" t="n">
        <f aca="false">IF(C107="YES",H31,0)</f>
        <v>7470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498.168129953695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397.908129953695</v>
      </c>
      <c r="B36" s="103" t="n">
        <f aca="false">IF(B26="YES", H42, "")</f>
        <v>100.26</v>
      </c>
      <c r="C36" s="221"/>
      <c r="D36" s="184" t="n">
        <f aca="false">I31</f>
        <v>7470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46462.0601844208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7470</v>
      </c>
      <c r="B40" s="107" t="n">
        <f aca="false">IF(B26="YES",H42,"0")</f>
        <v>100.26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6225</v>
      </c>
      <c r="I40" s="238" t="n">
        <f aca="false">H39-I39</f>
        <v>-28682.0601844208</v>
      </c>
      <c r="J40" s="63" t="n">
        <v>23437.5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100.26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5124.84185991764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12655.1581400824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397.908129953695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498.168129953695</v>
      </c>
      <c r="I48" s="238" t="n">
        <f aca="false">I49-H42</f>
        <v>1299.74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498.168129953695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10000.0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409.84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3608.58666666667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103.102476190476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397.908129953695</v>
      </c>
      <c r="C83" s="215"/>
      <c r="D83" s="215"/>
      <c r="E83" s="216"/>
      <c r="F83" s="63"/>
      <c r="G83" s="305" t="s">
        <v>104</v>
      </c>
      <c r="H83" s="306" t="n">
        <f aca="false">H47</f>
        <v>397.908129953695</v>
      </c>
      <c r="I83" s="215"/>
      <c r="J83" s="215"/>
      <c r="K83" s="216"/>
      <c r="L83" s="63"/>
      <c r="M83" s="305" t="s">
        <v>104</v>
      </c>
      <c r="N83" s="306" t="n">
        <f aca="false">H47</f>
        <v>397.908129953695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17535.371215046</v>
      </c>
      <c r="C85" s="215"/>
      <c r="D85" s="215"/>
      <c r="E85" s="216"/>
      <c r="F85" s="63"/>
      <c r="G85" s="288" t="s">
        <v>114</v>
      </c>
      <c r="H85" s="131" t="n">
        <f aca="false">((H83*H29)+H81)*1.2</f>
        <v>20569.4454580552</v>
      </c>
      <c r="I85" s="215"/>
      <c r="J85" s="215"/>
      <c r="K85" s="216"/>
      <c r="L85" s="63"/>
      <c r="M85" s="288" t="s">
        <v>114</v>
      </c>
      <c r="N85" s="131" t="n">
        <f aca="false">((N83*H29)+N81)</f>
        <v>16811.2045483793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148.544895327134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145.205847323907</v>
      </c>
      <c r="I86" s="215"/>
      <c r="J86" s="215"/>
      <c r="K86" s="216"/>
      <c r="L86" s="63"/>
      <c r="M86" s="214" t="s">
        <v>115</v>
      </c>
      <c r="N86" s="300" t="n">
        <f aca="false">(N85/(1-N70))*N70</f>
        <v>142.410365274694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17683.9161103731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20714.6513053791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16953.614913654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120.312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505.25474601066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517.866282634477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423.84037284135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625.56674601066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644.193882634477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529.11337284135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385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385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517.866282634477</v>
      </c>
      <c r="H127" s="177" t="n">
        <f aca="false">IF(G105="YES", H89*H57, 0)</f>
        <v>757.9656</v>
      </c>
      <c r="I127" s="177"/>
      <c r="J127" s="334" t="n">
        <f aca="false">H91</f>
        <v>644.193882634477</v>
      </c>
      <c r="K127" s="216"/>
      <c r="L127" s="63"/>
      <c r="M127" s="333" t="n">
        <f aca="false">N90</f>
        <v>423.84037284135</v>
      </c>
      <c r="N127" s="177" t="n">
        <f aca="false">IF(M105="YES", N89*N57, 0)</f>
        <v>631.638</v>
      </c>
      <c r="O127" s="177"/>
      <c r="P127" s="177" t="n">
        <f aca="false">N91</f>
        <v>529.11337284135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505.25474601066</v>
      </c>
      <c r="B128" s="321" t="n">
        <f aca="false">IF(A105="YES", B89, 0)</f>
        <v>120.312</v>
      </c>
      <c r="C128" s="325"/>
      <c r="D128" s="321" t="n">
        <f aca="false">B91</f>
        <v>625.56674601066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505.25474601066</v>
      </c>
      <c r="C131" s="317"/>
      <c r="D131" s="38" t="n">
        <f aca="false">IF(A105="YES", B89*B57, 0)</f>
        <v>120.312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3107.19769580686</v>
      </c>
      <c r="H133" s="103" t="n">
        <f aca="false">IF(G105="YES", H89*H57, 0)</f>
        <v>757.9656</v>
      </c>
      <c r="I133" s="221"/>
      <c r="J133" s="184" t="n">
        <f aca="false">H91*H57</f>
        <v>3865.16329580686</v>
      </c>
      <c r="K133" s="216"/>
      <c r="L133" s="63"/>
      <c r="M133" s="185" t="n">
        <f aca="false">N90*N57</f>
        <v>2543.0422370481</v>
      </c>
      <c r="N133" s="103" t="n">
        <f aca="false">IF(M105="YES", N89*N57, 0)</f>
        <v>631.638</v>
      </c>
      <c r="O133" s="221"/>
      <c r="P133" s="184" t="n">
        <f aca="false">N91*N57</f>
        <v>3174.6802370481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625.56674601066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505.25474601066</v>
      </c>
      <c r="B137" s="38" t="n">
        <f aca="false">IF(A105="YES", B89, 0)</f>
        <v>120.312</v>
      </c>
      <c r="C137" s="317"/>
      <c r="D137" s="38" t="n">
        <f aca="false">B91</f>
        <v>625.56674601066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70.182</v>
      </c>
      <c r="H142" s="103" t="n">
        <f aca="false">G102-100</f>
        <v>99.99</v>
      </c>
      <c r="I142" s="103"/>
      <c r="J142" s="103" t="n">
        <f aca="false">(H139+J139+G142+H142)-H145</f>
        <v>511.705333333333</v>
      </c>
      <c r="K142" s="105"/>
      <c r="L142" s="63"/>
      <c r="M142" s="111" t="n">
        <f aca="false">IF(M105="YES", ((B36*N105)*0.1)*(M130), 0)</f>
        <v>70.182</v>
      </c>
      <c r="N142" s="103" t="n">
        <f aca="false">M102-100</f>
        <v>99.99</v>
      </c>
      <c r="O142" s="103"/>
      <c r="P142" s="103" t="n">
        <f aca="false">(N139+P139+M142+N142)-N145</f>
        <v>511.705333333333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409.84</v>
      </c>
      <c r="B148" s="38" t="n">
        <f aca="false">B102</f>
        <v>400</v>
      </c>
      <c r="C148" s="38"/>
      <c r="D148" s="38" t="n">
        <f aca="false">IF(A105="YES", (B40*B105)*B125, 0)*0.1</f>
        <v>70.182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980.012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644.193882634477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529.11337284135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625.56674601066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505.25474601066</v>
      </c>
      <c r="B177" s="355" t="n">
        <f aca="false">IF(A105="YES", B89, 0)</f>
        <v>120.312</v>
      </c>
      <c r="C177" s="357"/>
      <c r="D177" s="355" t="n">
        <f aca="false">B91</f>
        <v>625.56674601066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505.25474601066</v>
      </c>
      <c r="C180" s="353"/>
      <c r="D180" s="103" t="n">
        <f aca="false">IF(A105="YES", B89*B57, 0)</f>
        <v>120.312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625.56674601066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505.25474601066</v>
      </c>
      <c r="B186" s="103" t="n">
        <f aca="false">IF(A105="YES", B89, 0)</f>
        <v>120.312</v>
      </c>
      <c r="C186" s="353"/>
      <c r="D186" s="103" t="n">
        <f aca="false">B91</f>
        <v>625.56674601066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409.84</v>
      </c>
      <c r="B197" s="103" t="n">
        <f aca="false">B102</f>
        <v>400</v>
      </c>
      <c r="C197" s="103"/>
      <c r="D197" s="103" t="n">
        <f aca="false">IF(A105="YES", (B40*B105)*B125, 0)*0.1</f>
        <v>70.182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980.012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409.84</v>
      </c>
      <c r="C211" s="320" t="s">
        <v>217</v>
      </c>
      <c r="D211" s="370" t="n">
        <f aca="false">B225+E221+B221+B223</f>
        <v>1041.81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2798.89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409.84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2798.89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701.82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148.544895327134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18341.67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28125.0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1663.42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10000.0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385</v>
      </c>
      <c r="B105" s="314" t="n">
        <v>0.3</v>
      </c>
      <c r="C105" s="314"/>
      <c r="D105" s="107" t="s">
        <v>392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28125.0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1663.1999999999998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572.165083902158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23.27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34905.4315976251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23.27</v>
      </c>
      <c r="C40" s="107"/>
      <c r="D40" s="184" t="n">
        <f aca="false">I32</f>
        <v>1023.88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-17125.4315976251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23.27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572.165083902158</v>
      </c>
      <c r="I48" s="238" t="n">
        <f aca="false">I49-H42</f>
        <v>1376.73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572.165083902158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472" t="n">
        <f aca="false">B73+B71</f>
        <v>310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473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15222.5185125141</v>
      </c>
      <c r="C85" s="473"/>
      <c r="D85" s="473"/>
      <c r="E85" s="466" t="n">
        <f aca="false">B85/(B58+B57)</f>
        <v>691.932659659733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128.952355289551</v>
      </c>
      <c r="C86" s="473" t="s">
        <v>230</v>
      </c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15351.4708678037</v>
      </c>
      <c r="C87" s="473"/>
      <c r="D87" s="475"/>
      <c r="E87" s="466" t="n">
        <f aca="false">E86+E85</f>
        <v>697.794130354713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30.251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54.6069333333333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45.5057777777778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697.794130354713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728.045130354713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710.58753945871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587.273360504066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385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327.6416</v>
      </c>
      <c r="I127" s="177"/>
      <c r="J127" s="334" t="n">
        <f aca="false">H91</f>
        <v>710.58753945871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273.034666666667</v>
      </c>
      <c r="O127" s="177"/>
      <c r="P127" s="177" t="n">
        <f aca="false">N91</f>
        <v>587.273360504066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697.794130354713</v>
      </c>
      <c r="B128" s="321" t="n">
        <f aca="false">IF(A105="YES", B89, 0)</f>
        <v>30.251</v>
      </c>
      <c r="C128" s="325"/>
      <c r="D128" s="321" t="n">
        <f aca="false">B91</f>
        <v>728.045130354713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697.794130354713</v>
      </c>
      <c r="C131" s="317"/>
      <c r="D131" s="38" t="n">
        <f aca="false">IF(A105="YES", B89*B57, 0)</f>
        <v>30.251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327.6416</v>
      </c>
      <c r="I133" s="221"/>
      <c r="J133" s="184" t="n">
        <f aca="false">H91*H57</f>
        <v>4263.52523675226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273.034666666667</v>
      </c>
      <c r="O133" s="221"/>
      <c r="P133" s="184" t="n">
        <f aca="false">N91*N57</f>
        <v>3523.6401630244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728.045130354713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697.794130354713</v>
      </c>
      <c r="B137" s="38" t="n">
        <f aca="false">IF(A105="YES", B89, 0)</f>
        <v>30.251</v>
      </c>
      <c r="C137" s="317"/>
      <c r="D137" s="38" t="n">
        <f aca="false">B91</f>
        <v>728.045130354713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10.2388</v>
      </c>
      <c r="H142" s="103" t="n">
        <f aca="false">G102-100</f>
        <v>99.99</v>
      </c>
      <c r="I142" s="103"/>
      <c r="J142" s="103" t="n">
        <f aca="false">(H139+J139+G142+H142)-H145</f>
        <v>357.295466666667</v>
      </c>
      <c r="K142" s="105"/>
      <c r="L142" s="63"/>
      <c r="M142" s="111" t="n">
        <f aca="false">IF(M105="YES", ((B36*N105)*0.1)*(M130), 0)</f>
        <v>10.2388</v>
      </c>
      <c r="N142" s="103" t="n">
        <f aca="false">M102-100</f>
        <v>99.99</v>
      </c>
      <c r="O142" s="103"/>
      <c r="P142" s="103" t="n">
        <f aca="false">(N139+P139+M142+N142)-N145</f>
        <v>357.295466666667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103" t="n">
        <f aca="false">B102</f>
        <v>400</v>
      </c>
      <c r="C148" s="38"/>
      <c r="D148" s="38" t="n">
        <f aca="false">IF(A105="YES", (B40*B105)*B125, 0)*0.1</f>
        <v>15.3582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811.8282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710.58753945871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587.273360504066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728.045130354713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697.794130354713</v>
      </c>
      <c r="B177" s="355" t="n">
        <f aca="false">IF(A105="YES", B89, 0)</f>
        <v>30.251</v>
      </c>
      <c r="C177" s="357"/>
      <c r="D177" s="355" t="n">
        <f aca="false">B91</f>
        <v>728.045130354713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697.794130354713</v>
      </c>
      <c r="C180" s="353"/>
      <c r="D180" s="103" t="n">
        <f aca="false">IF(A105="YES", B89*B57, 0)</f>
        <v>30.251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728.045130354713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697.794130354713</v>
      </c>
      <c r="B186" s="103" t="n">
        <f aca="false">IF(A105="YES", B89, 0)</f>
        <v>30.251</v>
      </c>
      <c r="C186" s="353"/>
      <c r="D186" s="103" t="n">
        <f aca="false">B91</f>
        <v>728.045130354713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15.3582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811.8282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493.572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1967.252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1967.252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153.582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384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10000.0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385</v>
      </c>
      <c r="B105" s="312" t="n">
        <v>30.0</v>
      </c>
      <c r="C105" s="312"/>
      <c r="D105" s="107" t="s">
        <v>392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45687.5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9247.5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56135</v>
      </c>
      <c r="F15" s="63"/>
      <c r="G15" s="274" t="n">
        <f aca="false">E15</f>
        <v>56135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45260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385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3883.95</v>
      </c>
      <c r="C64" s="215" t="n">
        <v>10000.0</v>
      </c>
      <c r="D64" s="291" t="n">
        <f aca="false">B64</f>
        <v>3883.95</v>
      </c>
      <c r="E64" s="216"/>
      <c r="F64" s="63"/>
      <c r="G64" s="285" t="s">
        <v>90</v>
      </c>
      <c r="H64" s="133" t="n">
        <f aca="false">H61*H63</f>
        <v>3883.95</v>
      </c>
      <c r="I64" s="215"/>
      <c r="J64" s="291" t="n">
        <f aca="false">H64</f>
        <v>3883.95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554.85</v>
      </c>
      <c r="C67" s="215"/>
      <c r="D67" s="291"/>
      <c r="E67" s="216"/>
      <c r="F67" s="63"/>
      <c r="G67" s="285" t="s">
        <v>93</v>
      </c>
      <c r="H67" s="133" t="n">
        <f aca="false">H61*H66</f>
        <v>277.425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5210.61666666667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5537.53333333333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434.218055555556</v>
      </c>
      <c r="C82" s="215"/>
      <c r="D82" s="215"/>
      <c r="E82" s="216"/>
      <c r="F82" s="63"/>
      <c r="G82" s="214" t="s">
        <v>103</v>
      </c>
      <c r="H82" s="300" t="n">
        <f aca="false">H81/H29</f>
        <v>461.461111111111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11222.6166666667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13859.44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95.0685558693022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97.8379185155305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11317.685222536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13857.2879185155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943.140435211331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1154.77399320963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943.140435211331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1154.77399320963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385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943.140435211331</v>
      </c>
      <c r="B128" s="321" t="n">
        <f aca="false">IF(A105="YES", B89, 0)</f>
        <v>0</v>
      </c>
      <c r="C128" s="326"/>
      <c r="D128" s="321" t="n">
        <f aca="false">B91</f>
        <v>943.140435211331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1154.77399320963</v>
      </c>
      <c r="H130" s="177" t="n">
        <f aca="false">IF(G105="YES", H89*H57, 0)</f>
        <v>0</v>
      </c>
      <c r="I130" s="177"/>
      <c r="J130" s="334" t="n">
        <f aca="false">H91</f>
        <v>1154.77399320963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8488.26391690198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1154.77399320963</v>
      </c>
      <c r="H133" s="103" t="n">
        <f aca="false">IF(G105="YES", H89*H57, 0)</f>
        <v>0</v>
      </c>
      <c r="I133" s="221"/>
      <c r="J133" s="184" t="n">
        <f aca="false">H91*H57</f>
        <v>1154.77399320963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8488.26391690198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943.140435211331</v>
      </c>
      <c r="B137" s="38" t="n">
        <f aca="false">IF(A105="YES", B89, 0)</f>
        <v>0</v>
      </c>
      <c r="C137" s="317"/>
      <c r="D137" s="38" t="n">
        <f aca="false">B91</f>
        <v>943.140435211331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277.425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G18*0.000002 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1497.413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554.85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1054.84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1154.77399320963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943.140435211331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943.140435211331</v>
      </c>
      <c r="B171" s="355" t="n">
        <f aca="false">IF(A105="YES", B89, 0)</f>
        <v>0</v>
      </c>
      <c r="C171" s="358"/>
      <c r="D171" s="355" t="n">
        <f aca="false">B91</f>
        <v>943.140435211331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8488.26391690198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8488.26391690198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943.140435211331</v>
      </c>
      <c r="B180" s="103" t="n">
        <f aca="false">IF(A105="YES", B89, 0)</f>
        <v>0</v>
      </c>
      <c r="C180" s="353"/>
      <c r="D180" s="103" t="n">
        <f aca="false">B91</f>
        <v>943.140435211331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39.9492</v>
      </c>
      <c r="B183" s="365" t="n">
        <f aca="false">G18*0.000002 *1.2*100</f>
        <v>13.3164</v>
      </c>
      <c r="C183" s="353"/>
      <c r="D183" s="365" t="n">
        <f aca="false">A183+B183</f>
        <v>53.2656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554.85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1054.84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3883.95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554.85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3669.09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3883.95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554.85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3669.09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95.0685558693022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2023-11-29T15:02:16Z</dcterms:modified>
  <cp:revision>893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