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<sst xmlns="http://schemas.openxmlformats.org/spreadsheetml/2006/main" count="33254" uniqueCount="416">
  <si>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</si>
  <si>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</si>
  <si>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</si>
  <si>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</si>
  <si>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</si>
  <si>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</si>
  <si>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</si>
  <si>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</si>
  <si>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</si>
  <si>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</si>
  <si>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</si>
  <si>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</si>
  <si>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</si>
  <si>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</si>
  <si>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</si>
  <si>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</si>
  <si>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</si>
  <si>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</si>
  <si>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</si>
  <si>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</si>
  <si>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</si>
  <si>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</si>
  <si>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</si>
  <si>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</si>
  <si>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</si>
  <si>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</si>
  <si>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</si>
  <si>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</si>
  <si>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</si>
  <si>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</si>
  <si>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</si>
  <si>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</si>
  <si>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</si>
  <si>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</si>
  <si>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</si>
  <si>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</si>
  <si>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</si>
  <si>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</si>
  <si>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</si>
  <si>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</si>
  <si>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</si>
  <si>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</si>
  <si>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</si>
  <si>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</si>
  <si>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</si>
  <si>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</si>
  <si>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</si>
  <si>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</si>
  <si>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</si>
  <si>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</si>
  <si>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</si>
  <si>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</si>
  <si>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</si>
  <si>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</si>
  <si>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</si>
  <si>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</si>
  <si>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</si>
  <si>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</si>
  <si>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</si>
  <si>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</si>
  <si>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</si>
  <si>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</si>
  <si>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</si>
  <si>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</si>
  <si>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</si>
  <si>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</si>
  <si>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</si>
  <si>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</si>
  <si>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</si>
  <si>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</si>
  <si>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</si>
  <si>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</si>
  <si>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</si>
  <si>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</si>
  <si>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</si>
  <si>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</si>
  <si>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</si>
  <si>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</si>
  <si>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</si>
  <si>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</si>
  <si>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</si>
  <si>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</si>
  <si>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</si>
  <si>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</si>
  <si>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</si>
  <si>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</si>
  <si>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</si>
  <si>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</si>
  <si>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</si>
  <si>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</si>
  <si>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</si>
  <si>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</si>
  <si>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</si>
  <si>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</si>
  <si>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</si>
  <si>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</si>
  <si>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</si>
  <si>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</si>
  <si>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</si>
  <si>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</si>
  <si>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</si>
  <si>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</si>
  <si>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</si>
  <si>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</si>
  <si>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</si>
  <si>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</si>
  <si>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</si>
  <si>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</si>
  <si>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</si>
  <si>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</si>
  <si>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</si>
  <si>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</si>
  <si>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</si>
  <si>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</si>
  <si>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</si>
  <si>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</si>
  <si>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</si>
  <si>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</si>
  <si>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</si>
  <si>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</si>
  <si>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</si>
  <si>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</si>
  <si>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</si>
  <si>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</si>
  <si>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</si>
  <si>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</si>
  <si>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</si>
  <si>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</si>
  <si>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</si>
  <si>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</si>
  <si>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</si>
  <si>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</si>
  <si>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</si>
  <si>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</si>
  <si>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</si>
  <si>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</si>
  <si>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</si>
  <si>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</si>
  <si>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</si>
  <si>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</si>
  <si>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</si>
  <si>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</si>
  <si>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</si>
  <si>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</si>
  <si>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</si>
  <si>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</si>
  <si>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</si>
  <si>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</si>
  <si>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</si>
  <si>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</si>
  <si>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</si>
  <si>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</si>
  <si>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</si>
  <si>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</si>
  <si>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</si>
  <si>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</si>
  <si>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</si>
  <si>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</si>
  <si>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</si>
  <si>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</si>
  <si>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</si>
  <si>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</si>
  <si>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</si>
  <si>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</si>
  <si>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</si>
  <si>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</si>
  <si>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</si>
  <si>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</si>
  <si>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</si>
  <si>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</si>
  <si>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</si>
  <si>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</si>
  <si>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</si>
  <si>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</si>
  <si>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</si>
  <si>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</si>
  <si>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</si>
  <si>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</si>
  <si>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</si>
  <si>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</si>
  <si>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</si>
  <si>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</si>
  <si>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</si>
  <si>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</si>
  <si>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</si>
  <si>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</si>
  <si>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</si>
  <si>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</si>
  <si>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</si>
  <si>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</si>
  <si>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</si>
  <si>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</si>
  <si>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</si>
  <si>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</si>
  <si>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</si>
  <si>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</si>
  <si>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</si>
  <si>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</si>
  <si>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</si>
  <si>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</si>
  <si>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</si>
  <si>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</si>
  <si>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</si>
  <si>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</si>
  <si>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</si>
  <si>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</si>
  <si>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</si>
  <si>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</si>
  <si>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</si>
  <si>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</si>
  <si>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</si>
  <si>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</si>
  <si>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</si>
  <si>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</si>
  <si>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</si>
  <si>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</si>
  <si>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</si>
  <si>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</si>
  <si>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</si>
  <si>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</si>
  <si>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</si>
  <si>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</si>
  <si>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</si>
  <si>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</si>
  <si>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</si>
  <si>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</si>
  <si>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</si>
  <si>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</si>
  <si>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</si>
  <si>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</si>
  <si>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</si>
  <si>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</si>
  <si>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</si>
  <si>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</si>
  <si>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254.00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</si>
  <si>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</si>
  <si>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</si>
  <si>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</si>
  <si>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</si>
  <si>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</si>
  <si>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</si>
  <si>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</si>
  <si>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</si>
  <si>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</si>
  <si>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</si>
  <si>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</si>
  <si>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</si>
  <si>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</si>
  <si>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</si>
  <si>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</si>
  <si>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</si>
  <si>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</si>
  <si>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</si>
  <si>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</si>
  <si>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</si>
  <si>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</si>
  <si>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</si>
  <si>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</si>
  <si>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</si>
  <si>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</si>
  <si>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</si>
  <si>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</si>
  <si>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</si>
  <si>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</si>
  <si>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</si>
  <si>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</si>
  <si>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</si>
  <si>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</si>
  <si>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</si>
  <si>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</si>
  <si>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</si>
  <si>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</si>
  <si>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</si>
  <si>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</si>
  <si>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</si>
  <si>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</si>
  <si>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</si>
  <si>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</si>
  <si>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</si>
  <si>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</si>
  <si>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</si>
  <si>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</si>
  <si>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</si>
  <si>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</si>
  <si>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</si>
  <si>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</si>
  <si>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</si>
  <si>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</si>
  <si>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</si>
  <si>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</si>
  <si>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</si>
  <si>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</si>
  <si>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</si>
  <si>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</si>
  <si>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</si>
  <si>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</si>
  <si>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</si>
  <si>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</si>
  <si>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</si>
  <si>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</si>
  <si>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</si>
  <si>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</si>
  <si>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</si>
  <si>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</si>
  <si>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</si>
  <si>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</si>
  <si>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</si>
  <si>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</si>
  <si>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</si>
  <si>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</si>
  <si>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</si>
  <si>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</si>
  <si>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</si>
  <si>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</si>
  <si>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</si>
  <si>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</si>
  <si>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</si>
  <si>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</si>
  <si>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</si>
  <si>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</si>
  <si>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</si>
  <si>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</si>
  <si>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</si>
  <si>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</si>
  <si>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</si>
  <si>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</si>
  <si>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</si>
  <si>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</si>
  <si>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</si>
  <si>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</si>
  <si>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</si>
  <si>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</si>
  <si>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</si>
  <si>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</si>
  <si>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</si>
  <si>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</si>
  <si>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</si>
  <si>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</si>
  <si>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</si>
  <si>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</si>
  <si>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</si>
  <si>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</si>
  <si>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</si>
  <si>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</si>
  <si>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</si>
  <si>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</si>
  <si>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</si>
  <si>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</si>
  <si>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</si>
  <si>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</si>
  <si>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</si>
  <si>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</si>
  <si>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</si>
  <si>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</si>
  <si>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</si>
  <si>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</si>
  <si>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</si>
  <si>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</si>
  <si>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</si>
  <si>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</si>
  <si>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</si>
  <si>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</si>
  <si>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</si>
  <si>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</si>
  <si>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</si>
  <si>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</si>
  <si>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</si>
  <si>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</si>
  <si>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</si>
  <si>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</si>
  <si>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</si>
  <si>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</si>
  <si>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</si>
  <si>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</si>
  <si>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</si>
  <si>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</si>
  <si>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</si>
  <si>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</si>
  <si>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</si>
  <si>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</si>
  <si>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</si>
  <si>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OTR Calculation</t>
  </si>
  <si>
    <t xml:space="preserve">604.23</t>
  </si>
  <si>
    <t xml:space="preserve">58525.00</t>
  </si>
  <si>
    <t xml:space="preserve">8.19</t>
  </si>
  <si>
    <t xml:space="preserve">60</t>
  </si>
  <si>
    <t xml:space="preserve">2</t>
  </si>
  <si>
    <t xml:space="preserve">RFL included?</t>
  </si>
  <si>
    <t>YES</t>
  </si>
  <si>
    <t>0</t>
  </si>
  <si>
    <t>239.99</t>
  </si>
  <si>
    <t>NO</t>
  </si>
  <si>
    <t>60</t>
  </si>
  <si>
    <t>Limited Credit</t>
  </si>
  <si>
    <t>58525.00</t>
  </si>
  <si>
    <t>1000</t>
  </si>
  <si>
    <t>33</t>
  </si>
  <si>
    <t>5000</t>
  </si>
  <si>
    <t>500</t>
  </si>
  <si>
    <t>604.23</t>
  </si>
  <si>
    <t>12</t>
  </si>
  <si>
    <t>200</t>
  </si>
  <si>
    <t xml:space="preserve"> Terminal pause with 6 down </t>
  </si>
  <si>
    <t>50</t>
  </si>
  <si>
    <t>A1 Credit</t>
  </si>
  <si>
    <t>100</t>
  </si>
  <si>
    <t>40</t>
  </si>
  <si>
    <t>6000</t>
  </si>
  <si>
    <t>10</t>
  </si>
  <si>
    <t>1</t>
  </si>
  <si>
    <t>20</t>
  </si>
  <si>
    <t>70</t>
  </si>
  <si>
    <t>30</t>
  </si>
  <si>
    <t>199.99</t>
  </si>
  <si>
    <t>8.19</t>
  </si>
  <si>
    <t>2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</si>
</sst>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61" colorId="64" zoomScale="85" zoomScaleNormal="85" zoomScalePageLayoutView="100" workbookViewId="0">
      <selection pane="topLeft" activeCell="A210" activeCellId="0" sqref="A210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16333.33</v>
      </c>
      <c r="C2" s="4" t="s">
        <v>2</v>
      </c>
      <c r="D2" s="5" t="n">
        <f aca="false">C9</f>
        <v>3266.666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19599.996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16333.33</v>
      </c>
      <c r="C9" s="9" t="n">
        <f aca="false">B9*0.2</f>
        <v>3266.666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16333.33</v>
      </c>
      <c r="C15" s="9" t="n">
        <f aca="false">SUM(C9:C13)</f>
        <v>3266.666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19599.996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16333.33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19599.996</v>
      </c>
      <c r="B37" s="31"/>
      <c r="C37" s="40" t="s">
        <v>45</v>
      </c>
      <c r="D37" s="40"/>
      <c r="E37" s="31"/>
      <c r="F37" s="42" t="n">
        <f aca="false">A37-C37</f>
        <v>18599.996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3266.666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188.888833333333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361.111166666667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363.777833333333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313.777833333333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80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363.777833333333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13014.7521092442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0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363.777833333333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363.777833333333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363.777833333333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18599.996</v>
      </c>
      <c r="C90" s="31"/>
      <c r="D90" s="31"/>
      <c r="E90" s="22"/>
      <c r="F90" s="24" t="s">
        <v>106</v>
      </c>
      <c r="G90" s="26" t="n">
        <f aca="false">F37</f>
        <v>18599.996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12245.0542001204</v>
      </c>
      <c r="C97" s="31"/>
      <c r="D97" s="31"/>
      <c r="E97" s="22"/>
      <c r="F97" s="30" t="s">
        <v>113</v>
      </c>
      <c r="G97" s="32" t="n">
        <f aca="false">G90-G95</f>
        <v>11851.926698559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1184.25019174947</v>
      </c>
      <c r="C98" s="31"/>
      <c r="D98" s="31"/>
      <c r="E98" s="22"/>
      <c r="F98" s="30" t="s">
        <v>114</v>
      </c>
      <c r="G98" s="32" t="n">
        <f aca="false">(G97/G96)</f>
        <v>1112.78019224174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13026.7521092442</v>
      </c>
      <c r="C99" s="31"/>
      <c r="D99" s="31"/>
      <c r="E99" s="22"/>
      <c r="F99" s="30" t="s">
        <v>115</v>
      </c>
      <c r="G99" s="32" t="n">
        <f aca="false">((G98*(G94))+G86)</f>
        <v>12240.5821146591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13026.7521092442</v>
      </c>
      <c r="C101" s="31"/>
      <c r="D101" s="31"/>
      <c r="E101" s="22"/>
      <c r="F101" s="55" t="s">
        <v>117</v>
      </c>
      <c r="G101" s="64" t="n">
        <f aca="false">(G99+G100)</f>
        <v>12240.5821146591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1184.25019174947</v>
      </c>
      <c r="C104" s="31"/>
      <c r="D104" s="31"/>
      <c r="E104" s="22"/>
      <c r="F104" s="94" t="s">
        <v>119</v>
      </c>
      <c r="G104" s="95" t="n">
        <f aca="false">G101/(G94)</f>
        <v>1112.78019224174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1269.34110084038</v>
      </c>
      <c r="C105" s="31"/>
      <c r="D105" s="31"/>
      <c r="E105" s="22" t="s">
        <v>18</v>
      </c>
      <c r="F105" s="96" t="s">
        <v>120</v>
      </c>
      <c r="G105" s="97" t="n">
        <f aca="false">G103+G104</f>
        <v>1112.78019224174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19599.996</v>
      </c>
      <c r="C130" s="120" t="n">
        <v>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19599.996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19599.996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19599.996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19599.996</v>
      </c>
      <c r="C134" s="132" t="n">
        <f aca="false">C130-C133</f>
        <v>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16333.33</v>
      </c>
      <c r="H144" s="152" t="n">
        <f aca="false">C134+E134+G134+H137</f>
        <v>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3266.666</v>
      </c>
      <c r="H146" s="32" t="n">
        <f aca="false">(H144+H145)*20%</f>
        <v>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19599.996</v>
      </c>
      <c r="H150" s="156" t="n">
        <f aca="false">(H144+H145+H148+H149+H146)-H147</f>
        <v>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19599.996</v>
      </c>
      <c r="H156" s="163" t="n">
        <f aca="false">H150-((H153*1.2)+(H154*1.2)+(H155*1.2)+(H151*1.2))</f>
        <v>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-16333.33</v>
      </c>
      <c r="I157" s="1" t="n">
        <f aca="false">(H157-G90)/1.2</f>
        <v>-29111.105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1184.25019174947</v>
      </c>
      <c r="B176" s="176" t="n">
        <f aca="false">B103</f>
        <v>85.0909090909091</v>
      </c>
      <c r="C176" s="173"/>
      <c r="D176" s="173"/>
      <c r="E176" s="176" t="n">
        <f aca="false">B105</f>
        <v>1269.34110084038</v>
      </c>
      <c r="F176" s="22"/>
      <c r="G176" s="22" t="n">
        <f aca="false">ROUND(G104,2)</f>
        <v>1112.78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0</v>
      </c>
      <c r="B182" s="102" t="n">
        <f aca="false">H146</f>
        <v>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IF(A49=0 ,(A176*B68)+E194-E188 ,(A176*B68)+E194-E188-A194)</f>
        <v>20226.7521092442</v>
      </c>
      <c r="B191" s="102" t="str">
        <f aca="false">B123</f>
        <v>239.99</v>
      </c>
      <c r="C191" s="102"/>
      <c r="D191" s="22"/>
      <c r="E191" s="102" t="n">
        <f aca="false">E188+A191+B191+A194</f>
        <v>20476.7421092442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8.7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E179+A194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9.72624</v>
      </c>
      <c r="B197" s="102" t="n">
        <f aca="false">(G167*B76)/1.2</f>
        <v>0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99.9916666666667</v>
      </c>
      <c r="C200" s="92"/>
      <c r="D200" s="92"/>
      <c r="E200" s="102" t="n">
        <f aca="false">H157</f>
        <v>-16333.33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1269.34110084038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19440.58</v>
      </c>
      <c r="B210" s="185" t="n">
        <f aca="false">E188+A210+B191+A194</f>
        <v>19690.57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1184.25019174947</v>
      </c>
      <c r="B221" s="176" t="n">
        <f aca="false">B176</f>
        <v>85.0909090909091</v>
      </c>
      <c r="C221" s="173"/>
      <c r="D221" s="173"/>
      <c r="E221" s="176" t="n">
        <f aca="false">E176</f>
        <v>1269.34110084038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0</v>
      </c>
      <c r="B224" s="102" t="n">
        <f aca="false">B182</f>
        <v>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20226.7521092442</v>
      </c>
      <c r="B233" s="102" t="str">
        <f aca="false">B191</f>
        <v>239.99</v>
      </c>
      <c r="C233" s="102"/>
      <c r="D233" s="112"/>
      <c r="E233" s="102" t="n">
        <f aca="false">E191</f>
        <v>20476.7421092442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1184.25019174947</v>
      </c>
      <c r="B239" s="102" t="n">
        <f aca="false">B176</f>
        <v>85.0909090909091</v>
      </c>
      <c r="C239" s="185"/>
      <c r="D239" s="185"/>
      <c r="E239" s="102" t="n">
        <f aca="false">E176</f>
        <v>1269.34110084038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29.17872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9.72624</v>
      </c>
      <c r="B245" s="102" t="n">
        <f aca="false">E242+A245</f>
        <v>38.90496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-16333.33</v>
      </c>
      <c r="B249" s="102" t="n">
        <f aca="false">B197</f>
        <v>0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-16233.3383333333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796.172109244177</v>
      </c>
      <c r="C263" s="196"/>
      <c r="D263" s="197" t="s">
        <v>217</v>
      </c>
      <c r="E263" s="197"/>
      <c r="F263" s="199" t="n">
        <f aca="false">F270+F276+F278+B279+B280</f>
        <v>0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896.163775910843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13026.7521092442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0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896.163775910843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84" colorId="64" zoomScale="85" zoomScaleNormal="85" zoomScalePageLayoutView="100" workbookViewId="0">
      <selection pane="topLeft" activeCell="A210" activeCellId="0" sqref="A210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20049.996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16708.33</v>
      </c>
      <c r="C9" s="9" t="n">
        <f aca="false">B9*0.2</f>
        <v>3341.666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20049.996</v>
      </c>
      <c r="B37" s="31"/>
      <c r="C37" s="40" t="s">
        <v>45</v>
      </c>
      <c r="D37" s="40"/>
      <c r="E37" s="31"/>
      <c r="F37" s="42" t="n">
        <f aca="false">A37-C37</f>
        <v>19049.996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3341.666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195.138833333333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304.861166666667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307.527833333333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307.527833333333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234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307.527833333333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13493.4791408569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112.5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307.527833333333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307.527833333333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307.527833333333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19049.996</v>
      </c>
      <c r="C90" s="31"/>
      <c r="D90" s="31"/>
      <c r="E90" s="22"/>
      <c r="F90" s="24" t="s">
        <v>106</v>
      </c>
      <c r="G90" s="26" t="n">
        <f aca="false">F37</f>
        <v>19049.996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12695.0542001204</v>
      </c>
      <c r="C97" s="31"/>
      <c r="D97" s="31"/>
      <c r="E97" s="22"/>
      <c r="F97" s="30" t="s">
        <v>113</v>
      </c>
      <c r="G97" s="32" t="n">
        <f aca="false">G90-G95</f>
        <v>12301.926698559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1227.77083098699</v>
      </c>
      <c r="C98" s="31"/>
      <c r="D98" s="31"/>
      <c r="E98" s="22"/>
      <c r="F98" s="30" t="s">
        <v>114</v>
      </c>
      <c r="G98" s="32" t="n">
        <f aca="false">(G97/G96)</f>
        <v>1155.03079834528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13505.4791408569</v>
      </c>
      <c r="C99" s="31"/>
      <c r="D99" s="31"/>
      <c r="E99" s="22"/>
      <c r="F99" s="30" t="s">
        <v>115</v>
      </c>
      <c r="G99" s="32" t="n">
        <f aca="false">((G98*(G94))+G86)</f>
        <v>12705.338781798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13505.4791408569</v>
      </c>
      <c r="C101" s="31"/>
      <c r="D101" s="31"/>
      <c r="E101" s="22"/>
      <c r="F101" s="55" t="s">
        <v>117</v>
      </c>
      <c r="G101" s="64" t="n">
        <f aca="false">(G99+G100)</f>
        <v>12705.338781798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1227.77083098699</v>
      </c>
      <c r="C104" s="31"/>
      <c r="D104" s="31"/>
      <c r="E104" s="22"/>
      <c r="F104" s="94" t="s">
        <v>119</v>
      </c>
      <c r="G104" s="95" t="n">
        <f aca="false">G101/(G94)</f>
        <v>1155.03079834528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1227.77083098699</v>
      </c>
      <c r="C105" s="31"/>
      <c r="D105" s="31"/>
      <c r="E105" s="22" t="s">
        <v>18</v>
      </c>
      <c r="F105" s="96" t="s">
        <v>120</v>
      </c>
      <c r="G105" s="97" t="n">
        <f aca="false">G103+G104</f>
        <v>1155.03079834528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20049.996</v>
      </c>
      <c r="C130" s="120" t="n">
        <v>18750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20049.996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20049.996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20049.996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20049.996</v>
      </c>
      <c r="C134" s="132" t="n">
        <f aca="false">C130-C133</f>
        <v>18750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16708.33</v>
      </c>
      <c r="H144" s="152" t="n">
        <f aca="false">C134+E134+G134+H137</f>
        <v>18750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3341.666</v>
      </c>
      <c r="H146" s="32" t="n">
        <f aca="false">(H144+H145)*20%</f>
        <v>3750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20049.996</v>
      </c>
      <c r="H150" s="156" t="n">
        <f aca="false">(H144+H145+H148+H149+H146)-H147</f>
        <v>22500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20049.996</v>
      </c>
      <c r="H156" s="163" t="n">
        <f aca="false">H150-((H153*1.2)+(H154*1.2)+(H155*1.2)+(H151*1.2))</f>
        <v>22500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2041.67</v>
      </c>
      <c r="I157" s="1" t="n">
        <f aca="false">(H157-G90)/1.2</f>
        <v>-14173.605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22500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1227.77083098699</v>
      </c>
      <c r="B176" s="176" t="n">
        <f aca="false">B103</f>
        <v>0</v>
      </c>
      <c r="C176" s="173"/>
      <c r="D176" s="173"/>
      <c r="E176" s="176" t="n">
        <f aca="false">B105</f>
        <v>1227.77083098699</v>
      </c>
      <c r="F176" s="22"/>
      <c r="G176" s="22" t="n">
        <f aca="false">ROUND(G104,2)</f>
        <v>1155.03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18750</v>
      </c>
      <c r="B182" s="102" t="n">
        <f aca="false">H146</f>
        <v>3750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22500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22500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IF(A49=0 ,(A176*B68)+E194-E188 ,(A176*B68)+E194-E188-A194)</f>
        <v>-1794.52085914315</v>
      </c>
      <c r="B191" s="102" t="str">
        <f aca="false">B123</f>
        <v>199.99</v>
      </c>
      <c r="C191" s="102"/>
      <c r="D191" s="22"/>
      <c r="E191" s="102" t="n">
        <f aca="false">E188+A191+(B191*1.2)+A194</f>
        <v>20955.4671408569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8.7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E179+A194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8.1052</v>
      </c>
      <c r="B197" s="102" t="n">
        <f aca="false">(G167*B76)/1.2</f>
        <v>93.75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193.74</v>
      </c>
      <c r="C200" s="92"/>
      <c r="D200" s="92"/>
      <c r="E200" s="102" t="n">
        <f aca="false">H157</f>
        <v>2041.67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1227.77083098699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-2594.67</v>
      </c>
      <c r="B210" s="185" t="n">
        <f aca="false">E188+A210+(B191*1.2)+A194</f>
        <v>20155.318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1227.77083098699</v>
      </c>
      <c r="B221" s="176" t="n">
        <f aca="false">B176</f>
        <v>0</v>
      </c>
      <c r="C221" s="173"/>
      <c r="D221" s="173"/>
      <c r="E221" s="176" t="n">
        <f aca="false">E176</f>
        <v>1227.77083098699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18750</v>
      </c>
      <c r="B224" s="102" t="n">
        <f aca="false">B182</f>
        <v>3750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22500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22500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-1794.52085914315</v>
      </c>
      <c r="B233" s="102" t="str">
        <f aca="false">B191</f>
        <v>199.99</v>
      </c>
      <c r="C233" s="102"/>
      <c r="D233" s="112"/>
      <c r="E233" s="102" t="n">
        <f aca="false">E191</f>
        <v>20955.4671408569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1227.77083098699</v>
      </c>
      <c r="B239" s="102" t="n">
        <f aca="false">B176</f>
        <v>0</v>
      </c>
      <c r="C239" s="185"/>
      <c r="D239" s="185"/>
      <c r="E239" s="102" t="n">
        <f aca="false">E176</f>
        <v>1227.77083098699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24.3156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8.1052</v>
      </c>
      <c r="B245" s="102" t="n">
        <f aca="false">E242+A245</f>
        <v>32.4208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2041.67</v>
      </c>
      <c r="B249" s="102" t="n">
        <f aca="false">B197</f>
        <v>93.75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2235.41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810.149140856851</v>
      </c>
      <c r="C263" s="196"/>
      <c r="D263" s="197" t="s">
        <v>217</v>
      </c>
      <c r="E263" s="197"/>
      <c r="F263" s="199" t="n">
        <f aca="false">F270+F276+F278+B279+B280</f>
        <v>112.5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797.639140856851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13505.4791408569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112.5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797.639140856851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201" activeCellId="1" sqref="A210 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16806.5358348192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220.3124625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14844.1760889046</v>
      </c>
      <c r="C88" s="92" t="n">
        <f aca="false">B81-B86</f>
        <v>14844.1760889046</v>
      </c>
      <c r="D88" s="92"/>
      <c r="E88" s="112"/>
      <c r="F88" s="30" t="s">
        <v>113</v>
      </c>
      <c r="G88" s="32" t="n">
        <f aca="false">G81-G86</f>
        <v>14075.6270487143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540.840608474464</v>
      </c>
      <c r="C89" s="92" t="n">
        <f aca="false">(B88/B87)</f>
        <v>540.840608474464</v>
      </c>
      <c r="D89" s="92"/>
      <c r="E89" s="112"/>
      <c r="F89" s="30" t="s">
        <v>114</v>
      </c>
      <c r="G89" s="32" t="n">
        <f aca="false">(G88/G87)</f>
        <v>480.272828124815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17306.8994711829</v>
      </c>
      <c r="C90" s="92"/>
      <c r="D90" s="92"/>
      <c r="E90" s="112"/>
      <c r="F90" s="30" t="s">
        <v>115</v>
      </c>
      <c r="G90" s="32" t="n">
        <f aca="false">((G89*(G85))+G77)</f>
        <v>15368.7304999941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17306.8994711829</v>
      </c>
      <c r="C92" s="92"/>
      <c r="D92" s="92"/>
      <c r="E92" s="112"/>
      <c r="F92" s="55" t="s">
        <v>117</v>
      </c>
      <c r="G92" s="64" t="n">
        <f aca="false">(G90+G91)</f>
        <v>15368.7304999941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540.840608474464</v>
      </c>
      <c r="C95" s="92"/>
      <c r="D95" s="92"/>
      <c r="E95" s="112"/>
      <c r="F95" s="94" t="s">
        <v>119</v>
      </c>
      <c r="G95" s="95" t="n">
        <f aca="false">G92/(G85)</f>
        <v>480.272828124815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540.840608474464</v>
      </c>
      <c r="C96" s="92"/>
      <c r="D96" s="92"/>
      <c r="E96" s="112"/>
      <c r="F96" s="96" t="s">
        <v>120</v>
      </c>
      <c r="G96" s="97" t="n">
        <f aca="false">G94+G95</f>
        <v>480.272828124815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540.840608474464</v>
      </c>
      <c r="B167" s="176" t="n">
        <f aca="false">B94</f>
        <v>0</v>
      </c>
      <c r="C167" s="173"/>
      <c r="D167" s="173"/>
      <c r="E167" s="176" t="n">
        <f aca="false">B96</f>
        <v>540.840608474464</v>
      </c>
      <c r="F167" s="22"/>
      <c r="G167" s="22" t="n">
        <f aca="false">ROUND(G95,2)</f>
        <v>480.27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IF(A40=0 ,(A167*B59)+E185-E179 ,(A167*B59)+E185-E179-A185)</f>
        <v>1006.90347118286</v>
      </c>
      <c r="B182" s="102" t="str">
        <f aca="false">B114</f>
        <v>239.99</v>
      </c>
      <c r="C182" s="102"/>
      <c r="D182" s="22"/>
      <c r="E182" s="102" t="n">
        <f aca="false">E179+A182+B182+A185</f>
        <v>24756.8894711829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E170+A185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183.59371875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283.585385416667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540.840608474464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-931.356000000003</v>
      </c>
      <c r="B201" s="185" t="n">
        <f aca="false">E179+A201+B182+A185</f>
        <v>22818.63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540.840608474464</v>
      </c>
      <c r="B212" s="176" t="n">
        <f aca="false">B167</f>
        <v>0</v>
      </c>
      <c r="C212" s="173"/>
      <c r="D212" s="173"/>
      <c r="E212" s="176" t="n">
        <f aca="false">E167</f>
        <v>540.840608474464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1006.90347118286</v>
      </c>
      <c r="B224" s="102" t="str">
        <f aca="false">B182</f>
        <v>239.99</v>
      </c>
      <c r="C224" s="102"/>
      <c r="D224" s="112"/>
      <c r="E224" s="102" t="n">
        <f aca="false">E182</f>
        <v>24756.8894711829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540.840608474464</v>
      </c>
      <c r="B230" s="102" t="n">
        <f aca="false">B167</f>
        <v>0</v>
      </c>
      <c r="C230" s="185"/>
      <c r="D230" s="185"/>
      <c r="E230" s="102" t="n">
        <f aca="false">E167</f>
        <v>540.840608474464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183.59371875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2283.58538541667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1948.25947118286</v>
      </c>
      <c r="C254" s="196"/>
      <c r="D254" s="197" t="s">
        <v>217</v>
      </c>
      <c r="E254" s="197"/>
      <c r="F254" s="199" t="n">
        <f aca="false">F261+F267+F269+B270+B271</f>
        <v>220.3124625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1827.93867534953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220.3124625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1827.93867534953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201" activeCellId="1" sqref="A210 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14425.4239070671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0.1475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0.0122916666666667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6218.19813516518</v>
      </c>
      <c r="C86" s="92" t="n">
        <f aca="false">(B82/((1+B84)^(B85+1)))</f>
        <v>6218.19813516518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10.2301677524304</v>
      </c>
      <c r="C87" s="92" t="n">
        <f aca="false">((1-(1/((1+B84)^B85)))/B84)</f>
        <v>10.2301677524304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13881.8018648348</v>
      </c>
      <c r="C88" s="92" t="n">
        <f aca="false">B81-B86</f>
        <v>13881.8018648348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1356.94762791519</v>
      </c>
      <c r="C89" s="92" t="n">
        <f aca="false">(B88/B87)</f>
        <v>1356.94762791519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14926.4239070671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14926.4239070671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1356.94762791519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1356.94762791519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n">
        <v>0</v>
      </c>
      <c r="C108" s="106"/>
      <c r="D108" s="106" t="n">
        <v>0</v>
      </c>
      <c r="E108" s="107" t="n">
        <f aca="false">B83</f>
        <v>0.1475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1356.94762791519</v>
      </c>
      <c r="B167" s="176" t="str">
        <f aca="false">B94</f>
        <v>0</v>
      </c>
      <c r="C167" s="173"/>
      <c r="D167" s="173"/>
      <c r="E167" s="176" t="n">
        <f aca="false">B96</f>
        <v>1356.94762791519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IF(A40=0 ,(A167*B59)+E185-E179 ,(A167*B59)+E185-E179-A185)</f>
        <v>-1373.57209293293</v>
      </c>
      <c r="B182" s="102" t="str">
        <f aca="false">B114</f>
        <v>199.99</v>
      </c>
      <c r="C182" s="102"/>
      <c r="D182" s="22"/>
      <c r="E182" s="102" t="n">
        <f aca="false">E179+A182+(B182*1.2)+A185</f>
        <v>22376.4119070671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E170+A185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1356.94762791519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1356.94762791519</v>
      </c>
      <c r="B212" s="176" t="str">
        <f aca="false">B167</f>
        <v>0</v>
      </c>
      <c r="C212" s="173"/>
      <c r="D212" s="173"/>
      <c r="E212" s="176" t="n">
        <f aca="false">E167</f>
        <v>1356.94762791519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-1373.57209293293</v>
      </c>
      <c r="B224" s="102" t="str">
        <f aca="false">B182</f>
        <v>199.99</v>
      </c>
      <c r="C224" s="102"/>
      <c r="D224" s="112"/>
      <c r="E224" s="102" t="n">
        <f aca="false">E182</f>
        <v>22376.4119070671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1356.94762791519</v>
      </c>
      <c r="B230" s="102" t="str">
        <f aca="false">B167</f>
        <v>0</v>
      </c>
      <c r="C230" s="185"/>
      <c r="D230" s="185"/>
      <c r="E230" s="102" t="n">
        <f aca="false">E167</f>
        <v>1356.94762791519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0.1475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1146.60390706707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1129.09392706707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0.1475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1129.09392706707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201" activeCellId="1" sqref="A210 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IF(A40=0 ,(A167*B59)+E185-E179 ,(A167*B59)+E185-E179-A185)</f>
        <v>-1677.4828633622</v>
      </c>
      <c r="B182" s="102" t="str">
        <f aca="false">B114</f>
        <v>239.99</v>
      </c>
      <c r="C182" s="102"/>
      <c r="D182" s="22"/>
      <c r="E182" s="102" t="n">
        <f aca="false">E179+A182+B182+A185</f>
        <v>22072.5031366378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E170+A185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197.908316666667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E179+A201+B182+A185</f>
        <v>21239.81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239.99</v>
      </c>
      <c r="C224" s="102"/>
      <c r="D224" s="112"/>
      <c r="E224" s="102" t="n">
        <f aca="false">E182</f>
        <v>22072.5031366378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9.72624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2197.90831666667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825.184823304472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825.184823304472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A201" activeCellId="1" sqref="A210 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IF(A40=0 ,(A167*B59)+E185-E179 ,(A167*B59)+E185-E179-A185)</f>
        <v>-1677.4828633622</v>
      </c>
      <c r="B182" s="102" t="str">
        <f aca="false">B114</f>
        <v>199.99</v>
      </c>
      <c r="C182" s="102"/>
      <c r="D182" s="22"/>
      <c r="E182" s="102" t="n">
        <f aca="false">E179+A182+(B182*1.2)+A185</f>
        <v>22072.5011366378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E170+A185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199.99</v>
      </c>
      <c r="C224" s="102"/>
      <c r="D224" s="112"/>
      <c r="E224" s="102" t="n">
        <f aca="false">E182</f>
        <v>22072.5011366378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825.183156637805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825.183156637805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D149" activeCellId="1" sqref="A210 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214" t="n">
        <v>10000</v>
      </c>
      <c r="D64" s="290" t="n">
        <f aca="false">B64</f>
        <v>1476.99972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2803.66638666667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233.638865555556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10578.799664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74.6789004114563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10653.4785644115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78</v>
      </c>
      <c r="C89" s="214"/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887.789880367621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965.789880367621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887.789880367621</v>
      </c>
      <c r="B128" s="320" t="n">
        <f aca="false">IF(A105="YES",B89,0)</f>
        <v>78</v>
      </c>
      <c r="C128" s="325"/>
      <c r="D128" s="320" t="n">
        <f aca="false">B91</f>
        <v>965.789880367621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887.789880367621</v>
      </c>
      <c r="C131" s="316"/>
      <c r="D131" s="37" t="n">
        <f aca="false">IF(A105="YES",B89*B57,0)</f>
        <v>78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965.789880367621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887.789880367621</v>
      </c>
      <c r="B137" s="37" t="n">
        <f aca="false">IF(A105="YES",B89,0)</f>
        <v>78</v>
      </c>
      <c r="C137" s="316"/>
      <c r="D137" s="37" t="n">
        <f aca="false">B91</f>
        <v>965.789880367621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728.98996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965.789880367621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887.789880367621</v>
      </c>
      <c r="B171" s="354" t="n">
        <f aca="false">IF(A105="YES",B89,0)</f>
        <v>78</v>
      </c>
      <c r="C171" s="357"/>
      <c r="D171" s="354" t="n">
        <f aca="false">B91</f>
        <v>965.789880367621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887.789880367621</v>
      </c>
      <c r="C174" s="352"/>
      <c r="D174" s="102" t="n">
        <f aca="false">IF(A105="YES",B89*B57,0)</f>
        <v>78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965.789880367621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887.789880367621</v>
      </c>
      <c r="B180" s="102" t="n">
        <f aca="false">IF(A105="YES",B89,0)</f>
        <v>78</v>
      </c>
      <c r="C180" s="352"/>
      <c r="D180" s="102" t="n">
        <f aca="false">B91</f>
        <v>965.789880367621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G18*0.000002*1.2*100</f>
        <v>9.72624</v>
      </c>
      <c r="C183" s="352"/>
      <c r="D183" s="364" t="n">
        <f aca="false">A183+B183</f>
        <v>38.90496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210.99996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728.98996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1476.99972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210.99996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1785.98976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1476.99972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210.99996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1785.98976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74.6789004114563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4" activeCellId="1" sqref="A210 B18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18500</v>
      </c>
      <c r="C9" s="9" t="n">
        <f aca="false">B9*0.2</f>
        <v>3700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18500</v>
      </c>
      <c r="C15" s="9" t="n">
        <f aca="false">SUM(C9:C13)</f>
        <v>3700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22200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1554</v>
      </c>
      <c r="C64" s="214" t="n">
        <v>10000</v>
      </c>
      <c r="D64" s="290" t="n">
        <f aca="false">B64</f>
        <v>1554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222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2880.66666666667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240.055555555556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8892.66666666667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75.3311819281969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8967.99784859486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747.333154049572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812.333154049572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747.333154049572</v>
      </c>
      <c r="B128" s="320" t="n">
        <f aca="false">IF(A105="YES",B89,0)</f>
        <v>65</v>
      </c>
      <c r="C128" s="325"/>
      <c r="D128" s="320" t="n">
        <f aca="false">B91</f>
        <v>812.333154049572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747.333154049572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812.333154049572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747.333154049572</v>
      </c>
      <c r="B137" s="37" t="n">
        <f aca="false">IF(A105="YES",B89,0)</f>
        <v>65</v>
      </c>
      <c r="C137" s="316"/>
      <c r="D137" s="37" t="n">
        <f aca="false">B91</f>
        <v>812.333154049572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24.3156</v>
      </c>
      <c r="B140" s="342" t="n">
        <f aca="false">G18*0.000002*100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222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739.99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812.333154049572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747.333154049572</v>
      </c>
      <c r="B171" s="354" t="n">
        <f aca="false">IF(A105="YES",B89,0)</f>
        <v>65</v>
      </c>
      <c r="C171" s="357"/>
      <c r="D171" s="354" t="n">
        <f aca="false">B91</f>
        <v>812.333154049572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747.333154049572</v>
      </c>
      <c r="C174" s="352"/>
      <c r="D174" s="102" t="n">
        <f aca="false">IF(A105="YES",B89*B57,0)</f>
        <v>65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812.333154049572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747.333154049572</v>
      </c>
      <c r="B180" s="102" t="n">
        <f aca="false">IF(A105="YES",B89,0)</f>
        <v>65</v>
      </c>
      <c r="C180" s="352"/>
      <c r="D180" s="102" t="n">
        <f aca="false">B91</f>
        <v>812.333154049572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24.3156</v>
      </c>
      <c r="B183" s="364" t="n">
        <f aca="false">G18*0.000002*100</f>
        <v>8.1052</v>
      </c>
      <c r="C183" s="352"/>
      <c r="D183" s="364" t="n">
        <f aca="false">A183+B183</f>
        <v>32.4208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222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739.99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1554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222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1851.99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1554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222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1851.99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75.3311819281969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73" activeCellId="1" sqref="A210 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45385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334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357.527833333333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B66*B69</f>
        <v>1403.49972</v>
      </c>
      <c r="C70" s="316" t="n">
        <v>10000</v>
      </c>
      <c r="D70" s="31" t="n">
        <f aca="false">B70-A149</f>
        <v>1403.49972</v>
      </c>
      <c r="E70" s="317" t="n">
        <f aca="false">D70/12</f>
        <v>116.95831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3028.08305333333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252.340254444444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8062.100464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56.9127705203711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8119.01323452037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72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676.584436210031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748.584436210031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20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676.584436210031</v>
      </c>
      <c r="B134" s="320" t="n">
        <f aca="false">IF(A111="YES",B95,0)</f>
        <v>72</v>
      </c>
      <c r="C134" s="324"/>
      <c r="D134" s="320" t="n">
        <f aca="false">B97</f>
        <v>748.584436210031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676.584436210031</v>
      </c>
      <c r="C137" s="316"/>
      <c r="D137" s="37" t="n">
        <f aca="false">IF(A111="YES",B95*B63,0)</f>
        <v>72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748.584436210031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676.584436210031</v>
      </c>
      <c r="B143" s="37" t="n">
        <f aca="false">IF(A111="YES",B95,0)</f>
        <v>72</v>
      </c>
      <c r="C143" s="316"/>
      <c r="D143" s="37" t="n">
        <f aca="false">B97</f>
        <v>748.584436210031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37" t="n">
        <f aca="false">B108</f>
        <v>400</v>
      </c>
      <c r="C154" s="37"/>
      <c r="D154" s="37" t="n">
        <f aca="false">IF(A111="YES",(A44/100*B111)*B131,0)*0.1</f>
        <v>12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712.491626666667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748.584436210031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676.584436210031</v>
      </c>
      <c r="B177" s="354" t="n">
        <f aca="false">IF(A111="YES",B95,0)</f>
        <v>72</v>
      </c>
      <c r="C177" s="356"/>
      <c r="D177" s="354" t="n">
        <f aca="false">A177+B177</f>
        <v>748.584436210031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676.584436210031</v>
      </c>
      <c r="C180" s="352"/>
      <c r="D180" s="102" t="n">
        <f aca="false">IF(A111="YES",B95*B63,0)</f>
        <v>72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748.584436210031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676.584436210031</v>
      </c>
      <c r="B186" s="102" t="n">
        <f aca="false">IF(A111="YES",B95,0)</f>
        <v>72</v>
      </c>
      <c r="C186" s="352"/>
      <c r="D186" s="102" t="n">
        <f aca="false">B97</f>
        <v>748.584436210031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12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712.491626666667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1403.49972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459.991666666667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1662.99142666667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1403.49972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1662.99142666667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56.9127705203711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87" colorId="64" zoomScale="85" zoomScaleNormal="85" zoomScalePageLayoutView="100" workbookViewId="0">
      <selection pane="topLeft" activeCell="B189" activeCellId="1" sqref="A210 B18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45385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348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2836.82</v>
      </c>
      <c r="C70" s="316" t="n">
        <v>10000</v>
      </c>
      <c r="D70" s="31" t="n">
        <f aca="false">B70-A149</f>
        <v>2836.82</v>
      </c>
      <c r="E70" s="317" t="n">
        <f aca="false">D70/12</f>
        <v>236.401666666667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4461.40333333333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371.783611111111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8151.73733333333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69.0546526825333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8220.79198601587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685.065998834656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750.065998834655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685.065998834656</v>
      </c>
      <c r="B134" s="320" t="n">
        <f aca="false">IF(A111="YES",B95,0)</f>
        <v>65</v>
      </c>
      <c r="C134" s="325"/>
      <c r="D134" s="320" t="n">
        <f aca="false">B97</f>
        <v>750.065998834655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685.065998834656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750.065998834655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685.065998834656</v>
      </c>
      <c r="B143" s="37" t="n">
        <f aca="false">IF(A111="YES",B95,0)</f>
        <v>65</v>
      </c>
      <c r="C143" s="316"/>
      <c r="D143" s="37" t="n">
        <f aca="false">B97</f>
        <v>750.065998834655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718.48996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750.065998834655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685.065998834656</v>
      </c>
      <c r="B177" s="354" t="n">
        <f aca="false">IF(A111="YES",B95,0)</f>
        <v>65</v>
      </c>
      <c r="C177" s="357"/>
      <c r="D177" s="354" t="n">
        <f aca="false">B91</f>
        <v>8151.73733333333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685.065998834656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750.065998834655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685.065998834656</v>
      </c>
      <c r="B186" s="102" t="n">
        <f aca="false">IF(A111="YES",B95,0)</f>
        <v>65</v>
      </c>
      <c r="C186" s="352"/>
      <c r="D186" s="102" t="n">
        <f aca="false">B97</f>
        <v>750.065998834655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718.48996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2836.82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3156.31004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2836.82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3156.31004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69.0546526825333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B190" activeCellId="1" sqref="A210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E125" activeCellId="1" sqref="A210 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10936.299664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11013.5022634837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917.791855290305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995.791855290305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917.791855290305</v>
      </c>
      <c r="B134" s="320" t="n">
        <f aca="false">IF(A111="YES",B95,0)</f>
        <v>78</v>
      </c>
      <c r="C134" s="325"/>
      <c r="D134" s="320" t="n">
        <f aca="false">B97</f>
        <v>995.791855290305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917.791855290305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995.791855290305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917.791855290305</v>
      </c>
      <c r="B143" s="37" t="n">
        <f aca="false">IF(A111="YES",B95,0)</f>
        <v>78</v>
      </c>
      <c r="C143" s="316"/>
      <c r="D143" s="37" t="n">
        <f aca="false">B97</f>
        <v>995.791855290305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728.991626666667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995.791855290305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917.791855290305</v>
      </c>
      <c r="B177" s="354" t="n">
        <f aca="false">IF(A111="YES",B95,0)</f>
        <v>78</v>
      </c>
      <c r="C177" s="357"/>
      <c r="D177" s="354" t="n">
        <f aca="false">B97</f>
        <v>995.791855290305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917.791855290305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995.791855290305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917.791855290305</v>
      </c>
      <c r="B186" s="102" t="n">
        <f aca="false">IF(A111="YES",B95,0)</f>
        <v>78</v>
      </c>
      <c r="C186" s="352"/>
      <c r="D186" s="102" t="n">
        <f aca="false">B97</f>
        <v>995.791855290305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728.991626666667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B190" activeCellId="1" sqref="A210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830.898804401416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65</v>
      </c>
      <c r="C134" s="325"/>
      <c r="D134" s="320" t="n">
        <f aca="false">B97</f>
        <v>830.898804401416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765.898804401416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830.898804401416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65</v>
      </c>
      <c r="C143" s="316"/>
      <c r="D143" s="37" t="n">
        <f aca="false">B97</f>
        <v>830.898804401416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728.98996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830.898804401416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65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765.898804401416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830.898804401416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65</v>
      </c>
      <c r="C186" s="352"/>
      <c r="D186" s="102" t="n">
        <f aca="false">B97</f>
        <v>830.898804401416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728.98996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7" colorId="64" zoomScale="85" zoomScaleNormal="85" zoomScalePageLayoutView="100" workbookViewId="0">
      <selection pane="topLeft" activeCell="B147" activeCellId="1" sqref="A210 B14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1" sqref="A210 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2434.91638666667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202.909698888889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10136.299664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71.5551610004034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10207.8548250004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850.654568750034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850.654568750034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850.654568750034</v>
      </c>
      <c r="B134" s="320" t="n">
        <f aca="false">IF(A111="YES",B95,0)</f>
        <v>0</v>
      </c>
      <c r="C134" s="325"/>
      <c r="D134" s="320" t="n">
        <f aca="false">B97</f>
        <v>850.654568750034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850.654568750034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850.654568750034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850.654568750034</v>
      </c>
      <c r="B143" s="37" t="n">
        <f aca="false">IF(A111="YES",B95,0)</f>
        <v>0</v>
      </c>
      <c r="C143" s="316"/>
      <c r="D143" s="37" t="n">
        <f aca="false">B97</f>
        <v>850.654568750034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310.991626666667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850.654568750034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850.654568750034</v>
      </c>
      <c r="B177" s="354" t="n">
        <f aca="false">IF(A111="YES",B95,0)</f>
        <v>0</v>
      </c>
      <c r="C177" s="357"/>
      <c r="D177" s="354" t="n">
        <f aca="false">B91</f>
        <v>10136.299664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850.654568750034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850.654568750034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850.654568750034</v>
      </c>
      <c r="B186" s="102" t="n">
        <f aca="false">IF(A111="YES",B95,0)</f>
        <v>0</v>
      </c>
      <c r="C186" s="352"/>
      <c r="D186" s="102" t="n">
        <f aca="false">B97</f>
        <v>850.654568750034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310.991626666667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1365.99142666667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1365.99142666667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71.5551610004034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B190" activeCellId="1" sqref="A210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765.898804401416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0</v>
      </c>
      <c r="C134" s="325"/>
      <c r="D134" s="320" t="n">
        <f aca="false">B97</f>
        <v>765.898804401416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6893.08923961275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6893.08923961275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0</v>
      </c>
      <c r="C143" s="316"/>
      <c r="D143" s="37" t="n">
        <f aca="false">B97</f>
        <v>765.898804401416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765.898804401416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0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6893.08923961275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6893.08923961275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0</v>
      </c>
      <c r="C186" s="352"/>
      <c r="D186" s="102" t="n">
        <f aca="false">B97</f>
        <v>765.898804401416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A182" activeCellId="1" sqref="A210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0.0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0.0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388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20.0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389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851.0</v>
      </c>
      <c r="P32" s="211"/>
    </row>
    <row r="33" customFormat="false" ht="36.75" hidden="false" customHeight="false" outlineLevel="0" collapsed="false">
      <c r="A33" s="178" t="n">
        <f aca="false">A52</f>
        <v>20</v>
      </c>
      <c r="B33" s="231" t="n">
        <f aca="false">B51</f>
        <v>10000</v>
      </c>
      <c r="C33" s="92"/>
      <c r="D33" s="92"/>
      <c r="E33" s="231" t="n">
        <f aca="false">K48</f>
        <v>923.438149609567</v>
      </c>
      <c r="F33" s="231"/>
      <c r="G33" s="231"/>
      <c r="H33" s="46"/>
      <c r="I33" s="2"/>
      <c r="J33" s="33" t="s">
        <v>356</v>
      </c>
      <c r="K33" s="47" t="n">
        <f aca="false">E21</f>
        <v>16583.33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880.888149609567</v>
      </c>
      <c r="B36" s="231" t="n">
        <f aca="false">IF(B26="YES",K42,"0.00")</f>
        <v>42.55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20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16583.33</v>
      </c>
      <c r="L39" s="2" t="n">
        <f aca="false">(L47*K46)+K44</f>
        <v>14259.52127301</v>
      </c>
      <c r="N39" s="1" t="n">
        <f aca="false">K39-L39</f>
        <v>2323.80872699004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n">
        <f aca="false">IF(B26="YES",K42,"0.00")</f>
        <v>42.55</v>
      </c>
      <c r="C40" s="106"/>
      <c r="D40" s="106"/>
      <c r="E40" s="181" t="n">
        <f aca="false">K32</f>
        <v>851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2323.80872699004</v>
      </c>
      <c r="N40" s="1" t="n">
        <f aca="false">N38-N39</f>
        <v>587.871273009961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42.55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100.0</v>
      </c>
      <c r="B45" s="92"/>
      <c r="C45" s="61" t="n">
        <v>100.0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16583.33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18.8256931454353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880.888149609567</v>
      </c>
      <c r="L47" s="2" t="n">
        <f aca="false">L49-K42</f>
        <v>757.45</v>
      </c>
      <c r="M47" s="1" t="n">
        <f aca="false">K47-L47</f>
        <v>123.438149609567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923.438149609567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20</v>
      </c>
      <c r="B52" s="73" t="n">
        <f aca="false">K48</f>
        <v>923.438149609567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19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19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19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19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6407.40567282931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0.00666666666666667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0.0583333333333333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0.00666666666666667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0.00666666666666667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120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2364.01666666667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270.173333333333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880.888149609567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880.888149609567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923.438149609567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923.438149609567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21600</v>
      </c>
      <c r="C81" s="92"/>
      <c r="D81" s="92"/>
      <c r="E81" s="112"/>
      <c r="F81" s="24" t="s">
        <v>106</v>
      </c>
      <c r="G81" s="26" t="n">
        <f aca="false">G158</f>
        <v>21600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19</v>
      </c>
      <c r="C85" s="92"/>
      <c r="D85" s="92"/>
      <c r="E85" s="112"/>
      <c r="F85" s="30" t="s">
        <v>110</v>
      </c>
      <c r="G85" s="32" t="n">
        <f aca="false">IF(G82=0,(B59+B58),(B59))</f>
        <v>20</v>
      </c>
      <c r="H85" s="32"/>
      <c r="J85" s="30" t="s">
        <v>110</v>
      </c>
      <c r="K85" s="32" t="n">
        <f aca="false">IF(K82=0,(K59+K58),(K59))</f>
        <v>20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19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19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17.082086112366</v>
      </c>
      <c r="C87" s="92"/>
      <c r="D87" s="92"/>
      <c r="E87" s="112"/>
      <c r="F87" s="30" t="s">
        <v>112</v>
      </c>
      <c r="G87" s="32" t="n">
        <f aca="false">((1-(1/((1+G84)^G85)))/G84)</f>
        <v>18.8256931454353</v>
      </c>
      <c r="H87" s="32"/>
      <c r="J87" s="30" t="s">
        <v>112</v>
      </c>
      <c r="K87" s="32" t="n">
        <f aca="false">((1-(1/((1+K84)^K85)))/K84)</f>
        <v>16.3514333445971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16.9331388245188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16.9331388245188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21600</v>
      </c>
      <c r="C88" s="92"/>
      <c r="D88" s="92"/>
      <c r="E88" s="112"/>
      <c r="F88" s="30" t="s">
        <v>113</v>
      </c>
      <c r="G88" s="32" t="n">
        <f aca="false">G81-G86</f>
        <v>21600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1264.48256131688</v>
      </c>
      <c r="C89" s="92"/>
      <c r="D89" s="92"/>
      <c r="E89" s="112"/>
      <c r="F89" s="30" t="s">
        <v>114</v>
      </c>
      <c r="G89" s="32" t="n">
        <f aca="false">(G88/G87)</f>
        <v>1147.36811192726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24025.1686650206</v>
      </c>
      <c r="C90" s="92"/>
      <c r="D90" s="92"/>
      <c r="E90" s="112"/>
      <c r="F90" s="30" t="s">
        <v>115</v>
      </c>
      <c r="G90" s="32" t="n">
        <f aca="false">((G89*(G85))+G77)</f>
        <v>22947.3622385451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24025.1686650206</v>
      </c>
      <c r="C92" s="92"/>
      <c r="D92" s="92"/>
      <c r="E92" s="112"/>
      <c r="F92" s="55" t="s">
        <v>117</v>
      </c>
      <c r="G92" s="64" t="n">
        <f aca="false">(G90+G91)</f>
        <v>22947.3622385451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IF(B26="YES",((E40/B85)*(1+A108)*1.2*(C45/100)),"0")</f>
        <v>69.8715789473684</v>
      </c>
      <c r="C94" s="92"/>
      <c r="D94" s="92"/>
      <c r="E94" s="112"/>
      <c r="F94" s="87" t="s">
        <v>118</v>
      </c>
      <c r="G94" s="93" t="n">
        <f aca="false">IF(B26="YES",((E40/B85)*(1+A108)*(C45/100)),"0")</f>
        <v>58.2263157894737</v>
      </c>
      <c r="H94" s="32"/>
      <c r="J94" s="87" t="s">
        <v>118</v>
      </c>
      <c r="K94" s="88" t="n">
        <f aca="false">((E40/K85)*(1+J108))*1.2</f>
        <v>66.378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53.7473684210526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64.4968421052632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1264.48256131688</v>
      </c>
      <c r="C95" s="92"/>
      <c r="D95" s="92"/>
      <c r="E95" s="112"/>
      <c r="F95" s="94" t="s">
        <v>119</v>
      </c>
      <c r="G95" s="95" t="n">
        <f aca="false">G92/(G85)</f>
        <v>1147.36811192726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1334.35414026424</v>
      </c>
      <c r="C96" s="92"/>
      <c r="D96" s="92"/>
      <c r="E96" s="112"/>
      <c r="F96" s="96" t="s">
        <v>120</v>
      </c>
      <c r="G96" s="97" t="n">
        <f aca="false">G94+G95</f>
        <v>1205.59442771673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388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0.0</v>
      </c>
      <c r="C108" s="106"/>
      <c r="D108" s="106" t="n">
        <v>0.0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200.0</v>
      </c>
      <c r="C111" s="106"/>
      <c r="D111" s="106"/>
      <c r="E111" s="106" t="n">
        <v>200.0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390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16583.33</v>
      </c>
      <c r="C121" s="120" t="n">
        <v>18750.0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19899.996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19899.996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19899.996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16583.33</v>
      </c>
      <c r="C125" s="132" t="n">
        <f aca="false">C121-C124</f>
        <v>18750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16583.33</v>
      </c>
      <c r="H135" s="152" t="n">
        <f aca="false">C125+E125+G125+H128</f>
        <v>18750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3316.666</v>
      </c>
      <c r="H137" s="32" t="n">
        <f aca="false">(H135+H136)*20%</f>
        <v>3750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19899.996</v>
      </c>
      <c r="H141" s="156" t="n">
        <f aca="false">(H135+H136+H139+H140+H137)-H138</f>
        <v>22500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19899.996</v>
      </c>
      <c r="H147" s="163" t="n">
        <f aca="false">H141-((H144*1.2)+(H145*1.2)+(H146*1.2)+(H142*1.2))</f>
        <v>22500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2166.67</v>
      </c>
      <c r="I148" s="1" t="n">
        <f aca="false">(H148-G81)/1.2</f>
        <v>-16194.4416666667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1000.0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21600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1264.48256131688</v>
      </c>
      <c r="B167" s="176" t="n">
        <f aca="false">B94</f>
        <v>69.8715789473684</v>
      </c>
      <c r="C167" s="173"/>
      <c r="D167" s="173"/>
      <c r="E167" s="176" t="n">
        <f aca="false">B96</f>
        <v>1334.35414026424</v>
      </c>
      <c r="F167" s="22"/>
      <c r="G167" s="22" t="n">
        <f aca="false">ROUND(G95,2)</f>
        <v>1147.37</v>
      </c>
      <c r="H167" s="32"/>
      <c r="J167" s="175" t="e">
        <f aca="false">K95</f>
        <v>#VALUE!</v>
      </c>
      <c r="K167" s="176" t="n">
        <f aca="false">K94</f>
        <v>66.378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53.7473684210526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64.4968421052632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20</v>
      </c>
      <c r="B170" s="179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20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20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20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18750</v>
      </c>
      <c r="B173" s="102" t="n">
        <f aca="false">H137</f>
        <v>3750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22500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21600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IF(A40=0 ,(A167*B59)+E185-E179 ,(A167*B59)+E185-E179-A185)</f>
        <v>3759.52280528489</v>
      </c>
      <c r="B182" s="102" t="str">
        <f aca="false">B114</f>
        <v>239.99</v>
      </c>
      <c r="C182" s="102"/>
      <c r="D182" s="22"/>
      <c r="E182" s="102" t="n">
        <f aca="false">E179+A182+B182+A185</f>
        <v>25609.5128052849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IF(A40=0,(E167),(E170+A185))</f>
        <v>1334.35414026424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0.081052</v>
      </c>
      <c r="B188" s="102" t="n">
        <f aca="false">(G158*B67)/1.2</f>
        <v>120</v>
      </c>
      <c r="C188" s="92"/>
      <c r="D188" s="92"/>
      <c r="E188" s="102" t="n">
        <f aca="false">(E40*A108)*0.1*C45/100</f>
        <v>25.53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25.53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17.02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17.02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245.521666666667</v>
      </c>
      <c r="C191" s="92"/>
      <c r="D191" s="92"/>
      <c r="E191" s="102" t="n">
        <f aca="false">H148</f>
        <v>2166.67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20</v>
      </c>
      <c r="B197" s="73" t="n">
        <f aca="false">B96</f>
        <v>1334.35414026424</v>
      </c>
      <c r="C197" s="73"/>
      <c r="D197" s="73"/>
      <c r="E197" s="22"/>
      <c r="F197" s="22"/>
      <c r="G197" s="22"/>
      <c r="H197" s="32"/>
      <c r="J197" s="72" t="n">
        <f aca="false">K29</f>
        <v>20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20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20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1347.4</v>
      </c>
      <c r="B201" s="185" t="n">
        <f aca="false">E179+A201+B182+A185</f>
        <v>23197.39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20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1264.48256131688</v>
      </c>
      <c r="B212" s="176" t="n">
        <f aca="false">B167</f>
        <v>69.8715789473684</v>
      </c>
      <c r="C212" s="173"/>
      <c r="D212" s="173"/>
      <c r="E212" s="176" t="n">
        <f aca="false">E167</f>
        <v>1334.35414026424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18750</v>
      </c>
      <c r="B215" s="102" t="n">
        <f aca="false">B173</f>
        <v>3750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22500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21600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3759.52280528489</v>
      </c>
      <c r="B224" s="102" t="str">
        <f aca="false">B182</f>
        <v>239.99</v>
      </c>
      <c r="C224" s="102"/>
      <c r="D224" s="112"/>
      <c r="E224" s="102" t="n">
        <f aca="false">E182</f>
        <v>25609.5128052849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19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1264.48256131688</v>
      </c>
      <c r="B230" s="102" t="n">
        <f aca="false">B167</f>
        <v>69.8715789473684</v>
      </c>
      <c r="C230" s="185"/>
      <c r="D230" s="185"/>
      <c r="E230" s="102" t="n">
        <f aca="false">E167</f>
        <v>1334.35414026424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1334.35414026424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2166.67</v>
      </c>
      <c r="B240" s="102" t="n">
        <f aca="false">B68</f>
        <v>120</v>
      </c>
      <c r="C240" s="92"/>
      <c r="D240" s="92"/>
      <c r="E240" s="102" t="n">
        <f aca="false">E188</f>
        <v>25.53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2412.19166666666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2422.12280528489</v>
      </c>
      <c r="C254" s="196"/>
      <c r="D254" s="197" t="s">
        <v>217</v>
      </c>
      <c r="E254" s="197"/>
      <c r="F254" s="199" t="n">
        <f aca="false">F261+F267+F269+B270+B271</f>
        <v>144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355.291666666667</v>
      </c>
      <c r="C255" s="196"/>
      <c r="D255" s="197" t="s">
        <v>219</v>
      </c>
      <c r="E255" s="197"/>
      <c r="F255" s="199" t="n">
        <f aca="false">(B254-F254)+B255</f>
        <v>2633.41447195156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2422.12280528489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0.00666666666666667</v>
      </c>
      <c r="C261" s="31"/>
      <c r="D261" s="165" t="s">
        <v>222</v>
      </c>
      <c r="E261" s="165"/>
      <c r="F261" s="150" t="n">
        <f aca="false">B68*1.2</f>
        <v>144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255.3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2633.41447195156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A182" activeCellId="1" sqref="A210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32.7272727272727</v>
      </c>
      <c r="C94" s="92"/>
      <c r="D94" s="92"/>
      <c r="E94" s="112"/>
      <c r="F94" s="87" t="s">
        <v>118</v>
      </c>
      <c r="G94" s="93" t="n">
        <f aca="false">IF(B26="YES",((E40/B85)*(1+A108)*(C45/100)),"0")</f>
        <v>32.7272727272727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597.293561103525</v>
      </c>
      <c r="C96" s="92"/>
      <c r="D96" s="92"/>
      <c r="E96" s="112"/>
      <c r="F96" s="96" t="s">
        <v>120</v>
      </c>
      <c r="G96" s="97" t="n">
        <f aca="false">G94+G95</f>
        <v>492.507671613885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564.566288376252</v>
      </c>
      <c r="B167" s="176" t="n">
        <f aca="false">B94</f>
        <v>32.7272727272727</v>
      </c>
      <c r="C167" s="173"/>
      <c r="D167" s="173"/>
      <c r="E167" s="176" t="n">
        <f aca="false">B96</f>
        <v>597.293561103525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179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IF(A40=0 ,(A167*B59)+E185-E179 ,(A167*B59)+E185-E179-A185)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IF(A40=0,(E167),(E170+A185))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6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193.489983333333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597.293561103525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32.7272727272727</v>
      </c>
      <c r="C212" s="173"/>
      <c r="D212" s="173"/>
      <c r="E212" s="176" t="n">
        <f aca="false">E167</f>
        <v>597.293561103525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32.7272727272727</v>
      </c>
      <c r="C230" s="185"/>
      <c r="D230" s="185"/>
      <c r="E230" s="102" t="n">
        <f aca="false">E167</f>
        <v>597.293561103525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2193.48998333333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159.99</v>
      </c>
      <c r="C255" s="196"/>
      <c r="D255" s="197" t="s">
        <v>219</v>
      </c>
      <c r="E255" s="197"/>
      <c r="F255" s="199" t="n">
        <f aca="false">(B254-F254)+B255</f>
        <v>1217.63919213878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1217.63919213878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1" sqref="A210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11730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299.539129582044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299.539129582044</v>
      </c>
      <c r="B36" s="231" t="str">
        <f aca="false">IF(B26="YES",K42,"0.00")</f>
        <v>0.00</v>
      </c>
      <c r="C36" s="231"/>
      <c r="D36" s="231"/>
      <c r="E36" s="231" t="n">
        <f aca="false">K31</f>
        <v>11730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1"/>
    </row>
    <row r="40" customFormat="false" ht="19.5" hidden="false" customHeight="false" outlineLevel="0" collapsed="false">
      <c r="A40" s="106" t="n">
        <f aca="false">E36*A45/100</f>
        <v>11730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7882.31662791798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9701.01337208203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299.539129582044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299.539129582044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4452.15254185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174.999966666667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3039.45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405.26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299.539129582044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299.539129582044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299.539129582044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299.539129582044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11730</v>
      </c>
      <c r="C82" s="92"/>
      <c r="D82" s="92"/>
      <c r="E82" s="112"/>
      <c r="F82" s="30" t="s">
        <v>107</v>
      </c>
      <c r="G82" s="32" t="n">
        <f aca="false">IF(A111="YES",A40,0)</f>
        <v>11730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11730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11730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8198.38965912775</v>
      </c>
      <c r="C86" s="92"/>
      <c r="D86" s="92"/>
      <c r="E86" s="112"/>
      <c r="F86" s="30" t="s">
        <v>111</v>
      </c>
      <c r="G86" s="32" t="n">
        <f aca="false">(G82/((1+G84)^(G85+1)))</f>
        <v>9513.956169897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7934.96785267316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7934.96785267316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12801.6063408723</v>
      </c>
      <c r="C88" s="92"/>
      <c r="D88" s="92"/>
      <c r="E88" s="112"/>
      <c r="F88" s="30" t="s">
        <v>113</v>
      </c>
      <c r="G88" s="32" t="n">
        <f aca="false">G81-G86</f>
        <v>11486.039830103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435.301748765817</v>
      </c>
      <c r="C89" s="92"/>
      <c r="D89" s="92"/>
      <c r="E89" s="112"/>
      <c r="F89" s="30" t="s">
        <v>114</v>
      </c>
      <c r="G89" s="32" t="n">
        <f aca="false">(G88/G87)</f>
        <v>363.765624720186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15235.5612068036</v>
      </c>
      <c r="C90" s="92"/>
      <c r="D90" s="92"/>
      <c r="E90" s="112"/>
      <c r="F90" s="30" t="s">
        <v>115</v>
      </c>
      <c r="G90" s="32" t="n">
        <f aca="false">((G89*(G85))+G77)</f>
        <v>12731.7968652065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15235.5612068036</v>
      </c>
      <c r="C92" s="92"/>
      <c r="D92" s="92"/>
      <c r="E92" s="112"/>
      <c r="F92" s="55" t="s">
        <v>117</v>
      </c>
      <c r="G92" s="64" t="n">
        <f aca="false">(G90+G91)</f>
        <v>12731.7968652065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435.301748765817</v>
      </c>
      <c r="C95" s="92"/>
      <c r="D95" s="92"/>
      <c r="E95" s="112"/>
      <c r="F95" s="94" t="s">
        <v>119</v>
      </c>
      <c r="G95" s="95" t="n">
        <f aca="false">G92/(G85)</f>
        <v>363.765624720186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435.301748765817</v>
      </c>
      <c r="C96" s="92"/>
      <c r="D96" s="92"/>
      <c r="E96" s="112"/>
      <c r="F96" s="96" t="s">
        <v>120</v>
      </c>
      <c r="G96" s="97" t="n">
        <f aca="false">G94+G95</f>
        <v>363.765624720186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435.301748765817</v>
      </c>
      <c r="B167" s="176" t="str">
        <f aca="false">B94</f>
        <v>0</v>
      </c>
      <c r="C167" s="173"/>
      <c r="D167" s="173"/>
      <c r="E167" s="176" t="n">
        <f aca="false">B96</f>
        <v>435.301748765817</v>
      </c>
      <c r="F167" s="22"/>
      <c r="G167" s="22" t="n">
        <f aca="false">ROUND(G95,2)</f>
        <v>363.77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11730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11730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11730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11730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IF(A40=0 ,(A167*B59)+E185-E179 ,(A167*B59)+E185-E179-A185)</f>
        <v>5965.56520680359</v>
      </c>
      <c r="B182" s="102" t="str">
        <f aca="false">B114</f>
        <v>239.99</v>
      </c>
      <c r="C182" s="102"/>
      <c r="D182" s="22"/>
      <c r="E182" s="102" t="n">
        <f aca="false">E179+A182+B182+A185</f>
        <v>27215.5512068036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E170+A185</f>
        <v>11740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11750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11740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11740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(G158*B67)</f>
        <v>209.99996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309.991626666667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435.301748765817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3461.95399999999</v>
      </c>
      <c r="B201" s="185" t="n">
        <f aca="false">E179+A201+B182+A185</f>
        <v>24711.94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435.301748765817</v>
      </c>
      <c r="B212" s="176" t="str">
        <f aca="false">B167</f>
        <v>0</v>
      </c>
      <c r="C212" s="173"/>
      <c r="D212" s="173"/>
      <c r="E212" s="176" t="n">
        <f aca="false">E167</f>
        <v>435.301748765817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5965.56520680359</v>
      </c>
      <c r="B224" s="102" t="str">
        <f aca="false">B182</f>
        <v>239.99</v>
      </c>
      <c r="C224" s="102"/>
      <c r="D224" s="112"/>
      <c r="E224" s="102" t="n">
        <f aca="false">E182</f>
        <v>27215.5512068036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435.301748765817</v>
      </c>
      <c r="B230" s="102" t="str">
        <f aca="false">B167</f>
        <v>0</v>
      </c>
      <c r="C230" s="185"/>
      <c r="D230" s="185"/>
      <c r="E230" s="102" t="n">
        <f aca="false">E167</f>
        <v>435.301748765817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11730</v>
      </c>
      <c r="B233" s="102" t="n">
        <f aca="false">E185</f>
        <v>11740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174.999966666667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2274.99163333333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2513.61120680359</v>
      </c>
      <c r="C254" s="196"/>
      <c r="D254" s="197" t="s">
        <v>217</v>
      </c>
      <c r="E254" s="197"/>
      <c r="F254" s="199" t="n">
        <f aca="false">F261+F267+F269+B270+B271</f>
        <v>209.99996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2403.60291347026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2513.61120680359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209.99996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2403.60291347026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A201" activeCellId="1" sqref="A210 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35.4545454545455</v>
      </c>
      <c r="C94" s="92"/>
      <c r="D94" s="92"/>
      <c r="E94" s="112"/>
      <c r="F94" s="87" t="s">
        <v>118</v>
      </c>
      <c r="G94" s="93" t="n">
        <f aca="false">IF(B26="YES",((E40/B85)*(1+A108)*(C45/100)),"0")</f>
        <v>35.4545454545455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600.020833830798</v>
      </c>
      <c r="C96" s="92"/>
      <c r="D96" s="92"/>
      <c r="E96" s="112"/>
      <c r="F96" s="96" t="s">
        <v>120</v>
      </c>
      <c r="G96" s="97" t="n">
        <f aca="false">G94+G95</f>
        <v>495.234944341158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564.566288376252</v>
      </c>
      <c r="B167" s="176" t="n">
        <f aca="false">B94</f>
        <v>35.4545454545455</v>
      </c>
      <c r="C167" s="173"/>
      <c r="D167" s="173"/>
      <c r="E167" s="176" t="n">
        <f aca="false">B96</f>
        <v>600.020833830798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228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IF(A40=0 ,(A167*B59)+E185-E179 ,(A167*B59)+E185-E179-A185)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E170+A185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9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196.489983333333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600.020833830798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35.4545454545455</v>
      </c>
      <c r="C212" s="173"/>
      <c r="D212" s="173"/>
      <c r="E212" s="176" t="n">
        <f aca="false">E167</f>
        <v>600.020833830798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35.4545454545455</v>
      </c>
      <c r="C230" s="185"/>
      <c r="D230" s="185"/>
      <c r="E230" s="102" t="n">
        <f aca="false">E167</f>
        <v>600.020833830798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2196.48998333333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189.99</v>
      </c>
      <c r="C255" s="196"/>
      <c r="D255" s="197" t="s">
        <v>219</v>
      </c>
      <c r="E255" s="197"/>
      <c r="F255" s="199" t="n">
        <f aca="false">(B254-F254)+B255</f>
        <v>1247.63919213878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1247.63919213878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202" colorId="64" zoomScale="85" zoomScaleNormal="85" zoomScalePageLayoutView="100" workbookViewId="0">
      <selection pane="topLeft" activeCell="B189" activeCellId="1" sqref="A210 B18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552.861519485774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552.861519485774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-26942.5795313712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17583.33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552.861519485774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552.861519485774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552.861519485774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0.103541666666667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413.208255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22.1428571428571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11441.6666666667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326.904761904762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552.861519485774</v>
      </c>
      <c r="C83" s="469"/>
      <c r="D83" s="214"/>
      <c r="E83" s="462" t="n">
        <f aca="false">B83+E80+E77+E64</f>
        <v>873.41707504133</v>
      </c>
      <c r="F83" s="62"/>
      <c r="G83" s="304" t="s">
        <v>105</v>
      </c>
      <c r="H83" s="305" t="n">
        <f aca="false">H47</f>
        <v>552.861519485774</v>
      </c>
      <c r="I83" s="214"/>
      <c r="J83" s="214"/>
      <c r="K83" s="215"/>
      <c r="L83" s="62"/>
      <c r="M83" s="304" t="s">
        <v>105</v>
      </c>
      <c r="N83" s="305" t="n">
        <f aca="false">H47</f>
        <v>552.861519485774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30791.8198486688</v>
      </c>
      <c r="C85" s="469"/>
      <c r="D85" s="469"/>
      <c r="E85" s="462" t="n">
        <f aca="false">B85/(B58+B57)</f>
        <v>879.766281390536</v>
      </c>
      <c r="F85" s="62"/>
      <c r="G85" s="287" t="s">
        <v>115</v>
      </c>
      <c r="H85" s="130" t="n">
        <f aca="false">((H83*H29)+H81)*1.2</f>
        <v>24477.1838184025</v>
      </c>
      <c r="I85" s="214"/>
      <c r="J85" s="214"/>
      <c r="K85" s="215"/>
      <c r="L85" s="62"/>
      <c r="M85" s="287" t="s">
        <v>115</v>
      </c>
      <c r="N85" s="130" t="n">
        <f aca="false">((N83*H29)+N81)</f>
        <v>20067.6531820021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260.842362574443</v>
      </c>
      <c r="C86" s="469" t="s">
        <v>231</v>
      </c>
      <c r="D86" s="214"/>
      <c r="E86" s="462" t="n">
        <f aca="false">B86/(B58+B57)</f>
        <v>7.45263893069837</v>
      </c>
      <c r="F86" s="62"/>
      <c r="G86" s="213" t="s">
        <v>116</v>
      </c>
      <c r="H86" s="299" t="n">
        <f aca="false">((((H83*H29)+H81))/(1-H70))*H70</f>
        <v>172.791737322325</v>
      </c>
      <c r="I86" s="214"/>
      <c r="J86" s="214"/>
      <c r="K86" s="215"/>
      <c r="L86" s="62"/>
      <c r="M86" s="213" t="s">
        <v>116</v>
      </c>
      <c r="N86" s="299" t="n">
        <f aca="false">(N85/(1-N70))*N70</f>
        <v>169.996255273112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31052.6622112432</v>
      </c>
      <c r="C87" s="469"/>
      <c r="D87" s="471"/>
      <c r="E87" s="462" t="n">
        <f aca="false">E86+E85</f>
        <v>887.218920321235</v>
      </c>
      <c r="F87" s="62"/>
      <c r="G87" s="284" t="s">
        <v>117</v>
      </c>
      <c r="H87" s="132" t="n">
        <f aca="false">IF(H110="YES",((H85+H86)-K114),(H85+H86))</f>
        <v>24649.9755557248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20237.6494372752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887.218920321235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616.249388893121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505.94123593188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887.218920321235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616.249388893121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505.94123593188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616.249388893121</v>
      </c>
      <c r="H127" s="176" t="n">
        <f aca="false">IF(G105="YES",H89*H57,0)</f>
        <v>0</v>
      </c>
      <c r="I127" s="176"/>
      <c r="J127" s="333" t="n">
        <f aca="false">H91</f>
        <v>616.249388893121</v>
      </c>
      <c r="K127" s="215"/>
      <c r="L127" s="62"/>
      <c r="M127" s="332" t="n">
        <f aca="false">N90</f>
        <v>505.94123593188</v>
      </c>
      <c r="N127" s="176" t="n">
        <f aca="false">IF(M105="YES",N89*N57,0)</f>
        <v>0</v>
      </c>
      <c r="O127" s="176"/>
      <c r="P127" s="176" t="n">
        <f aca="false">N91</f>
        <v>505.94123593188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887.218920321235</v>
      </c>
      <c r="B128" s="320" t="n">
        <f aca="false">IF(A105="YES",B89,0)</f>
        <v>0</v>
      </c>
      <c r="C128" s="324"/>
      <c r="D128" s="320" t="n">
        <f aca="false">B91</f>
        <v>887.218920321235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887.218920321235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3697.49633335873</v>
      </c>
      <c r="H133" s="102" t="n">
        <f aca="false">IF(G105="YES",H89*H57,0)</f>
        <v>0</v>
      </c>
      <c r="I133" s="220"/>
      <c r="J133" s="183" t="n">
        <f aca="false">H91*H57</f>
        <v>3697.49633335873</v>
      </c>
      <c r="K133" s="215"/>
      <c r="L133" s="62"/>
      <c r="M133" s="184" t="n">
        <f aca="false">N90*N57</f>
        <v>3035.64741559128</v>
      </c>
      <c r="N133" s="102" t="n">
        <f aca="false">IF(M105="YES",N89*N57,0)</f>
        <v>0</v>
      </c>
      <c r="O133" s="220"/>
      <c r="P133" s="183" t="n">
        <f aca="false">N91*N57</f>
        <v>3035.64741559128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887.218920321235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887.218920321235</v>
      </c>
      <c r="B137" s="37" t="n">
        <f aca="false">IF(A105="YES",B89,0)</f>
        <v>0</v>
      </c>
      <c r="C137" s="316"/>
      <c r="D137" s="37" t="n">
        <f aca="false">B91</f>
        <v>887.218920321235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413.208255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913.198255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616.249388893121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505.94123593188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887.218920321235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887.218920321235</v>
      </c>
      <c r="B177" s="354" t="n">
        <f aca="false">IF(A105="YES",B89,0)</f>
        <v>0</v>
      </c>
      <c r="C177" s="356"/>
      <c r="D177" s="354" t="n">
        <f aca="false">B91</f>
        <v>887.218920321235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887.218920321235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887.218920321235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887.218920321235</v>
      </c>
      <c r="B186" s="102" t="n">
        <f aca="false">IF(A105="YES",B89,0)</f>
        <v>0</v>
      </c>
      <c r="C186" s="352"/>
      <c r="D186" s="102" t="n">
        <f aca="false">B91</f>
        <v>887.218920321235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413.208255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913.198255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413.208255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9926.781745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413.208255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9926.781745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260.842362574443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31" activeCellId="1" sqref="A210 H3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12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15450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1040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12</v>
      </c>
      <c r="B33" s="228" t="n">
        <v>10000</v>
      </c>
      <c r="C33" s="229"/>
      <c r="D33" s="455" t="n">
        <f aca="false">H48</f>
        <v>1232.66338128253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12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1206.66338128253</v>
      </c>
      <c r="B36" s="102" t="n">
        <f aca="false">IF(B26="YES",H42,"")</f>
        <v>26</v>
      </c>
      <c r="C36" s="220"/>
      <c r="D36" s="183" t="n">
        <f aca="false">H31</f>
        <v>15450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19522.4211536279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4635</v>
      </c>
      <c r="B40" s="106" t="n">
        <f aca="false">IF(B26="YES",H42,"0")</f>
        <v>26</v>
      </c>
      <c r="C40" s="106"/>
      <c r="D40" s="183" t="n">
        <f aca="false">I32</f>
        <v>1040</v>
      </c>
      <c r="E40" s="215"/>
      <c r="F40" s="62"/>
      <c r="G40" s="62" t="s">
        <v>107</v>
      </c>
      <c r="H40" s="237" t="n">
        <f aca="false">A40/1.2</f>
        <v>3862.5</v>
      </c>
      <c r="I40" s="237" t="n">
        <f aca="false">H39-I39</f>
        <v>-1939.09115362792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26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3600.55500439506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13982.7749956049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11.5879666297182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1206.66338128253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1232.66338128253</v>
      </c>
      <c r="I48" s="237" t="n">
        <f aca="false">I49-H42</f>
        <v>1374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H48</f>
        <v>1232.66338128253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11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11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461" t="n">
        <v>10000</v>
      </c>
      <c r="D64" s="290" t="n">
        <f aca="false">B64</f>
        <v>1476.99972</v>
      </c>
      <c r="E64" s="462" t="n">
        <f aca="false">D64/(B58+B57)</f>
        <v>123.08331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468" t="n">
        <f aca="false">B73+B71</f>
        <v>260</v>
      </c>
      <c r="E73" s="215" t="s">
        <v>228</v>
      </c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284" t="s">
        <v>100</v>
      </c>
      <c r="N73" s="132" t="n">
        <f aca="false">N72*H29</f>
        <v>54</v>
      </c>
      <c r="O73" s="214"/>
      <c r="P73" s="290" t="n">
        <f aca="false">N73+N71</f>
        <v>214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297.916666666667</v>
      </c>
      <c r="C76" s="214"/>
      <c r="D76" s="290" t="n">
        <f aca="false">B76</f>
        <v>297.916666666667</v>
      </c>
      <c r="E76" s="215"/>
      <c r="F76" s="62"/>
      <c r="G76" s="284" t="s">
        <v>282</v>
      </c>
      <c r="H76" s="132" t="n">
        <f aca="false">((H74+H75)/12)*(H29-11)</f>
        <v>13.75</v>
      </c>
      <c r="I76" s="214"/>
      <c r="J76" s="290" t="n">
        <f aca="false">H76</f>
        <v>13.75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79.8263888888889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2434.91638666667</v>
      </c>
      <c r="C81" s="469"/>
      <c r="D81" s="470"/>
      <c r="E81" s="462"/>
      <c r="F81" s="62"/>
      <c r="G81" s="302" t="s">
        <v>103</v>
      </c>
      <c r="H81" s="303" t="n">
        <f aca="false">SUM(J64:J80)</f>
        <v>627.75</v>
      </c>
      <c r="I81" s="214"/>
      <c r="J81" s="214"/>
      <c r="K81" s="215"/>
      <c r="L81" s="62"/>
      <c r="M81" s="302" t="s">
        <v>103</v>
      </c>
      <c r="N81" s="303" t="n">
        <f aca="false">SUM(P64:P80)</f>
        <v>614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202.909698888889</v>
      </c>
      <c r="C82" s="469"/>
      <c r="D82" s="214"/>
      <c r="E82" s="462"/>
      <c r="F82" s="62"/>
      <c r="G82" s="213" t="s">
        <v>104</v>
      </c>
      <c r="H82" s="299" t="n">
        <f aca="false">H81/H29</f>
        <v>52.3125</v>
      </c>
      <c r="I82" s="214"/>
      <c r="J82" s="214"/>
      <c r="K82" s="215"/>
      <c r="L82" s="62"/>
      <c r="M82" s="213" t="s">
        <v>104</v>
      </c>
      <c r="N82" s="299" t="n">
        <f aca="false">N81/H29</f>
        <v>51.1666666666667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1206.66338128253</v>
      </c>
      <c r="C83" s="469"/>
      <c r="D83" s="214"/>
      <c r="E83" s="462" t="n">
        <f aca="false">B83+E80+E77+E64</f>
        <v>1409.57308017142</v>
      </c>
      <c r="F83" s="62"/>
      <c r="G83" s="304" t="s">
        <v>105</v>
      </c>
      <c r="H83" s="305" t="n">
        <f aca="false">H47</f>
        <v>1206.66338128253</v>
      </c>
      <c r="I83" s="214"/>
      <c r="J83" s="214"/>
      <c r="K83" s="215"/>
      <c r="L83" s="62"/>
      <c r="M83" s="304" t="s">
        <v>105</v>
      </c>
      <c r="N83" s="305" t="n">
        <f aca="false">H47</f>
        <v>1206.66338128253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20297.8523544684</v>
      </c>
      <c r="C85" s="469"/>
      <c r="D85" s="469"/>
      <c r="E85" s="462" t="n">
        <f aca="false">B85/(B58+B57)</f>
        <v>1691.4876962057</v>
      </c>
      <c r="F85" s="62"/>
      <c r="G85" s="287" t="s">
        <v>115</v>
      </c>
      <c r="H85" s="130" t="n">
        <f aca="false">((H83*H29)+H81)*1.2</f>
        <v>18129.2526904684</v>
      </c>
      <c r="I85" s="214"/>
      <c r="J85" s="214"/>
      <c r="K85" s="215"/>
      <c r="L85" s="62"/>
      <c r="M85" s="287" t="s">
        <v>115</v>
      </c>
      <c r="N85" s="130" t="n">
        <f aca="false">((N83*H29)+N81)</f>
        <v>15093.9605753904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143.288590642678</v>
      </c>
      <c r="C86" s="469" t="s">
        <v>231</v>
      </c>
      <c r="D86" s="214"/>
      <c r="E86" s="462" t="n">
        <f aca="false">B86/(B58+B57)</f>
        <v>11.9407158868898</v>
      </c>
      <c r="F86" s="62"/>
      <c r="G86" s="213" t="s">
        <v>116</v>
      </c>
      <c r="H86" s="299" t="n">
        <f aca="false">((((H83*H29)+H81))/(1-H70))*H70</f>
        <v>127.979799146106</v>
      </c>
      <c r="I86" s="214"/>
      <c r="J86" s="214"/>
      <c r="K86" s="215"/>
      <c r="L86" s="62"/>
      <c r="M86" s="213" t="s">
        <v>116</v>
      </c>
      <c r="N86" s="299" t="n">
        <f aca="false">(N85/(1-N70))*N70</f>
        <v>127.863320727389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20441.1409451111</v>
      </c>
      <c r="C87" s="469"/>
      <c r="D87" s="471"/>
      <c r="E87" s="462" t="n">
        <f aca="false">E86+E85</f>
        <v>1703.42841209259</v>
      </c>
      <c r="F87" s="62"/>
      <c r="G87" s="284" t="s">
        <v>117</v>
      </c>
      <c r="H87" s="132" t="n">
        <f aca="false">IF(H110="YES",((H85+H86)-K114),(H85+H86))</f>
        <v>18257.2324896146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15221.8238961178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37.44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88.0941176470588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73.4117647058824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1703.42841209259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1073.95485233027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895.401405653986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1740.86841209259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1162.04896997733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968.813170359868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(E118)+E117-E114</f>
        <v>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1073.95485233027</v>
      </c>
      <c r="H127" s="176" t="n">
        <f aca="false">IF(G105="YES",H89*H57,0)</f>
        <v>528.564705882353</v>
      </c>
      <c r="I127" s="176"/>
      <c r="J127" s="333" t="n">
        <f aca="false">H91</f>
        <v>1162.04896997733</v>
      </c>
      <c r="K127" s="215"/>
      <c r="L127" s="62"/>
      <c r="M127" s="332" t="n">
        <f aca="false">N90</f>
        <v>895.401405653986</v>
      </c>
      <c r="N127" s="176" t="n">
        <f aca="false">IF(M105="YES",N89*N57,0)</f>
        <v>440.470588235294</v>
      </c>
      <c r="O127" s="176"/>
      <c r="P127" s="176" t="n">
        <f aca="false">N91</f>
        <v>968.813170359868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1703.42841209259</v>
      </c>
      <c r="B128" s="320" t="n">
        <f aca="false">IF(A105="YES",B89,0)</f>
        <v>37.44</v>
      </c>
      <c r="C128" s="324"/>
      <c r="D128" s="320" t="n">
        <f aca="false">B91</f>
        <v>1740.86841209259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12</v>
      </c>
      <c r="H130" s="228" t="n">
        <f aca="false">B151</f>
        <v>0</v>
      </c>
      <c r="I130" s="229"/>
      <c r="J130" s="228" t="n">
        <f aca="false">B58</f>
        <v>11</v>
      </c>
      <c r="K130" s="215"/>
      <c r="L130" s="62"/>
      <c r="M130" s="227" t="n">
        <f aca="false">M155</f>
        <v>12</v>
      </c>
      <c r="N130" s="228" t="n">
        <f aca="false">B151</f>
        <v>0</v>
      </c>
      <c r="O130" s="229"/>
      <c r="P130" s="228" t="n">
        <f aca="false">B58</f>
        <v>11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1703.42841209259</v>
      </c>
      <c r="C131" s="316"/>
      <c r="D131" s="37" t="n">
        <f aca="false">IF(A105="YES",B89*B57,0)</f>
        <v>37.44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6443.72911398161</v>
      </c>
      <c r="H133" s="102" t="n">
        <f aca="false">IF(G105="YES",H89*H57,0)</f>
        <v>528.564705882353</v>
      </c>
      <c r="I133" s="220"/>
      <c r="J133" s="183" t="n">
        <f aca="false">H91*H57</f>
        <v>6972.29381986396</v>
      </c>
      <c r="K133" s="215"/>
      <c r="L133" s="62"/>
      <c r="M133" s="184" t="n">
        <f aca="false">N90*N57</f>
        <v>5372.40843392392</v>
      </c>
      <c r="N133" s="102" t="n">
        <f aca="false">IF(M105="YES",N89*N57,0)</f>
        <v>440.470588235294</v>
      </c>
      <c r="O133" s="220"/>
      <c r="P133" s="183" t="n">
        <f aca="false">N91*N57</f>
        <v>5812.87902215921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1740.86841209259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1703.42841209259</v>
      </c>
      <c r="B137" s="37" t="n">
        <f aca="false">IF(A105="YES",B89,0)</f>
        <v>37.44</v>
      </c>
      <c r="C137" s="316"/>
      <c r="D137" s="37" t="n">
        <f aca="false">B91</f>
        <v>1740.86841209259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IF(A105="YES",B61*0.000002,0)*1.2*100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6.24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6.24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102" t="n">
        <f aca="false">B102</f>
        <v>0</v>
      </c>
      <c r="C148" s="37"/>
      <c r="D148" s="37" t="n">
        <f aca="false">IF(A105="YES",(B40*B105)*B125,0)*0.1</f>
        <v>6.24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317.231626666667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1162.04896997733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12</v>
      </c>
      <c r="N155" s="73" t="n">
        <f aca="false">N91</f>
        <v>968.813170359868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1740.86841209259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1703.42841209259</v>
      </c>
      <c r="B177" s="354" t="n">
        <f aca="false">IF(A105="YES",B89,0)</f>
        <v>37.44</v>
      </c>
      <c r="C177" s="356"/>
      <c r="D177" s="354" t="n">
        <f aca="false">B91</f>
        <v>1740.86841209259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1703.42841209259</v>
      </c>
      <c r="C180" s="352"/>
      <c r="D180" s="102" t="n">
        <f aca="false">IF(A105="YES",B89*B57,0)</f>
        <v>37.44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1740.86841209259</v>
      </c>
      <c r="B183" s="102" t="n">
        <f aca="false">E114</f>
        <v>0</v>
      </c>
      <c r="C183" s="352"/>
      <c r="D183" s="360" t="n">
        <f aca="false">B58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1703.42841209259</v>
      </c>
      <c r="B186" s="102" t="n">
        <f aca="false">IF(A105="YES",B89,0)</f>
        <v>37.44</v>
      </c>
      <c r="C186" s="352"/>
      <c r="D186" s="102" t="n">
        <f aca="false">B91</f>
        <v>1740.86841209259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210.99996</v>
      </c>
      <c r="B197" s="102" t="n">
        <f aca="false">B102</f>
        <v>0</v>
      </c>
      <c r="C197" s="102"/>
      <c r="D197" s="102" t="n">
        <f aca="false">IF(A105="YES",(B40*B105)*B125,0)*0.1</f>
        <v>6.24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317.231626666667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162.391666666667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1428.39142666667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1476.99972</v>
      </c>
      <c r="C217" s="373" t="s">
        <v>222</v>
      </c>
      <c r="D217" s="316"/>
      <c r="E217" s="374" t="n">
        <f aca="false">B66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1428.39142666667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62.4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143.288590642678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B189" activeCellId="1" sqref="A210 B18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35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35000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80000</v>
      </c>
      <c r="I31" s="62"/>
      <c r="J31" s="62"/>
      <c r="K31" s="62" t="n">
        <v>80000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64.0746437041516</v>
      </c>
      <c r="E33" s="215"/>
      <c r="F33" s="62"/>
      <c r="G33" s="218" t="s">
        <v>356</v>
      </c>
      <c r="H33" s="456" t="n">
        <f aca="false">E21-E11</f>
        <v>16583.33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14.0746437041516</v>
      </c>
      <c r="B36" s="102" t="n">
        <f aca="false">IF(B26="YES",H42,"")</f>
        <v>50</v>
      </c>
      <c r="C36" s="220"/>
      <c r="D36" s="183" t="n">
        <f aca="false">H31</f>
        <v>80000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16583.33</v>
      </c>
      <c r="I39" s="237" t="n">
        <f aca="false">(I48*H46)+H44</f>
        <v>59849.2290617109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24000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20000</v>
      </c>
      <c r="I40" s="237" t="n">
        <f aca="false">H39-I39</f>
        <v>-43265.8990617109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16127.5020520061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455.82794799391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14.0746437041516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64.0746437041516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64.0746437041516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19899.996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397.99992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847.916666666667</v>
      </c>
      <c r="C76" s="214"/>
      <c r="D76" s="290" t="n">
        <f aca="false">B76</f>
        <v>847.916666666667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45.2199074074074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12294.5833333333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341.516203703704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14.0746437041516</v>
      </c>
      <c r="C83" s="469"/>
      <c r="D83" s="214"/>
      <c r="E83" s="462" t="n">
        <f aca="false">B83+E80+E77+E64</f>
        <v>349.418007901682</v>
      </c>
      <c r="F83" s="62"/>
      <c r="G83" s="304" t="s">
        <v>105</v>
      </c>
      <c r="H83" s="305" t="n">
        <f aca="false">H47</f>
        <v>14.0746437041516</v>
      </c>
      <c r="I83" s="214"/>
      <c r="J83" s="214"/>
      <c r="K83" s="215"/>
      <c r="L83" s="62"/>
      <c r="M83" s="304" t="s">
        <v>105</v>
      </c>
      <c r="N83" s="305" t="n">
        <f aca="false">H47</f>
        <v>14.0746437041516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12801.2705066828</v>
      </c>
      <c r="C85" s="469"/>
      <c r="D85" s="469"/>
      <c r="E85" s="462" t="n">
        <f aca="false">B85/(B58+B57)</f>
        <v>355.590847407855</v>
      </c>
      <c r="F85" s="62"/>
      <c r="G85" s="287" t="s">
        <v>115</v>
      </c>
      <c r="H85" s="130" t="n">
        <f aca="false">((H83*H29)+H81)*1.2</f>
        <v>1886.92460801935</v>
      </c>
      <c r="I85" s="214"/>
      <c r="J85" s="214"/>
      <c r="K85" s="215"/>
      <c r="L85" s="62"/>
      <c r="M85" s="287" t="s">
        <v>115</v>
      </c>
      <c r="N85" s="130" t="n">
        <f aca="false">((N83*H29)+N81)</f>
        <v>1228.68717334946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108.441581541081</v>
      </c>
      <c r="C86" s="469" t="s">
        <v>231</v>
      </c>
      <c r="D86" s="214"/>
      <c r="E86" s="462" t="n">
        <f aca="false">B86/(B58+B57)</f>
        <v>3.0122661539189</v>
      </c>
      <c r="F86" s="62"/>
      <c r="G86" s="213" t="s">
        <v>116</v>
      </c>
      <c r="H86" s="299" t="n">
        <f aca="false">((((H83*H29)+H81))/(1-H70))*H70</f>
        <v>13.320363307922</v>
      </c>
      <c r="I86" s="214"/>
      <c r="J86" s="214"/>
      <c r="K86" s="215"/>
      <c r="L86" s="62"/>
      <c r="M86" s="213" t="s">
        <v>116</v>
      </c>
      <c r="N86" s="299" t="n">
        <f aca="false">(N85/(1-N70))*N70</f>
        <v>10.4084028399914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12909.7120882239</v>
      </c>
      <c r="C87" s="469"/>
      <c r="D87" s="471"/>
      <c r="E87" s="462" t="n">
        <f aca="false">E86+E85</f>
        <v>358.603113561774</v>
      </c>
      <c r="F87" s="62"/>
      <c r="G87" s="284" t="s">
        <v>117</v>
      </c>
      <c r="H87" s="132" t="n">
        <f aca="false">IF(H110="YES",((H85+H86)-K114),(H85+H86))</f>
        <v>1900.24497132727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1239.09557618945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358.603113561774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46.3474383250554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30.2218433216939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423.603113561774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257.079145642129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205.831599419255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46.3474383250554</v>
      </c>
      <c r="H127" s="176" t="n">
        <f aca="false">IF(G105="YES",H89*H57,0)</f>
        <v>1264.39024390244</v>
      </c>
      <c r="I127" s="176"/>
      <c r="J127" s="333" t="n">
        <f aca="false">H91</f>
        <v>257.079145642129</v>
      </c>
      <c r="K127" s="215"/>
      <c r="L127" s="62"/>
      <c r="M127" s="332" t="n">
        <f aca="false">N90</f>
        <v>30.2218433216939</v>
      </c>
      <c r="N127" s="176" t="n">
        <f aca="false">IF(M105="YES",N89*N57,0)</f>
        <v>1053.65853658537</v>
      </c>
      <c r="O127" s="176"/>
      <c r="P127" s="176" t="n">
        <f aca="false">N91</f>
        <v>205.831599419255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358.603113561774</v>
      </c>
      <c r="B128" s="320" t="n">
        <f aca="false">IF(A105="YES",B89,0)</f>
        <v>65</v>
      </c>
      <c r="C128" s="324"/>
      <c r="D128" s="320" t="n">
        <f aca="false">B91</f>
        <v>423.603113561774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358.603113561774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278.084629950333</v>
      </c>
      <c r="H133" s="102" t="n">
        <f aca="false">IF(G105="YES",H89*H57,0)</f>
        <v>1264.39024390244</v>
      </c>
      <c r="I133" s="220"/>
      <c r="J133" s="183" t="n">
        <f aca="false">H91*H57</f>
        <v>1542.47487385277</v>
      </c>
      <c r="K133" s="215"/>
      <c r="L133" s="62"/>
      <c r="M133" s="184" t="n">
        <f aca="false">N90*N57</f>
        <v>181.331059930164</v>
      </c>
      <c r="N133" s="102" t="n">
        <f aca="false">IF(M105="YES",N89*N57,0)</f>
        <v>1053.65853658537</v>
      </c>
      <c r="O133" s="220"/>
      <c r="P133" s="183" t="n">
        <f aca="false">N91*N57</f>
        <v>1234.98959651553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423.603113561774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358.603113561774</v>
      </c>
      <c r="B137" s="37" t="n">
        <f aca="false">IF(A105="YES",B89,0)</f>
        <v>65</v>
      </c>
      <c r="C137" s="316"/>
      <c r="D137" s="37" t="n">
        <f aca="false">B91</f>
        <v>423.603113561774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397.99992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951.98992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257.079145642129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205.831599419255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423.603113561774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358.603113561774</v>
      </c>
      <c r="B177" s="354" t="n">
        <f aca="false">IF(A105="YES",B89,0)</f>
        <v>65</v>
      </c>
      <c r="C177" s="356"/>
      <c r="D177" s="354" t="n">
        <f aca="false">B91</f>
        <v>423.603113561774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358.603113561774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423.603113561774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358.603113561774</v>
      </c>
      <c r="B186" s="102" t="n">
        <f aca="false">IF(A105="YES",B89,0)</f>
        <v>65</v>
      </c>
      <c r="C186" s="352"/>
      <c r="D186" s="102" t="n">
        <f aca="false">B91</f>
        <v>423.603113561774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397.99992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951.98992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397.99992</v>
      </c>
      <c r="C211" s="319" t="s">
        <v>218</v>
      </c>
      <c r="D211" s="369" t="n">
        <f aca="false">B225+E221+B221+B223</f>
        <v>879.99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10481.99008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397.99992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10481.99008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108.441581541081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8" colorId="64" zoomScale="85" zoomScaleNormal="85" zoomScalePageLayoutView="100" workbookViewId="0">
      <selection pane="topLeft" activeCell="A210" activeCellId="0" sqref="A210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333.333333333333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336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336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336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336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336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1565.20030261575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85.0909090909091</v>
      </c>
      <c r="C176" s="173"/>
      <c r="D176" s="173"/>
      <c r="E176" s="176" t="n">
        <f aca="false">B105</f>
        <v>1565.20030261575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IF(A49=0 ,(A176*B68)+E194-E188 ,(A176*B68)+E194-E188-A194)</f>
        <v>-1468.80067122677</v>
      </c>
      <c r="B191" s="102" t="str">
        <f aca="false">B123</f>
        <v>239.99</v>
      </c>
      <c r="C191" s="102"/>
      <c r="D191" s="22"/>
      <c r="E191" s="102" t="n">
        <f aca="false">E188+A191+B191+A194</f>
        <v>22531.1933287732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8.7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E179+A194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8.97696</v>
      </c>
      <c r="B197" s="102" t="n">
        <f aca="false">(G167*B76)/1.2</f>
        <v>98.95835</v>
      </c>
      <c r="C197" s="92"/>
      <c r="D197" s="92"/>
      <c r="E197" s="102" t="n">
        <f aca="false">K55*A117*0.1</f>
        <v>18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216.950016666667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1565.20030261575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E188+A210+B191+A194</f>
        <v>21717.75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85.0909090909091</v>
      </c>
      <c r="C221" s="173"/>
      <c r="D221" s="173"/>
      <c r="E221" s="176" t="n">
        <f aca="false">E176</f>
        <v>1565.20030261575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239.99</v>
      </c>
      <c r="C233" s="102"/>
      <c r="D233" s="112"/>
      <c r="E233" s="102" t="n">
        <f aca="false">E191</f>
        <v>22531.1933287732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85.0909090909091</v>
      </c>
      <c r="C239" s="185"/>
      <c r="D239" s="185"/>
      <c r="E239" s="102" t="n">
        <f aca="false">E176</f>
        <v>1565.20030261575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26.93088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8.97696</v>
      </c>
      <c r="B245" s="102" t="n">
        <f aca="false">E242+A245</f>
        <v>35.90784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18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2008.62001666666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279.991666666667</v>
      </c>
      <c r="C264" s="196"/>
      <c r="D264" s="197" t="s">
        <v>219</v>
      </c>
      <c r="E264" s="197"/>
      <c r="F264" s="199" t="n">
        <f aca="false">(B263-F263)+B264</f>
        <v>984.684975439895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180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984.684975439895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10" activeCellId="0" sqref="A210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283.333333333333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286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286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286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286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286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1480.10939352484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0</v>
      </c>
      <c r="C176" s="173"/>
      <c r="D176" s="173"/>
      <c r="E176" s="176" t="n">
        <f aca="false">B105</f>
        <v>1480.10939352484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IF(A49=0 ,(A176*B68)+E194-E188 ,(A176*B68)+E194-E188-A194)</f>
        <v>-1468.80067122677</v>
      </c>
      <c r="B191" s="102" t="str">
        <f aca="false">B123</f>
        <v>199.99</v>
      </c>
      <c r="C191" s="102"/>
      <c r="D191" s="22"/>
      <c r="E191" s="102" t="n">
        <f aca="false">E188+A191+(B191*1.2)+A194</f>
        <v>22531.1913287732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8.7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E179+A194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7.4808</v>
      </c>
      <c r="B197" s="102" t="n">
        <f aca="false">(G167*B76)/1.2</f>
        <v>98.95835</v>
      </c>
      <c r="C197" s="92"/>
      <c r="D197" s="92"/>
      <c r="E197" s="102" t="n">
        <f aca="false">K55*A117*0.1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198.94835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1480.10939352484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E188+A210+(B191*1.2)+A194</f>
        <v>21717.748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0</v>
      </c>
      <c r="C221" s="173"/>
      <c r="D221" s="173"/>
      <c r="E221" s="176" t="n">
        <f aca="false">E176</f>
        <v>1480.10939352484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199.99</v>
      </c>
      <c r="C233" s="102"/>
      <c r="D233" s="112"/>
      <c r="E233" s="102" t="n">
        <f aca="false">E191</f>
        <v>22531.1913287732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0</v>
      </c>
      <c r="C239" s="185"/>
      <c r="D239" s="185"/>
      <c r="E239" s="102" t="n">
        <f aca="false">E176</f>
        <v>1480.10939352484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22.4424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7.4808</v>
      </c>
      <c r="B245" s="102" t="n">
        <f aca="false">E242+A245</f>
        <v>29.9232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1990.61835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804.683308773228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804.683308773228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201" activeCellId="1" sqref="A210 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18410.7869299442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222.6562875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16220.1467407538</v>
      </c>
      <c r="C88" s="92" t="n">
        <f aca="false">B81-B86</f>
        <v>16220.1467407538</v>
      </c>
      <c r="D88" s="92"/>
      <c r="E88" s="112"/>
      <c r="F88" s="30" t="s">
        <v>113</v>
      </c>
      <c r="G88" s="32" t="n">
        <f aca="false">G81-G86</f>
        <v>15579.689207262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590.973455197119</v>
      </c>
      <c r="C89" s="92" t="n">
        <f aca="false">(B88/B87)</f>
        <v>590.973455197119</v>
      </c>
      <c r="D89" s="92"/>
      <c r="E89" s="112"/>
      <c r="F89" s="30" t="s">
        <v>114</v>
      </c>
      <c r="G89" s="32" t="n">
        <f aca="false">(G88/G87)</f>
        <v>531.592757536213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18911.1505663078</v>
      </c>
      <c r="C90" s="92"/>
      <c r="D90" s="92"/>
      <c r="E90" s="112"/>
      <c r="F90" s="30" t="s">
        <v>115</v>
      </c>
      <c r="G90" s="32" t="n">
        <f aca="false">((G89*(G85))+G77)</f>
        <v>17010.9682411588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18911.1505663078</v>
      </c>
      <c r="C92" s="92"/>
      <c r="D92" s="92"/>
      <c r="E92" s="112"/>
      <c r="F92" s="55" t="s">
        <v>117</v>
      </c>
      <c r="G92" s="64" t="n">
        <f aca="false">(G90+G91)</f>
        <v>17010.9682411588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590.973455197119</v>
      </c>
      <c r="C95" s="92"/>
      <c r="D95" s="92"/>
      <c r="E95" s="112"/>
      <c r="F95" s="94" t="s">
        <v>119</v>
      </c>
      <c r="G95" s="95" t="n">
        <f aca="false">G92/(G85)</f>
        <v>531.592757536213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590.973455197119</v>
      </c>
      <c r="C96" s="92"/>
      <c r="D96" s="92"/>
      <c r="E96" s="112"/>
      <c r="F96" s="96" t="s">
        <v>120</v>
      </c>
      <c r="G96" s="97" t="n">
        <f aca="false">G94+G95</f>
        <v>531.592757536213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590.973455197119</v>
      </c>
      <c r="B167" s="176" t="str">
        <f aca="false">B94</f>
        <v>0</v>
      </c>
      <c r="C167" s="173"/>
      <c r="D167" s="173"/>
      <c r="E167" s="176" t="n">
        <f aca="false">B96</f>
        <v>590.973455197119</v>
      </c>
      <c r="F167" s="22"/>
      <c r="G167" s="22" t="n">
        <f aca="false">ROUND(G95,2)</f>
        <v>531.59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IF(A40=0 ,(A167*B59)+E185-E179 ,(A167*B59)+E185-E179-A185)</f>
        <v>1161.14656630781</v>
      </c>
      <c r="B182" s="102" t="str">
        <f aca="false">B114</f>
        <v>239.99</v>
      </c>
      <c r="C182" s="102"/>
      <c r="D182" s="22"/>
      <c r="E182" s="102" t="n">
        <f aca="false">E179+A182+B182+A185</f>
        <v>25161.1405663078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E170+A185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185.54690625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285.538572916667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590.973455197119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-739.123999999996</v>
      </c>
      <c r="B201" s="185" t="n">
        <f aca="false">E179+A201+B182+A185</f>
        <v>23260.87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590.973455197119</v>
      </c>
      <c r="B212" s="176" t="str">
        <f aca="false">B167</f>
        <v>0</v>
      </c>
      <c r="C212" s="173"/>
      <c r="D212" s="173"/>
      <c r="E212" s="176" t="n">
        <f aca="false">E167</f>
        <v>590.973455197119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1161.14656630781</v>
      </c>
      <c r="B224" s="102" t="str">
        <f aca="false">B182</f>
        <v>239.99</v>
      </c>
      <c r="C224" s="102"/>
      <c r="D224" s="112"/>
      <c r="E224" s="102" t="n">
        <f aca="false">E182</f>
        <v>25161.1405663078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590.973455197119</v>
      </c>
      <c r="B230" s="102" t="str">
        <f aca="false">B167</f>
        <v>0</v>
      </c>
      <c r="C230" s="185"/>
      <c r="D230" s="185"/>
      <c r="E230" s="102" t="n">
        <f aca="false">E167</f>
        <v>590.973455197119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26.93088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8.97696</v>
      </c>
      <c r="B236" s="102" t="n">
        <f aca="false">E233+A236</f>
        <v>35.90784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185.54690625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2077.20857291666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1910.27056630781</v>
      </c>
      <c r="C254" s="196"/>
      <c r="D254" s="197" t="s">
        <v>217</v>
      </c>
      <c r="E254" s="197"/>
      <c r="F254" s="199" t="n">
        <f aca="false">F261+F267+F269+B270+B271</f>
        <v>222.6562875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1787.60594547448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1910.27056630781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222.6562875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1787.60594547448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201" activeCellId="1" sqref="A210 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1480.10939352484</v>
      </c>
      <c r="B167" s="176" t="n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IF(A40=0 ,(A167*B59)+E185-E179 ,(A167*B59)+E185-E179-A185)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E170+A185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n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n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22.4424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7.4808</v>
      </c>
      <c r="B236" s="102" t="n">
        <f aca="false">E233+A236</f>
        <v>29.9232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4" colorId="64" zoomScale="85" zoomScaleNormal="85" zoomScalePageLayoutView="100" workbookViewId="0">
      <selection pane="topLeft" activeCell="A201" activeCellId="1" sqref="A210 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IF(A40=0 ,(A167*B59)+E185-E179 ,(A167*B59)+E185-E179-A185)</f>
        <v>-1468.80067122677</v>
      </c>
      <c r="B182" s="102" t="str">
        <f aca="false">B114</f>
        <v>239.99</v>
      </c>
      <c r="C182" s="102"/>
      <c r="D182" s="22"/>
      <c r="E182" s="102" t="n">
        <f aca="false">E179+A182+B182+A185</f>
        <v>22531.1933287732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E170+A185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198.950016666667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E179+A201+B182+A185</f>
        <v>21717.75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239.99</v>
      </c>
      <c r="C224" s="102"/>
      <c r="D224" s="112"/>
      <c r="E224" s="102" t="n">
        <f aca="false">E182</f>
        <v>22531.1933287732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8.97696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1990.62001666666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804.684975439895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804.684975439895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201" activeCellId="1" sqref="A210 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IF(A40=0 ,(A167*B59)+E185-E179 ,(A167*B59)+E185-E179-A185)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E170+A185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7.3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7.4808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1" sqref="A210 A3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45385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286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0.005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0.005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108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160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4.5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54</v>
      </c>
      <c r="C79" s="316"/>
      <c r="D79" s="31" t="n">
        <f aca="false">B79+B77</f>
        <v>214</v>
      </c>
      <c r="E79" s="401" t="n">
        <f aca="false">D79+D85+D86</f>
        <v>614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180</v>
      </c>
      <c r="C80" s="316"/>
      <c r="D80" s="316"/>
      <c r="E80" s="401" t="n">
        <f aca="false">E79+D82</f>
        <v>809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67.4166666666667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195</v>
      </c>
      <c r="C82" s="316"/>
      <c r="D82" s="31" t="n">
        <f aca="false">IF(A50="YES",0,B82)</f>
        <v>195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300</v>
      </c>
      <c r="C85" s="316"/>
      <c r="D85" s="31" t="n">
        <f aca="false">B85</f>
        <v>300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100</v>
      </c>
      <c r="C86" s="316"/>
      <c r="D86" s="31" t="n">
        <f aca="false">B86</f>
        <v>100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4093.94666666667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341.162222222222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9031.136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63.7534812424365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9094.88948124244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757.907456770203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757.907456770203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757.907456770203</v>
      </c>
      <c r="B134" s="320" t="n">
        <f aca="false">IF(A111="YES",B95,0)</f>
        <v>0</v>
      </c>
      <c r="C134" s="324"/>
      <c r="D134" s="320" t="n">
        <f aca="false">B97</f>
        <v>757.907456770203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757.907456770203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757.907456770203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757.907456770203</v>
      </c>
      <c r="B143" s="37" t="n">
        <f aca="false">IF(A111="YES",B95,0)</f>
        <v>0</v>
      </c>
      <c r="C143" s="316"/>
      <c r="D143" s="37" t="n">
        <f aca="false">B97</f>
        <v>757.907456770203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108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607.991666666667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757.907456770203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757.907456770203</v>
      </c>
      <c r="B177" s="354" t="n">
        <f aca="false">IF(A111="YES",B95,0)</f>
        <v>0</v>
      </c>
      <c r="C177" s="356"/>
      <c r="D177" s="354" t="n">
        <f aca="false">A177+B177</f>
        <v>757.907456770203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757.907456770203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757.907456770203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757.907456770203</v>
      </c>
      <c r="B186" s="102" t="n">
        <f aca="false">IF(A111="YES",B95,0)</f>
        <v>0</v>
      </c>
      <c r="C186" s="352"/>
      <c r="D186" s="102" t="n">
        <f aca="false">B97</f>
        <v>757.907456770203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108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607.991666666667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108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2850.27166666667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0.005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108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2850.27166666667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160</v>
      </c>
      <c r="C229" s="335" t="s">
        <v>227</v>
      </c>
      <c r="D229" s="342"/>
      <c r="E229" s="148" t="n">
        <f aca="false">B78</f>
        <v>4.5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214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63.7534812424365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300</v>
      </c>
      <c r="C233" s="379" t="s">
        <v>331</v>
      </c>
      <c r="D233" s="380"/>
      <c r="E233" s="148" t="n">
        <f aca="false">B80</f>
        <v>180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100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B190" activeCellId="1" sqref="A210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45385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</v>
      </c>
      <c r="C80" s="316"/>
      <c r="D80" s="316"/>
      <c r="E80" s="401" t="n">
        <f aca="false">E79+D82</f>
        <v>838.75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69.8958333333333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178.75</v>
      </c>
      <c r="C82" s="316"/>
      <c r="D82" s="31" t="n">
        <f aca="false">IF(A50="YES",0,B82)</f>
        <v>178.75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4123.69666666667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343.641388888889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7555.69666666667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64.0054981847519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7619.70216485142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634.975180404285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634.975180404285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s">
        <v>353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634.975180404285</v>
      </c>
      <c r="B134" s="320" t="n">
        <f aca="false">IF(A111="YES",B95,0)</f>
        <v>0</v>
      </c>
      <c r="C134" s="325"/>
      <c r="D134" s="320" t="n">
        <f aca="false">B97</f>
        <v>634.975180404285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5714.77662363857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5714.77662363857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634.975180404285</v>
      </c>
      <c r="B143" s="37" t="n">
        <f aca="false">IF(A111="YES",B95,0)</f>
        <v>0</v>
      </c>
      <c r="C143" s="316"/>
      <c r="D143" s="37" t="n">
        <f aca="false">B97</f>
        <v>634.975180404285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634.975180404285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634.975180404285</v>
      </c>
      <c r="B177" s="354" t="n">
        <f aca="false">IF(A111="YES",B95,0)</f>
        <v>0</v>
      </c>
      <c r="C177" s="357"/>
      <c r="D177" s="354" t="n">
        <f aca="false">B91</f>
        <v>7555.69666666667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5714.77662363857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5714.77662363857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634.975180404285</v>
      </c>
      <c r="B186" s="102" t="n">
        <f aca="false">IF(A111="YES",B95,0)</f>
        <v>0</v>
      </c>
      <c r="C186" s="352"/>
      <c r="D186" s="102" t="n">
        <f aca="false">B97</f>
        <v>634.975180404285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2742.27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2742.27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64.0054981847519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90" colorId="64" zoomScale="85" zoomScaleNormal="85" zoomScalePageLayoutView="100" workbookViewId="0">
      <selection pane="topLeft" activeCell="B190" activeCellId="1" sqref="A210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1" sqref="A210 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B97</f>
        <v>909.315801062256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87" colorId="64" zoomScale="85" zoomScaleNormal="85" zoomScalePageLayoutView="100" workbookViewId="0">
      <selection pane="topLeft" activeCell="B190" activeCellId="1" sqref="A210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9029.41666666667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9105.90627941374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758.825523284479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758.825523284479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758.825523284479</v>
      </c>
      <c r="B134" s="320" t="n">
        <f aca="false">IF(A111="YES",B95,0)</f>
        <v>0</v>
      </c>
      <c r="C134" s="325"/>
      <c r="D134" s="320" t="n">
        <f aca="false">B97</f>
        <v>758.825523284479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758.825523284479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758.825523284479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758.825523284479</v>
      </c>
      <c r="B143" s="37" t="n">
        <f aca="false">IF(A111="YES",B95,0)</f>
        <v>0</v>
      </c>
      <c r="C143" s="316"/>
      <c r="D143" s="37" t="n">
        <f aca="false">B97</f>
        <v>758.825523284479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1387.838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1347.84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758.825523284479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758.825523284479</v>
      </c>
      <c r="B177" s="354" t="n">
        <f aca="false">IF(A111="YES",B95,0)</f>
        <v>0</v>
      </c>
      <c r="C177" s="357"/>
      <c r="D177" s="354" t="n">
        <f aca="false">B91</f>
        <v>9029.41666666667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758.825523284479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758.825523284479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758.825523284479</v>
      </c>
      <c r="B186" s="102" t="n">
        <f aca="false">IF(A111="YES",B95,0)</f>
        <v>0</v>
      </c>
      <c r="C186" s="352"/>
      <c r="D186" s="102" t="n">
        <f aca="false">B97</f>
        <v>758.825523284479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B190" activeCellId="1" sqref="A210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1" sqref="A210 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B91</f>
        <v>10835.3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2" colorId="64" zoomScale="85" zoomScaleNormal="85" zoomScalePageLayoutView="100" workbookViewId="0">
      <selection pane="topLeft" activeCell="B190" activeCellId="1" sqref="A210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60000</v>
      </c>
      <c r="C9" s="9" t="n">
        <f aca="false">B9*0.2</f>
        <v>12000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60000</v>
      </c>
      <c r="C15" s="9" t="n">
        <f aca="false">SUM(C9:C13)</f>
        <v>12000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72000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60000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72000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5040</v>
      </c>
      <c r="C70" s="214" t="n">
        <v>10000</v>
      </c>
      <c r="D70" s="290" t="n">
        <f aca="false">B70-A149</f>
        <v>5040</v>
      </c>
      <c r="E70" s="215" t="n">
        <f aca="false">D70/12</f>
        <v>420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720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6545.41666666667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545.451388888889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12557.4166666667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106.375857200484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12663.7925238672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1055.3160436556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1055.3160436556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IF(A111="YES",B95,0)</f>
        <v>0</v>
      </c>
      <c r="C134" s="325"/>
      <c r="D134" s="320" t="n">
        <f aca="false">B97</f>
        <v>1055.3160436556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1055.3160436556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1055.3160436556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1055.3160436556</v>
      </c>
      <c r="B143" s="37" t="n">
        <f aca="false">IF(A111="YES",B95,0)</f>
        <v>0</v>
      </c>
      <c r="C143" s="316"/>
      <c r="D143" s="37" t="n">
        <f aca="false">B97</f>
        <v>1055.3160436556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720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1219.99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1055.3160436556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IF(A111="YES",B95,0)</f>
        <v>0</v>
      </c>
      <c r="C177" s="357"/>
      <c r="D177" s="354" t="n">
        <f aca="false">B91</f>
        <v>12557.4166666667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1055.3160436556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1055.3160436556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1055.3160436556</v>
      </c>
      <c r="B186" s="102" t="n">
        <f aca="false">IF(A111="YES",B95,0)</f>
        <v>0</v>
      </c>
      <c r="C186" s="352"/>
      <c r="D186" s="102" t="n">
        <f aca="false">B97</f>
        <v>1055.3160436556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720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1219.99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5040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720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4659.99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5040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720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4659.99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106.375857200484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A182" activeCellId="1" sqref="A210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5900.53588952154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190.4167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22850.004</v>
      </c>
      <c r="C81" s="92"/>
      <c r="D81" s="92"/>
      <c r="E81" s="112"/>
      <c r="F81" s="24" t="s">
        <v>106</v>
      </c>
      <c r="G81" s="26" t="n">
        <f aca="false">G158</f>
        <v>22850.004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12261.291013147</v>
      </c>
      <c r="C88" s="92"/>
      <c r="D88" s="92"/>
      <c r="E88" s="112"/>
      <c r="F88" s="30" t="s">
        <v>113</v>
      </c>
      <c r="G88" s="32" t="n">
        <f aca="false">G81-G86</f>
        <v>10562.1577959131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416.929038280818</v>
      </c>
      <c r="C89" s="92"/>
      <c r="D89" s="92"/>
      <c r="E89" s="112"/>
      <c r="F89" s="30" t="s">
        <v>114</v>
      </c>
      <c r="G89" s="32" t="n">
        <f aca="false">(G88/G87)</f>
        <v>334.506060039412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14592.5163398286</v>
      </c>
      <c r="C90" s="92"/>
      <c r="D90" s="92"/>
      <c r="E90" s="112"/>
      <c r="F90" s="30" t="s">
        <v>115</v>
      </c>
      <c r="G90" s="32" t="n">
        <f aca="false">((G89*(G85))+G77)</f>
        <v>11707.7121013794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14592.5163398286</v>
      </c>
      <c r="C92" s="92"/>
      <c r="D92" s="92"/>
      <c r="E92" s="112"/>
      <c r="F92" s="55" t="s">
        <v>117</v>
      </c>
      <c r="G92" s="64" t="n">
        <f aca="false">(G90+G91)</f>
        <v>11707.7121013794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416.929038280818</v>
      </c>
      <c r="C95" s="92"/>
      <c r="D95" s="92"/>
      <c r="E95" s="112"/>
      <c r="F95" s="94" t="s">
        <v>119</v>
      </c>
      <c r="G95" s="95" t="n">
        <f aca="false">G92/(G85)</f>
        <v>334.506060039412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416.929038280818</v>
      </c>
      <c r="C96" s="92"/>
      <c r="D96" s="92"/>
      <c r="E96" s="112"/>
      <c r="F96" s="96" t="s">
        <v>120</v>
      </c>
      <c r="G96" s="97" t="n">
        <f aca="false">G94+G95</f>
        <v>334.506060039412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-17548.6116666667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22850.004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416.929038280818</v>
      </c>
      <c r="B167" s="176" t="str">
        <f aca="false">B94</f>
        <v>0</v>
      </c>
      <c r="C167" s="173"/>
      <c r="D167" s="173"/>
      <c r="E167" s="176" t="n">
        <f aca="false">B96</f>
        <v>416.929038280818</v>
      </c>
      <c r="F167" s="22"/>
      <c r="G167" s="22" t="n">
        <f aca="false">ROUND(G95,2)</f>
        <v>334.51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22850.004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IF(A40=0 ,(A167*B59)+E185-E179 ,(A167*B59)+E185-E179-A185)</f>
        <v>6892.51233982864</v>
      </c>
      <c r="B182" s="102" t="str">
        <f aca="false">B114</f>
        <v>239.99</v>
      </c>
      <c r="C182" s="102"/>
      <c r="D182" s="22"/>
      <c r="E182" s="102" t="n">
        <f aca="false">E179+A182+B182+A185</f>
        <v>29992.5063398286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190.4167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290.408366666667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416.929038280818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4007.846</v>
      </c>
      <c r="B201" s="185" t="n">
        <f aca="false">E179+A201+B182+A185</f>
        <v>27107.84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416.929038280818</v>
      </c>
      <c r="B212" s="176" t="str">
        <f aca="false">B167</f>
        <v>0</v>
      </c>
      <c r="C212" s="173"/>
      <c r="D212" s="173"/>
      <c r="E212" s="176" t="n">
        <f aca="false">E167</f>
        <v>416.929038280818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22850.004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6892.51233982864</v>
      </c>
      <c r="B224" s="102" t="str">
        <f aca="false">B182</f>
        <v>239.99</v>
      </c>
      <c r="C224" s="102"/>
      <c r="D224" s="112"/>
      <c r="E224" s="102" t="n">
        <f aca="false">E182</f>
        <v>29992.5063398286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416.929038280818</v>
      </c>
      <c r="B230" s="102" t="str">
        <f aca="false">B167</f>
        <v>0</v>
      </c>
      <c r="C230" s="185"/>
      <c r="D230" s="185"/>
      <c r="E230" s="102" t="n">
        <f aca="false">E167</f>
        <v>416.929038280818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J18*0.000006*100*1.2</f>
        <v>26.9316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0</v>
      </c>
      <c r="B236" s="102" t="n">
        <f aca="false">E233+A236</f>
        <v>26.9316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190.4167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2082.07836666666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2894.66633982864</v>
      </c>
      <c r="C254" s="196"/>
      <c r="D254" s="197" t="s">
        <v>217</v>
      </c>
      <c r="E254" s="197"/>
      <c r="F254" s="199" t="n">
        <f aca="false">F261+F267+F269+B270+B271</f>
        <v>228.50004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2766.15796649531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2894.66633982864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228.50004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2766.15796649531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8" colorId="64" zoomScale="85" zoomScaleNormal="85" zoomScalePageLayoutView="100" workbookViewId="0">
      <selection pane="topLeft" activeCell="A182" activeCellId="1" sqref="A210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577.658917599342</v>
      </c>
      <c r="F33" s="231"/>
      <c r="G33" s="231"/>
      <c r="H33" s="46"/>
      <c r="I33" s="2"/>
      <c r="J33" s="33" t="s">
        <v>356</v>
      </c>
      <c r="K33" s="47" t="n">
        <f aca="false">E21</f>
        <v>18708.33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577.658917599342</v>
      </c>
      <c r="B36" s="231" t="str">
        <f aca="false">IF(B26="YES",K42,"0.00")</f>
        <v>0.00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18708.33</v>
      </c>
      <c r="L39" s="2" t="n">
        <f aca="false">(L47*K46)+K44</f>
        <v>25909.1715613066</v>
      </c>
      <c r="N39" s="1" t="n">
        <f aca="false">K39-L39</f>
        <v>-7200.84156130656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-7200.84156130656</v>
      </c>
      <c r="N40" s="1" t="n">
        <f aca="false">N38-N39</f>
        <v>10112.5215613066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18708.33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577.658917599342</v>
      </c>
      <c r="L47" s="2" t="n">
        <f aca="false">L49-K42</f>
        <v>800</v>
      </c>
      <c r="M47" s="1" t="n">
        <f aca="false">K47-L47</f>
        <v>-222.341082400658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577.658917599342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577.658917599342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5684.64618167444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185.416666666667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577.658917599342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577.658917599342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577.658917599342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577.658917599342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22250</v>
      </c>
      <c r="C81" s="92"/>
      <c r="D81" s="92"/>
      <c r="E81" s="112"/>
      <c r="F81" s="24" t="s">
        <v>106</v>
      </c>
      <c r="G81" s="26" t="n">
        <f aca="false">G158</f>
        <v>22250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B59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22250</v>
      </c>
      <c r="C88" s="92"/>
      <c r="D88" s="92"/>
      <c r="E88" s="112"/>
      <c r="F88" s="30" t="s">
        <v>113</v>
      </c>
      <c r="G88" s="32" t="n">
        <f aca="false">G81-G86</f>
        <v>22250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756.581920435736</v>
      </c>
      <c r="C89" s="92"/>
      <c r="D89" s="92"/>
      <c r="E89" s="112"/>
      <c r="F89" s="30" t="s">
        <v>114</v>
      </c>
      <c r="G89" s="32" t="n">
        <f aca="false">(G88/G87)</f>
        <v>704.662814141709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26480.3672152507</v>
      </c>
      <c r="C90" s="92"/>
      <c r="D90" s="92"/>
      <c r="E90" s="112"/>
      <c r="F90" s="30" t="s">
        <v>115</v>
      </c>
      <c r="G90" s="32" t="n">
        <f aca="false">((G89*(G85))+G77)</f>
        <v>24663.1984949598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26480.3672152507</v>
      </c>
      <c r="C92" s="92"/>
      <c r="D92" s="92"/>
      <c r="E92" s="112"/>
      <c r="F92" s="55" t="s">
        <v>117</v>
      </c>
      <c r="G92" s="64" t="n">
        <f aca="false">(G90+G91)</f>
        <v>24663.1984949598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756.581920435736</v>
      </c>
      <c r="C95" s="92"/>
      <c r="D95" s="92"/>
      <c r="E95" s="112"/>
      <c r="F95" s="94" t="s">
        <v>119</v>
      </c>
      <c r="G95" s="95" t="n">
        <f aca="false">G92/(G85)</f>
        <v>704.662814141709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756.581920435736</v>
      </c>
      <c r="C96" s="92"/>
      <c r="D96" s="92"/>
      <c r="E96" s="112"/>
      <c r="F96" s="96" t="s">
        <v>120</v>
      </c>
      <c r="G96" s="97" t="n">
        <f aca="false">G94+G95</f>
        <v>704.662814141709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18708.33</v>
      </c>
      <c r="C121" s="120" t="n">
        <v>20625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22449.996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22449.996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22449.996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18708.33</v>
      </c>
      <c r="C125" s="132" t="n">
        <f aca="false">C121-C124</f>
        <v>20625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18708.33</v>
      </c>
      <c r="H135" s="152" t="n">
        <f aca="false">C125+E125+G125+H128</f>
        <v>20625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3741.666</v>
      </c>
      <c r="H137" s="32" t="n">
        <f aca="false">(H135+H136)*20%</f>
        <v>4125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22449.996</v>
      </c>
      <c r="H141" s="156" t="n">
        <f aca="false">(H135+H136+H139+H140+H137)-H138</f>
        <v>24750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22449.996</v>
      </c>
      <c r="H147" s="163" t="n">
        <f aca="false">H141-((H144*1.2)+(H145*1.2)+(H146*1.2)+(H142*1.2))</f>
        <v>24750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1916.67</v>
      </c>
      <c r="I148" s="1" t="n">
        <f aca="false">(H148-G81)/1.2</f>
        <v>-16944.4416666667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22250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756.581920435736</v>
      </c>
      <c r="B167" s="176" t="str">
        <f aca="false">B94</f>
        <v>0</v>
      </c>
      <c r="C167" s="173"/>
      <c r="D167" s="173"/>
      <c r="E167" s="176" t="n">
        <f aca="false">B96</f>
        <v>756.581920435736</v>
      </c>
      <c r="F167" s="22"/>
      <c r="G167" s="22" t="n">
        <f aca="false">ROUND(G95,2)</f>
        <v>704.66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20625</v>
      </c>
      <c r="B173" s="102" t="n">
        <f aca="false">H137</f>
        <v>4125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24750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22250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IF(A40=0 ,(A167*B59)+E185-E179 ,(A167*B59)+E185-E179-A185)</f>
        <v>4996.94913568649</v>
      </c>
      <c r="B182" s="102" t="str">
        <f aca="false">B114</f>
        <v>199.99</v>
      </c>
      <c r="C182" s="102"/>
      <c r="D182" s="22"/>
      <c r="E182" s="102" t="n">
        <f aca="false">E179+A182+(B182*1.2)+A185</f>
        <v>27496.9371356865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766.581920435736</v>
      </c>
      <c r="F185" s="22"/>
      <c r="G185" s="10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185.416666666667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285.406666666667</v>
      </c>
      <c r="C191" s="92"/>
      <c r="D191" s="92"/>
      <c r="E191" s="102" t="n">
        <f aca="false">H148</f>
        <v>1916.67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756.581920435736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3117.76</v>
      </c>
      <c r="B201" s="185" t="n">
        <f aca="false">E179+A201+(B182*1.2)+A185</f>
        <v>25617.748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756.581920435736</v>
      </c>
      <c r="B212" s="176" t="str">
        <f aca="false">B167</f>
        <v>0</v>
      </c>
      <c r="C212" s="173"/>
      <c r="D212" s="173"/>
      <c r="E212" s="176" t="n">
        <f aca="false">E167</f>
        <v>756.581920435736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20625</v>
      </c>
      <c r="B215" s="102" t="n">
        <f aca="false">B173</f>
        <v>4125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24750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22250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4996.94913568649</v>
      </c>
      <c r="B224" s="102" t="str">
        <f aca="false">B182</f>
        <v>199.99</v>
      </c>
      <c r="C224" s="102"/>
      <c r="D224" s="112"/>
      <c r="E224" s="102" t="n">
        <f aca="false">E182</f>
        <v>27496.9371356865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756.581920435736</v>
      </c>
      <c r="B230" s="102" t="str">
        <f aca="false">B167</f>
        <v>0</v>
      </c>
      <c r="C230" s="185"/>
      <c r="D230" s="185"/>
      <c r="E230" s="102" t="n">
        <f aca="false">E167</f>
        <v>756.581920435736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766.581920435736</v>
      </c>
      <c r="C233" s="92"/>
      <c r="D233" s="92"/>
      <c r="E233" s="102" t="n">
        <f aca="false">J18*0.000006*100</f>
        <v>22.443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22.443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1916.67</v>
      </c>
      <c r="B240" s="102" t="n">
        <f aca="false">B68</f>
        <v>185.416666666667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2202.07666666666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1889.18913568649</v>
      </c>
      <c r="C254" s="196"/>
      <c r="D254" s="197" t="s">
        <v>217</v>
      </c>
      <c r="E254" s="197"/>
      <c r="F254" s="199" t="n">
        <f aca="false">F261+F267+F269+B270+B271</f>
        <v>222.5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1766.67913568649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1889.18913568649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222.5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1766.67913568649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5" colorId="64" zoomScale="85" zoomScaleNormal="85" zoomScalePageLayoutView="100" workbookViewId="0">
      <selection pane="topLeft" activeCell="A182" activeCellId="1" sqref="A210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40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IF(A40=0 ,(A167*B59)+E185-E179 ,(A167*B59)+E185-E179-A185)</f>
        <v>6588.3061580578</v>
      </c>
      <c r="B182" s="102" t="str">
        <f aca="false">B114</f>
        <v>239.99</v>
      </c>
      <c r="C182" s="102"/>
      <c r="D182" s="22"/>
      <c r="E182" s="102" t="n">
        <f aca="false">E179+A182+B182+A185</f>
        <v>28088.3001580578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IF(E105="YES",B61*0.000002,0)*100*1.2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277.075033333333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E179+A201+B182+A185</f>
        <v>25334.04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239.99</v>
      </c>
      <c r="C224" s="102"/>
      <c r="D224" s="112"/>
      <c r="E224" s="102" t="n">
        <f aca="false">E182</f>
        <v>28088.3001580578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2068.74503333333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2651.75178472447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2651.75178472447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201" activeCellId="1" sqref="A210 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 t="n">
        <v>0</v>
      </c>
      <c r="D4" s="268" t="n">
        <v>0</v>
      </c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 t="n">
        <v>0</v>
      </c>
      <c r="C5" s="62" t="n">
        <v>0</v>
      </c>
      <c r="D5" s="62" t="n">
        <v>0</v>
      </c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str">
        <f aca="false">B3</f>
        <v> </v>
      </c>
      <c r="L121" s="120" t="n">
        <v>28629.17</v>
      </c>
      <c r="M121" s="119" t="str">
        <f aca="false">D3</f>
        <v> </v>
      </c>
      <c r="N121" s="120" t="str">
        <f aca="false">M121</f>
        <v> 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str">
        <f aca="false">B3</f>
        <v> </v>
      </c>
      <c r="U121" s="120" t="str">
        <f aca="false">T121</f>
        <v> </v>
      </c>
      <c r="V121" s="119" t="str">
        <f aca="false">D3</f>
        <v> </v>
      </c>
      <c r="W121" s="120" t="str">
        <f aca="false">V121</f>
        <v> 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str">
        <f aca="false">B3</f>
        <v> </v>
      </c>
      <c r="AD121" s="120" t="str">
        <f aca="false">AC121</f>
        <v> </v>
      </c>
      <c r="AE121" s="119" t="str">
        <f aca="false">D3</f>
        <v> </v>
      </c>
      <c r="AF121" s="120" t="str">
        <f aca="false">AE121</f>
        <v> 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e">
        <f aca="false">(K121*K122)+K123</f>
        <v>#VALUE!</v>
      </c>
      <c r="L124" s="130" t="n">
        <f aca="false">(L121*L122)+L123</f>
        <v>0</v>
      </c>
      <c r="M124" s="129" t="e">
        <f aca="false">(M121*M122)+M123</f>
        <v>#VALUE!</v>
      </c>
      <c r="N124" s="130" t="e">
        <f aca="false">(N121*N122)+N123</f>
        <v>#VALUE!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e">
        <f aca="false">(T121*T122)+T123</f>
        <v>#VALUE!</v>
      </c>
      <c r="U124" s="130" t="e">
        <f aca="false">(U121*U122)+U123</f>
        <v>#VALUE!</v>
      </c>
      <c r="V124" s="129" t="e">
        <f aca="false">(V121*V122)+V123</f>
        <v>#VALUE!</v>
      </c>
      <c r="W124" s="130" t="e">
        <f aca="false">(W121*W122)+W123</f>
        <v>#VALUE!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e">
        <f aca="false">(AC121*AC122)+AC123</f>
        <v>#VALUE!</v>
      </c>
      <c r="AD124" s="130" t="e">
        <f aca="false">(AD121*AD122)+AD123</f>
        <v>#VALUE!</v>
      </c>
      <c r="AE124" s="129" t="e">
        <f aca="false">(AE121*AE122)+AE123</f>
        <v>#VALUE!</v>
      </c>
      <c r="AF124" s="130" t="e">
        <f aca="false">(AF121*AF122)+AF123</f>
        <v>#VALUE!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e">
        <f aca="false">K121-K124</f>
        <v>#VALUE!</v>
      </c>
      <c r="L125" s="132" t="n">
        <f aca="false">L121-L124</f>
        <v>28629.17</v>
      </c>
      <c r="M125" s="131" t="e">
        <f aca="false">M121-M124</f>
        <v>#VALUE!</v>
      </c>
      <c r="N125" s="132" t="e">
        <f aca="false">N121-N124</f>
        <v>#VALUE!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e">
        <f aca="false">T121-T124</f>
        <v>#VALUE!</v>
      </c>
      <c r="U125" s="132" t="e">
        <f aca="false">U121-U124</f>
        <v>#VALUE!</v>
      </c>
      <c r="V125" s="131" t="e">
        <f aca="false">V121-V124</f>
        <v>#VALUE!</v>
      </c>
      <c r="W125" s="132" t="e">
        <f aca="false">W121-W124</f>
        <v>#VALUE!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e">
        <f aca="false">AC121-AC124</f>
        <v>#VALUE!</v>
      </c>
      <c r="AD125" s="132" t="e">
        <f aca="false">AD121-AD124</f>
        <v>#VALUE!</v>
      </c>
      <c r="AE125" s="131" t="e">
        <f aca="false">AE121-AE124</f>
        <v>#VALUE!</v>
      </c>
      <c r="AF125" s="132" t="e">
        <f aca="false">AF121-AF124</f>
        <v>#VALUE!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IF(A40=0 ,(A167*B59)+E185-E179 ,(A167*B59)+E185-E179-A185)</f>
        <v>6588.3061580578</v>
      </c>
      <c r="B182" s="102" t="str">
        <f aca="false">B114</f>
        <v>199.99</v>
      </c>
      <c r="C182" s="102"/>
      <c r="D182" s="22"/>
      <c r="E182" s="102" t="n">
        <f aca="false">E179+A182+(B182*1.2)+A185</f>
        <v>28088.2981580578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277.073366666667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7.3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E179+A201+(B182*1.2)+A185</f>
        <v>25334.038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199.99</v>
      </c>
      <c r="C224" s="102"/>
      <c r="D224" s="112"/>
      <c r="E224" s="102" t="n">
        <f aca="false">E182</f>
        <v>28088.2981580578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2068.74336666666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2651.7501180578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2651.7501180578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1" sqref="A210 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10620.8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10695.7753933038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891.314616108646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891.314616108646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1024.59311617588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10000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891.314616108646</v>
      </c>
      <c r="B128" s="320" t="n">
        <f aca="false">IF(A105="YES",B89,0)</f>
        <v>0</v>
      </c>
      <c r="C128" s="325"/>
      <c r="D128" s="320" t="n">
        <f aca="false">B91</f>
        <v>891.314616108646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0</v>
      </c>
      <c r="I130" s="176"/>
      <c r="J130" s="333" t="n">
        <f aca="false">H91</f>
        <v>1024.59311617588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8021.83154497781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0</v>
      </c>
      <c r="I133" s="220"/>
      <c r="J133" s="183" t="n">
        <f aca="false">H91*H57</f>
        <v>1024.59311617588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8021.83154497781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891.314616108646</v>
      </c>
      <c r="B137" s="37" t="n">
        <f aca="false">IF(A105="YES",B89,0)</f>
        <v>0</v>
      </c>
      <c r="C137" s="316"/>
      <c r="D137" s="37" t="n">
        <f aca="false">B91</f>
        <v>891.314616108646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G18*0.000002*1.2*100</f>
        <v>8.9772</v>
      </c>
      <c r="C140" s="316"/>
      <c r="D140" s="342" t="n">
        <f aca="false">A140+B140</f>
        <v>35.9088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1407.013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715.99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1024.59311617588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891.314616108646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891.314616108646</v>
      </c>
      <c r="B171" s="354" t="n">
        <f aca="false">IF(A105="YES",B89,0)</f>
        <v>0</v>
      </c>
      <c r="C171" s="357"/>
      <c r="D171" s="354" t="n">
        <f aca="false">B91</f>
        <v>891.314616108646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8021.83154497781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8021.83154497781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891.314616108646</v>
      </c>
      <c r="B180" s="102" t="n">
        <f aca="false">IF(A105="YES",B89,0)</f>
        <v>0</v>
      </c>
      <c r="C180" s="352"/>
      <c r="D180" s="102" t="n">
        <f aca="false">B91</f>
        <v>891.314616108646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G18*0.000002*1.2*100</f>
        <v>8.9772</v>
      </c>
      <c r="C183" s="352"/>
      <c r="D183" s="364" t="n">
        <f aca="false">A183+B183</f>
        <v>35.9088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715.99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1635.99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1635.99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9" colorId="64" zoomScale="85" zoomScaleNormal="85" zoomScalePageLayoutView="100" workbookViewId="0">
      <selection pane="topLeft" activeCell="B184" activeCellId="1" sqref="A210 B18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8850.66666666667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8925.64205997042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743.803504997535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808.803504997535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1096.59311617588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-3760.012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743.803504997535</v>
      </c>
      <c r="B128" s="320" t="n">
        <f aca="false">IF(A105="YES",B89,0)</f>
        <v>65</v>
      </c>
      <c r="C128" s="325"/>
      <c r="D128" s="320" t="n">
        <f aca="false">B91</f>
        <v>808.803504997535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72</v>
      </c>
      <c r="I130" s="176"/>
      <c r="J130" s="333" t="n">
        <f aca="false">H91</f>
        <v>1096.59311617588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6694.23154497782</v>
      </c>
      <c r="C131" s="316"/>
      <c r="D131" s="37" t="n">
        <f aca="false">IF(A105="YES",B89*B57,0)</f>
        <v>585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72</v>
      </c>
      <c r="I133" s="220"/>
      <c r="J133" s="183" t="n">
        <f aca="false">H91*H57</f>
        <v>1096.59311617588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7279.23154497782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743.803504997535</v>
      </c>
      <c r="B137" s="37" t="n">
        <f aca="false">IF(A105="YES",B89,0)</f>
        <v>65</v>
      </c>
      <c r="C137" s="316"/>
      <c r="D137" s="37" t="n">
        <f aca="false">B91</f>
        <v>808.803504997535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22.443</v>
      </c>
      <c r="B140" s="342" t="n">
        <f aca="false">G18*0.000002*100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1414.213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733.99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1096.59311617588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808.803504997535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743.803504997535</v>
      </c>
      <c r="B171" s="354" t="n">
        <f aca="false">IF(A105="YES",B89,0)</f>
        <v>65</v>
      </c>
      <c r="C171" s="357"/>
      <c r="D171" s="354" t="n">
        <f aca="false">B91</f>
        <v>808.803504997535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6694.23154497782</v>
      </c>
      <c r="C174" s="352"/>
      <c r="D174" s="102" t="n">
        <f aca="false">IF(A105="YES",B89*B57,0)</f>
        <v>585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7279.23154497782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743.803504997535</v>
      </c>
      <c r="B180" s="102" t="n">
        <f aca="false">IF(A105="YES",B89,0)</f>
        <v>65</v>
      </c>
      <c r="C180" s="352"/>
      <c r="D180" s="102" t="n">
        <f aca="false">B91</f>
        <v>808.803504997535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22.443</v>
      </c>
      <c r="B183" s="364" t="n">
        <f aca="false">G18*0.000002*100</f>
        <v>7.481</v>
      </c>
      <c r="C183" s="352"/>
      <c r="D183" s="364" t="n">
        <f aca="false">A183+B183</f>
        <v>29.924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733.99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1815.99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1815.99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9" activeCellId="1" sqref="A210 A18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66666.6666666667</v>
      </c>
      <c r="I31" s="62"/>
      <c r="J31" s="62"/>
      <c r="K31" s="62" t="n">
        <v>66666.6666666667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 t="n">
        <v>6000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190.81237436313</v>
      </c>
      <c r="E33" s="215"/>
      <c r="F33" s="62"/>
      <c r="G33" s="218" t="s">
        <v>356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140.81237436313</v>
      </c>
      <c r="B36" s="102" t="n">
        <f aca="false">IF(B26="YES",H42,"")</f>
        <v>50</v>
      </c>
      <c r="C36" s="220"/>
      <c r="D36" s="183" t="n">
        <f aca="false">H31</f>
        <v>66666.6666666667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57161.3120530432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-39161.3120530432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13439.5850433384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4560.41495666158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140.81237436313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190.81237436313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190.81237436313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21.6666666666667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10780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299.444444444444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140.81237436313</v>
      </c>
      <c r="C83" s="469"/>
      <c r="D83" s="214"/>
      <c r="E83" s="462" t="n">
        <f aca="false">B83+E80+E77+E64</f>
        <v>440.256818807575</v>
      </c>
      <c r="F83" s="62"/>
      <c r="G83" s="304" t="s">
        <v>105</v>
      </c>
      <c r="H83" s="305" t="n">
        <f aca="false">H47</f>
        <v>140.81237436313</v>
      </c>
      <c r="I83" s="214"/>
      <c r="J83" s="214"/>
      <c r="K83" s="215"/>
      <c r="L83" s="62"/>
      <c r="M83" s="304" t="s">
        <v>105</v>
      </c>
      <c r="N83" s="305" t="n">
        <f aca="false">H47</f>
        <v>140.81237436313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15849.2454770727</v>
      </c>
      <c r="C85" s="469"/>
      <c r="D85" s="469"/>
      <c r="E85" s="462" t="n">
        <f aca="false">B85/(B58+B57)</f>
        <v>440.256818807575</v>
      </c>
      <c r="F85" s="62"/>
      <c r="G85" s="287" t="s">
        <v>115</v>
      </c>
      <c r="H85" s="130" t="n">
        <f aca="false">((H83*H29)+H81)*1.2</f>
        <v>7361.99457248723</v>
      </c>
      <c r="I85" s="214"/>
      <c r="J85" s="214"/>
      <c r="K85" s="215"/>
      <c r="L85" s="62"/>
      <c r="M85" s="287" t="s">
        <v>115</v>
      </c>
      <c r="N85" s="130" t="n">
        <f aca="false">((N83*H29)+N81)</f>
        <v>5791.24547707269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134.261458256767</v>
      </c>
      <c r="C86" s="469" t="s">
        <v>231</v>
      </c>
      <c r="D86" s="214"/>
      <c r="E86" s="462" t="n">
        <f aca="false">B86/(B58+B57)</f>
        <v>3.72948495157687</v>
      </c>
      <c r="F86" s="62"/>
      <c r="G86" s="213" t="s">
        <v>116</v>
      </c>
      <c r="H86" s="299" t="n">
        <f aca="false">((((H83*H29)+H81))/(1-H70))*H70</f>
        <v>51.9705143277638</v>
      </c>
      <c r="I86" s="214"/>
      <c r="J86" s="214"/>
      <c r="K86" s="215"/>
      <c r="L86" s="62"/>
      <c r="M86" s="213" t="s">
        <v>116</v>
      </c>
      <c r="N86" s="299" t="n">
        <f aca="false">(N85/(1-N70))*N70</f>
        <v>49.0585538598332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15983.5069353295</v>
      </c>
      <c r="C87" s="469"/>
      <c r="D87" s="471"/>
      <c r="E87" s="462" t="n">
        <f aca="false">E86+E85</f>
        <v>443.986303759152</v>
      </c>
      <c r="F87" s="62"/>
      <c r="G87" s="284" t="s">
        <v>117</v>
      </c>
      <c r="H87" s="132" t="n">
        <f aca="false">IF(H110="YES",((H85+H86)-K114),(H85+H86))</f>
        <v>7413.96508681499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5840.30403093252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443.986303759152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180.828416751585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142.446439778842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508.986303759152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391.560124068658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318.056195876403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180.828416751585</v>
      </c>
      <c r="H127" s="176" t="n">
        <f aca="false">IF(G105="YES",H89*H57,0)</f>
        <v>1264.39024390244</v>
      </c>
      <c r="I127" s="176"/>
      <c r="J127" s="333" t="n">
        <f aca="false">H91</f>
        <v>391.560124068658</v>
      </c>
      <c r="K127" s="215"/>
      <c r="L127" s="62"/>
      <c r="M127" s="332" t="n">
        <f aca="false">N90</f>
        <v>142.446439778842</v>
      </c>
      <c r="N127" s="176" t="n">
        <f aca="false">IF(M105="YES",N89*N57,0)</f>
        <v>1053.65853658537</v>
      </c>
      <c r="O127" s="176"/>
      <c r="P127" s="176" t="n">
        <f aca="false">N91</f>
        <v>318.056195876403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443.986303759152</v>
      </c>
      <c r="B128" s="320" t="n">
        <f aca="false">IF(A105="YES",B89,0)</f>
        <v>65</v>
      </c>
      <c r="C128" s="324"/>
      <c r="D128" s="320" t="n">
        <f aca="false">B91</f>
        <v>508.986303759152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443.986303759152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1084.97050050951</v>
      </c>
      <c r="H133" s="102" t="n">
        <f aca="false">IF(G105="YES",H89*H57,0)</f>
        <v>1264.39024390244</v>
      </c>
      <c r="I133" s="220"/>
      <c r="J133" s="183" t="n">
        <f aca="false">H91*H57</f>
        <v>2349.36074441195</v>
      </c>
      <c r="K133" s="215"/>
      <c r="L133" s="62"/>
      <c r="M133" s="184" t="n">
        <f aca="false">N90*N57</f>
        <v>854.678638673052</v>
      </c>
      <c r="N133" s="102" t="n">
        <f aca="false">IF(M105="YES",N89*N57,0)</f>
        <v>1053.65853658537</v>
      </c>
      <c r="O133" s="220"/>
      <c r="P133" s="183" t="n">
        <f aca="false">N91*N57</f>
        <v>1908.33717525842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508.986303759152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443.986303759152</v>
      </c>
      <c r="B137" s="37" t="n">
        <f aca="false">IF(A105="YES",B89,0)</f>
        <v>65</v>
      </c>
      <c r="C137" s="316"/>
      <c r="D137" s="37" t="n">
        <f aca="false">B91</f>
        <v>508.986303759152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22.4424</v>
      </c>
      <c r="B140" s="342" t="n">
        <f aca="false">IF(A105="YES",B61*0.000002,0)*100</f>
        <v>7.4808</v>
      </c>
      <c r="C140" s="316"/>
      <c r="D140" s="342" t="n">
        <f aca="false">A140+B140</f>
        <v>29.9232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585.99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391.560124068658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318.056195876403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508.986303759152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443.986303759152</v>
      </c>
      <c r="B177" s="354" t="n">
        <f aca="false">IF(A105="YES",B89,0)</f>
        <v>65</v>
      </c>
      <c r="C177" s="356"/>
      <c r="D177" s="354" t="n">
        <f aca="false">B91</f>
        <v>508.986303759152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443.986303759152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508.986303759152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443.986303759152</v>
      </c>
      <c r="B186" s="102" t="n">
        <f aca="false">IF(A105="YES",B89,0)</f>
        <v>65</v>
      </c>
      <c r="C186" s="352"/>
      <c r="D186" s="102" t="n">
        <f aca="false">B91</f>
        <v>508.986303759152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22.4424</v>
      </c>
      <c r="B189" s="364" t="n">
        <f aca="false">B140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585.99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432</v>
      </c>
      <c r="C211" s="319" t="s">
        <v>218</v>
      </c>
      <c r="D211" s="369" t="n">
        <f aca="false">B225+E221+B221+B223</f>
        <v>639.99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10207.99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10207.99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134.261458256767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1" sqref="A210 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20000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133.408761933113</v>
      </c>
      <c r="E33" s="215"/>
      <c r="F33" s="62"/>
      <c r="G33" s="218" t="s">
        <v>356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133.408761933113</v>
      </c>
      <c r="B36" s="102" t="n">
        <f aca="false">IF(B26="YES",H42,"")</f>
        <v>0</v>
      </c>
      <c r="C36" s="220"/>
      <c r="D36" s="183" t="n">
        <f aca="false">H31</f>
        <v>20000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59325.6915133649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-41325.6915133649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13647.2071058677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4352.7928941323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133.408761933113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133.408761933113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133.408761933113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11288.75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313.576388888889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133.408761933113</v>
      </c>
      <c r="C83" s="469"/>
      <c r="D83" s="214"/>
      <c r="E83" s="462" t="n">
        <f aca="false">B83+E80+E77+E64</f>
        <v>446.985150822002</v>
      </c>
      <c r="F83" s="62"/>
      <c r="G83" s="304" t="s">
        <v>105</v>
      </c>
      <c r="H83" s="305" t="n">
        <f aca="false">H47</f>
        <v>133.408761933113</v>
      </c>
      <c r="I83" s="214"/>
      <c r="J83" s="214"/>
      <c r="K83" s="215"/>
      <c r="L83" s="62"/>
      <c r="M83" s="304" t="s">
        <v>105</v>
      </c>
      <c r="N83" s="305" t="n">
        <f aca="false">H47</f>
        <v>133.408761933113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19309.7585155105</v>
      </c>
      <c r="C85" s="469"/>
      <c r="D85" s="469"/>
      <c r="E85" s="462" t="n">
        <f aca="false">B85/(B58+B57)</f>
        <v>536.382180986402</v>
      </c>
      <c r="F85" s="62"/>
      <c r="G85" s="287" t="s">
        <v>115</v>
      </c>
      <c r="H85" s="130" t="n">
        <f aca="false">((H83*H29)+H81)*1.2</f>
        <v>7042.15851551049</v>
      </c>
      <c r="I85" s="214"/>
      <c r="J85" s="214"/>
      <c r="K85" s="215"/>
      <c r="L85" s="62"/>
      <c r="M85" s="287" t="s">
        <v>115</v>
      </c>
      <c r="N85" s="130" t="n">
        <f aca="false">((N83*H29)+N81)</f>
        <v>5524.71542959207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136.313341678674</v>
      </c>
      <c r="C86" s="469" t="s">
        <v>231</v>
      </c>
      <c r="D86" s="214"/>
      <c r="E86" s="462" t="n">
        <f aca="false">B86/(B58+B57)</f>
        <v>3.78648171329651</v>
      </c>
      <c r="F86" s="62"/>
      <c r="G86" s="213" t="s">
        <v>116</v>
      </c>
      <c r="H86" s="299" t="n">
        <f aca="false">((((H83*H29)+H81))/(1-H70))*H70</f>
        <v>49.7126962571333</v>
      </c>
      <c r="I86" s="214"/>
      <c r="J86" s="214"/>
      <c r="K86" s="215"/>
      <c r="L86" s="62"/>
      <c r="M86" s="213" t="s">
        <v>116</v>
      </c>
      <c r="N86" s="299" t="n">
        <f aca="false">(N85/(1-N70))*N70</f>
        <v>46.8007357892027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19446.0718571892</v>
      </c>
      <c r="C87" s="469"/>
      <c r="D87" s="471"/>
      <c r="E87" s="462" t="n">
        <f aca="false">E86+E85</f>
        <v>540.168662699699</v>
      </c>
      <c r="F87" s="62"/>
      <c r="G87" s="284" t="s">
        <v>117</v>
      </c>
      <c r="H87" s="132" t="n">
        <f aca="false">IF(H110="YES",((H85+H86)-K114),(H85+H86))</f>
        <v>7091.87121176762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5571.51616538128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540.168662699699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172.972468579698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135.890638180031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540.168662699699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172.972468579698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135.890638180031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172.972468579698</v>
      </c>
      <c r="H127" s="176" t="n">
        <f aca="false">IF(G105="YES",H89*H57,0)</f>
        <v>0</v>
      </c>
      <c r="I127" s="176"/>
      <c r="J127" s="333" t="n">
        <f aca="false">H91</f>
        <v>172.972468579698</v>
      </c>
      <c r="K127" s="215"/>
      <c r="L127" s="62"/>
      <c r="M127" s="332" t="n">
        <f aca="false">N90</f>
        <v>135.890638180031</v>
      </c>
      <c r="N127" s="176" t="n">
        <f aca="false">IF(M105="YES",N89*N57,0)</f>
        <v>0</v>
      </c>
      <c r="O127" s="176"/>
      <c r="P127" s="176" t="n">
        <f aca="false">N91</f>
        <v>135.890638180031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540.168662699699</v>
      </c>
      <c r="B128" s="320" t="n">
        <f aca="false">IF(A105="YES",B89,0)</f>
        <v>0</v>
      </c>
      <c r="C128" s="324"/>
      <c r="D128" s="320" t="n">
        <f aca="false">B91</f>
        <v>540.168662699699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540.168662699699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1037.83481147819</v>
      </c>
      <c r="H133" s="102" t="n">
        <f aca="false">IF(G105="YES",H89*H57,0)</f>
        <v>0</v>
      </c>
      <c r="I133" s="220"/>
      <c r="J133" s="183" t="n">
        <f aca="false">H91*H57</f>
        <v>1037.83481147819</v>
      </c>
      <c r="K133" s="215"/>
      <c r="L133" s="62"/>
      <c r="M133" s="184" t="n">
        <f aca="false">N90*N57</f>
        <v>815.343829080187</v>
      </c>
      <c r="N133" s="102" t="n">
        <f aca="false">IF(M105="YES",N89*N57,0)</f>
        <v>0</v>
      </c>
      <c r="O133" s="220"/>
      <c r="P133" s="183" t="n">
        <f aca="false">N91*N57</f>
        <v>815.343829080187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540.168662699699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540.168662699699</v>
      </c>
      <c r="B137" s="37" t="n">
        <f aca="false">IF(A105="YES",B89,0)</f>
        <v>0</v>
      </c>
      <c r="C137" s="316"/>
      <c r="D137" s="37" t="n">
        <f aca="false">B91</f>
        <v>540.168662699699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IF(A105="YES",B61*0.000002,0)*1.2*100</f>
        <v>8.97696</v>
      </c>
      <c r="C140" s="316"/>
      <c r="D140" s="342" t="n">
        <f aca="false">A140+B140</f>
        <v>35.90784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531.991666666667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172.972468579698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135.890638180031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540.168662699699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540.168662699699</v>
      </c>
      <c r="B177" s="354" t="n">
        <f aca="false">IF(A105="YES",B89,0)</f>
        <v>0</v>
      </c>
      <c r="C177" s="356"/>
      <c r="D177" s="354" t="n">
        <f aca="false">B91</f>
        <v>540.168662699699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540.168662699699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540.168662699699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540.168662699699</v>
      </c>
      <c r="B186" s="102" t="n">
        <f aca="false">IF(A105="YES",B89,0)</f>
        <v>0</v>
      </c>
      <c r="C186" s="352"/>
      <c r="D186" s="102" t="n">
        <f aca="false">B91</f>
        <v>540.168662699699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531.991666666667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432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9667.99166666667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9667.99166666667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136.313341678674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1" sqref="A210 A3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46854.17</v>
      </c>
      <c r="C3" s="480" t="n">
        <v>0.0</v>
      </c>
      <c r="D3" s="480" t="n">
        <v>833.33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0.0</v>
      </c>
      <c r="C4" s="481" t="n">
        <v>0.0</v>
      </c>
      <c r="D4" s="481" t="n">
        <v>0.0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0.0</v>
      </c>
      <c r="C5" s="480" t="n">
        <v>0.0</v>
      </c>
      <c r="D5" s="480" t="n">
        <v>0.0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46854.17</v>
      </c>
      <c r="C7" s="31" t="n">
        <f aca="false">C3-C6</f>
        <v>0</v>
      </c>
      <c r="D7" s="31" t="n">
        <f aca="false">D3-D6</f>
        <v>833.33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640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47687.5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550.0</v>
      </c>
      <c r="F10" s="385"/>
      <c r="G10" s="385"/>
      <c r="H10" s="385"/>
      <c r="I10" s="15" t="s">
        <v>1</v>
      </c>
      <c r="J10" s="9" t="n">
        <f aca="false">E15-E11-J8</f>
        <v>48237.5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9647.5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585.0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55.0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58525</v>
      </c>
      <c r="F15" s="385"/>
      <c r="G15" s="16" t="n">
        <f aca="false">E15</f>
        <v>58525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0.0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57885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0.0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58525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45385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12.0</v>
      </c>
      <c r="B32" s="222" t="n">
        <v>5000.0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58525</v>
      </c>
      <c r="B35" s="222" t="s">
        <v>395</v>
      </c>
      <c r="C35" s="222"/>
      <c r="D35" s="278" t="n">
        <f aca="false">A35-B35</f>
        <v>57525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400</v>
      </c>
      <c r="B38" s="240" t="n">
        <f aca="false">A32-1</f>
        <v>11</v>
      </c>
      <c r="C38" s="240"/>
      <c r="D38" s="103" t="s">
        <v>398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E11</f>
        <v>9647.5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407</v>
      </c>
      <c r="B41" s="103" t="s">
        <v>410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0.0</v>
      </c>
      <c r="B44" s="103" t="s">
        <v>408</v>
      </c>
      <c r="C44" s="103"/>
      <c r="D44" s="103" t="n">
        <v>0.0</v>
      </c>
      <c r="E44" s="103"/>
      <c r="F44" s="385"/>
      <c r="G44" s="2" t="s">
        <v>65</v>
      </c>
      <c r="H44" s="2" t="n">
        <f aca="false">((H40-(((H42/(1.2))*0.2)))/(H43))</f>
        <v>720.625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-220.625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-217.958333333333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-217.958333333333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-217.958333333333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-217.958333333333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57885</v>
      </c>
      <c r="C67" s="316"/>
      <c r="D67" s="316"/>
      <c r="E67" s="317"/>
      <c r="F67" s="385"/>
      <c r="G67" s="315" t="s">
        <v>14</v>
      </c>
      <c r="H67" s="31" t="n">
        <f aca="false">G18</f>
        <v>57885</v>
      </c>
      <c r="I67" s="316"/>
      <c r="J67" s="316"/>
      <c r="K67" s="317"/>
      <c r="L67" s="385"/>
      <c r="M67" s="315" t="s">
        <v>14</v>
      </c>
      <c r="N67" s="31" t="n">
        <f aca="false">G18</f>
        <v>57885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374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4051.95</v>
      </c>
      <c r="C70" s="316" t="n">
        <v>10000.0</v>
      </c>
      <c r="D70" s="31" t="n">
        <f aca="false">B70-A149</f>
        <v>4051.95</v>
      </c>
      <c r="E70" s="317" t="n">
        <f aca="false">D70/12</f>
        <v>337.6625</v>
      </c>
      <c r="F70" s="385"/>
      <c r="G70" s="365" t="s">
        <v>91</v>
      </c>
      <c r="H70" s="64" t="n">
        <f aca="false">H67*H69</f>
        <v>4051.95</v>
      </c>
      <c r="I70" s="316"/>
      <c r="J70" s="31" t="n">
        <f aca="false">H70-G151</f>
        <v>4051.95</v>
      </c>
      <c r="K70" s="317"/>
      <c r="L70" s="385"/>
      <c r="M70" s="365" t="s">
        <v>91</v>
      </c>
      <c r="N70" s="64" t="n">
        <f aca="false">N67*N69</f>
        <v>4051.95</v>
      </c>
      <c r="O70" s="316"/>
      <c r="P70" s="31" t="n">
        <f aca="false">N70-M151</f>
        <v>4051.95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578.85</v>
      </c>
      <c r="C73" s="316"/>
      <c r="D73" s="31"/>
      <c r="E73" s="317"/>
      <c r="F73" s="385"/>
      <c r="G73" s="365" t="s">
        <v>94</v>
      </c>
      <c r="H73" s="64" t="n">
        <f aca="false">H67*H72</f>
        <v>289.425</v>
      </c>
      <c r="I73" s="316"/>
      <c r="J73" s="31"/>
      <c r="K73" s="317"/>
      <c r="L73" s="385"/>
      <c r="M73" s="365" t="s">
        <v>94</v>
      </c>
      <c r="N73" s="64" t="n">
        <f aca="false">N67*N72</f>
        <v>289.425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200.0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5.0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165.0</v>
      </c>
      <c r="C80" s="316"/>
      <c r="D80" s="316"/>
      <c r="E80" s="401" t="n">
        <f aca="false">E79+D82</f>
        <v>703.333333333333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355.0</v>
      </c>
      <c r="C81" s="316"/>
      <c r="D81" s="316"/>
      <c r="E81" s="317" t="n">
        <f aca="false">E80/12</f>
        <v>58.6111111111111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43.3333333333333</v>
      </c>
      <c r="C82" s="316"/>
      <c r="D82" s="31" t="n">
        <f aca="false">IF(A50="YES",0,B82)</f>
        <v>43.3333333333333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200.0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200.0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5421.95</v>
      </c>
      <c r="C87" s="316"/>
      <c r="D87" s="316"/>
      <c r="E87" s="317"/>
      <c r="F87" s="385"/>
      <c r="G87" s="409" t="s">
        <v>103</v>
      </c>
      <c r="H87" s="410" t="n">
        <f aca="false">SUM(J70:J86)</f>
        <v>7205.53333333333</v>
      </c>
      <c r="I87" s="316"/>
      <c r="J87" s="316"/>
      <c r="K87" s="317"/>
      <c r="L87" s="385"/>
      <c r="M87" s="409" t="s">
        <v>103</v>
      </c>
      <c r="N87" s="410" t="n">
        <f aca="false">SUM(P70:P86)</f>
        <v>7165.95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451.829166666667</v>
      </c>
      <c r="C88" s="316"/>
      <c r="D88" s="316"/>
      <c r="E88" s="317"/>
      <c r="F88" s="385"/>
      <c r="G88" s="315" t="s">
        <v>104</v>
      </c>
      <c r="H88" s="32" t="n">
        <f aca="false">H87/H29</f>
        <v>600.461111111111</v>
      </c>
      <c r="I88" s="316"/>
      <c r="J88" s="316"/>
      <c r="K88" s="317"/>
      <c r="L88" s="385"/>
      <c r="M88" s="315" t="s">
        <v>104</v>
      </c>
      <c r="N88" s="32" t="n">
        <f aca="false">N87/H29</f>
        <v>597.1625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-217.958333333333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3367.74</v>
      </c>
      <c r="C91" s="316"/>
      <c r="D91" s="316"/>
      <c r="E91" s="317"/>
      <c r="F91" s="385"/>
      <c r="G91" s="393" t="s">
        <v>115</v>
      </c>
      <c r="H91" s="26" t="n">
        <f aca="false">((H89*H29)+H87)*1.2</f>
        <v>8646.64</v>
      </c>
      <c r="I91" s="316"/>
      <c r="J91" s="316"/>
      <c r="K91" s="317"/>
      <c r="L91" s="385"/>
      <c r="M91" s="393" t="s">
        <v>115</v>
      </c>
      <c r="N91" s="26" t="n">
        <f aca="false">((N89*H29)+N87)</f>
        <v>7165.95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23.7738805970149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61.0392093586123</v>
      </c>
      <c r="I92" s="316"/>
      <c r="J92" s="316"/>
      <c r="K92" s="317"/>
      <c r="L92" s="385"/>
      <c r="M92" s="315" t="s">
        <v>116</v>
      </c>
      <c r="N92" s="32" t="n">
        <f aca="false">(N91/(1-N76))*N76</f>
        <v>60.7038926986688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3391.51388059702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10707.6792093586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9226.65389269867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282.626156716418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282.626156716418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1000.0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391</v>
      </c>
      <c r="B111" s="311" t="n">
        <v>0.0</v>
      </c>
      <c r="C111" s="311"/>
      <c r="D111" s="106" t="s">
        <v>401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391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0.0</v>
      </c>
      <c r="E118" s="106" t="n">
        <v>6000.0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2000.0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282.626156716418</v>
      </c>
      <c r="B134" s="320" t="n">
        <f aca="false">IF(A111="YES",B95,0)</f>
        <v>0</v>
      </c>
      <c r="C134" s="324"/>
      <c r="D134" s="320" t="n">
        <f aca="false">B97</f>
        <v>282.626156716418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2543.63541044776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2543.63541044776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0.35115</v>
      </c>
      <c r="H142" s="37" t="n">
        <f aca="false">IF(G111="YES",E15*0.000002,0)</f>
        <v>0.11705</v>
      </c>
      <c r="I142" s="37"/>
      <c r="J142" s="37" t="n">
        <f aca="false">G142+H142</f>
        <v>0.4682</v>
      </c>
      <c r="K142" s="104"/>
      <c r="L142" s="385"/>
      <c r="M142" s="110" t="n">
        <f aca="false">E15*0.000006</f>
        <v>0.35115</v>
      </c>
      <c r="N142" s="37" t="n">
        <f aca="false">IF(M111="YES",E15*0.000002,0)</f>
        <v>0.11705</v>
      </c>
      <c r="O142" s="37"/>
      <c r="P142" s="37" t="n">
        <f aca="false">M142+N142</f>
        <v>0.4682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282.626156716418</v>
      </c>
      <c r="B143" s="37" t="n">
        <f aca="false">IF(A111="YES",B95,0)</f>
        <v>0</v>
      </c>
      <c r="C143" s="316"/>
      <c r="D143" s="37" t="n">
        <f aca="false">B97</f>
        <v>282.626156716418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241.1875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241.1875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G18*0.000002*1.2*100</f>
        <v>13.8924</v>
      </c>
      <c r="C146" s="316"/>
      <c r="D146" s="342" t="n">
        <f aca="false">A146+B146</f>
        <v>55.5696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2901.1755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2861.1775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578.85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9647.5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1078.84166666667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282.626156716418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282.626156716418</v>
      </c>
      <c r="B177" s="354" t="n">
        <f aca="false">IF(A111="YES",B95,0)</f>
        <v>0</v>
      </c>
      <c r="C177" s="356"/>
      <c r="D177" s="354" t="n">
        <f aca="false">A177+B177</f>
        <v>282.626156716418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2543.63541044776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2543.63541044776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282.626156716418</v>
      </c>
      <c r="B186" s="102" t="n">
        <f aca="false">IF(A111="YES",B95,0)</f>
        <v>0</v>
      </c>
      <c r="C186" s="352"/>
      <c r="D186" s="102" t="n">
        <f aca="false">B97</f>
        <v>282.626156716418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G18*0.000002*1.2*100</f>
        <v>13.8924</v>
      </c>
      <c r="C189" s="352"/>
      <c r="D189" s="364" t="n">
        <f aca="false">A189+B189</f>
        <v>55.5696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578.85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1078.84166666667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4051.95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578.85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3813.09166666667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4051.95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578.85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3813.09166666667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23.7738805970149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7" colorId="64" zoomScale="85" zoomScaleNormal="85" zoomScalePageLayoutView="100" workbookViewId="0">
      <selection pane="topLeft" activeCell="B190" activeCellId="1" sqref="A210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46854.17</v>
      </c>
      <c r="C3" s="480" t="n">
        <v>0.0</v>
      </c>
      <c r="D3" s="480" t="n">
        <v>833.33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0.0</v>
      </c>
      <c r="C4" s="481" t="n">
        <v>0.0</v>
      </c>
      <c r="D4" s="481" t="n">
        <v>0.0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0.0</v>
      </c>
      <c r="C5" s="480" t="n">
        <v>0.0</v>
      </c>
      <c r="D5" s="480" t="n">
        <v>0.0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46854.17</v>
      </c>
      <c r="C7" s="31" t="n">
        <f aca="false">C3-C6</f>
        <v>0</v>
      </c>
      <c r="D7" s="31" t="n">
        <f aca="false">D3-D6</f>
        <v>833.33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640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47687.5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550.0</v>
      </c>
      <c r="F10" s="385"/>
      <c r="G10" s="385"/>
      <c r="H10" s="385"/>
      <c r="I10" s="15" t="s">
        <v>1</v>
      </c>
      <c r="J10" s="9" t="n">
        <f aca="false">E15-E11-J8</f>
        <v>48237.5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9647.5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585.0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55.0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58525</v>
      </c>
      <c r="F15" s="385"/>
      <c r="G15" s="16" t="n">
        <f aca="false">E15</f>
        <v>58525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0.0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57885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0.0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58525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45385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12.0</v>
      </c>
      <c r="B32" s="222" t="n">
        <v>5000.0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58525</v>
      </c>
      <c r="B35" s="222" t="s">
        <v>395</v>
      </c>
      <c r="C35" s="222"/>
      <c r="D35" s="278" t="n">
        <f aca="false">A35-B35</f>
        <v>57525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400</v>
      </c>
      <c r="B38" s="240" t="n">
        <f aca="false">A32-1</f>
        <v>11</v>
      </c>
      <c r="C38" s="240"/>
      <c r="D38" s="103" t="s">
        <v>398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E11</f>
        <v>9647.5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407</v>
      </c>
      <c r="B41" s="103" t="s">
        <v>410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403</v>
      </c>
      <c r="B44" s="103" t="s">
        <v>408</v>
      </c>
      <c r="C44" s="103"/>
      <c r="D44" s="103" t="s">
        <v>408</v>
      </c>
      <c r="E44" s="103"/>
      <c r="F44" s="385"/>
      <c r="G44" s="2" t="s">
        <v>65</v>
      </c>
      <c r="H44" s="2" t="n">
        <f aca="false">((H40-(((H42/(1.2))*0.2)))/(H43))</f>
        <v>720.625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-170.625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-167.958333333333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-217.958333333333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-167.958333333333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57885</v>
      </c>
      <c r="C67" s="316"/>
      <c r="D67" s="316"/>
      <c r="E67" s="317"/>
      <c r="F67" s="385"/>
      <c r="G67" s="315" t="s">
        <v>14</v>
      </c>
      <c r="H67" s="31" t="n">
        <f aca="false">G18</f>
        <v>57885</v>
      </c>
      <c r="I67" s="316"/>
      <c r="J67" s="316"/>
      <c r="K67" s="317"/>
      <c r="L67" s="385"/>
      <c r="M67" s="315" t="s">
        <v>14</v>
      </c>
      <c r="N67" s="31" t="n">
        <f aca="false">G18</f>
        <v>57885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374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4051.95</v>
      </c>
      <c r="C70" s="316" t="n">
        <v>10000.0</v>
      </c>
      <c r="D70" s="31" t="n">
        <f aca="false">B70-A149</f>
        <v>4051.95</v>
      </c>
      <c r="E70" s="317" t="n">
        <f aca="false">D70/12</f>
        <v>337.6625</v>
      </c>
      <c r="F70" s="385"/>
      <c r="G70" s="365" t="s">
        <v>91</v>
      </c>
      <c r="H70" s="64" t="n">
        <f aca="false">H67*H69</f>
        <v>4051.95</v>
      </c>
      <c r="I70" s="316"/>
      <c r="J70" s="31" t="n">
        <f aca="false">H70-G151</f>
        <v>4051.95</v>
      </c>
      <c r="K70" s="317"/>
      <c r="L70" s="385"/>
      <c r="M70" s="365" t="s">
        <v>91</v>
      </c>
      <c r="N70" s="64" t="n">
        <f aca="false">N67*N69</f>
        <v>4051.95</v>
      </c>
      <c r="O70" s="316"/>
      <c r="P70" s="31" t="n">
        <f aca="false">N70-M151</f>
        <v>4051.95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578.85</v>
      </c>
      <c r="C73" s="316"/>
      <c r="D73" s="31"/>
      <c r="E73" s="317"/>
      <c r="F73" s="385"/>
      <c r="G73" s="365" t="s">
        <v>94</v>
      </c>
      <c r="H73" s="64" t="n">
        <f aca="false">H67*H72</f>
        <v>289.425</v>
      </c>
      <c r="I73" s="316"/>
      <c r="J73" s="31"/>
      <c r="K73" s="317"/>
      <c r="L73" s="385"/>
      <c r="M73" s="365" t="s">
        <v>94</v>
      </c>
      <c r="N73" s="64" t="n">
        <f aca="false">N67*N72</f>
        <v>289.425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200.0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5.0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165.0</v>
      </c>
      <c r="C80" s="316"/>
      <c r="D80" s="316"/>
      <c r="E80" s="401" t="n">
        <f aca="false">E79+D82</f>
        <v>703.333333333333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355.0</v>
      </c>
      <c r="C81" s="316"/>
      <c r="D81" s="316"/>
      <c r="E81" s="317" t="n">
        <f aca="false">E80/12</f>
        <v>58.6111111111111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43.3333333333333</v>
      </c>
      <c r="C82" s="316"/>
      <c r="D82" s="31" t="n">
        <f aca="false">IF(A50="YES",0,B82)</f>
        <v>43.3333333333333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0</v>
      </c>
      <c r="C83" s="316"/>
      <c r="D83" s="31" t="n">
        <f aca="false">B83</f>
        <v>0</v>
      </c>
      <c r="E83" s="317" t="n">
        <f aca="false">D83/12</f>
        <v>0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0</v>
      </c>
      <c r="C84" s="316"/>
      <c r="D84" s="31" t="n">
        <f aca="false">B84</f>
        <v>0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200.0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200.0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4755.28333333333</v>
      </c>
      <c r="C87" s="316"/>
      <c r="D87" s="316"/>
      <c r="E87" s="317"/>
      <c r="F87" s="385"/>
      <c r="G87" s="409" t="s">
        <v>103</v>
      </c>
      <c r="H87" s="410" t="n">
        <f aca="false">SUM(J70:J86)</f>
        <v>7205.53333333333</v>
      </c>
      <c r="I87" s="316"/>
      <c r="J87" s="316"/>
      <c r="K87" s="317"/>
      <c r="L87" s="385"/>
      <c r="M87" s="409" t="s">
        <v>103</v>
      </c>
      <c r="N87" s="410" t="n">
        <f aca="false">SUM(P70:P86)</f>
        <v>7165.95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396.273611111111</v>
      </c>
      <c r="C88" s="316"/>
      <c r="D88" s="316"/>
      <c r="E88" s="317"/>
      <c r="F88" s="385"/>
      <c r="G88" s="315" t="s">
        <v>104</v>
      </c>
      <c r="H88" s="32" t="n">
        <f aca="false">H87/H29</f>
        <v>600.461111111111</v>
      </c>
      <c r="I88" s="316"/>
      <c r="J88" s="316"/>
      <c r="K88" s="317"/>
      <c r="L88" s="385"/>
      <c r="M88" s="315" t="s">
        <v>104</v>
      </c>
      <c r="N88" s="32" t="n">
        <f aca="false">N87/H29</f>
        <v>597.1625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-217.958333333333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2139.78333333333</v>
      </c>
      <c r="C91" s="316"/>
      <c r="D91" s="316"/>
      <c r="E91" s="317"/>
      <c r="F91" s="385"/>
      <c r="G91" s="393" t="s">
        <v>115</v>
      </c>
      <c r="H91" s="26" t="n">
        <f aca="false">((H89*H29)+H87)*1.2</f>
        <v>8646.64</v>
      </c>
      <c r="I91" s="316"/>
      <c r="J91" s="316"/>
      <c r="K91" s="317"/>
      <c r="L91" s="385"/>
      <c r="M91" s="393" t="s">
        <v>115</v>
      </c>
      <c r="N91" s="26" t="n">
        <f aca="false">((N89*H29)+N87)</f>
        <v>7165.95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18.1264421137556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61.0392093586123</v>
      </c>
      <c r="I92" s="316"/>
      <c r="J92" s="316"/>
      <c r="K92" s="317"/>
      <c r="L92" s="385"/>
      <c r="M92" s="315" t="s">
        <v>116</v>
      </c>
      <c r="N92" s="32" t="n">
        <f aca="false">(N91/(1-N76))*N76</f>
        <v>60.7038926986688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2157.90977544709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10707.6792093586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9226.65389269867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50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179.825814620591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179.825814620591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1000.0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0.0</v>
      </c>
      <c r="C108" s="106"/>
      <c r="D108" s="106" t="n">
        <v>0.0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391</v>
      </c>
      <c r="B111" s="311" t="n">
        <v>0.0</v>
      </c>
      <c r="C111" s="311"/>
      <c r="D111" s="106" t="s">
        <v>401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391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0.0</v>
      </c>
      <c r="E118" s="106" t="n">
        <v>6000.0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2000.0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179.825814620591</v>
      </c>
      <c r="B134" s="320" t="n">
        <f aca="false">IF(A111="YES",B95,0)</f>
        <v>0</v>
      </c>
      <c r="C134" s="325"/>
      <c r="D134" s="320" t="n">
        <f aca="false">B97</f>
        <v>179.825814620591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1618.43233158532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1618.43233158532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0.35115</v>
      </c>
      <c r="H142" s="37" t="n">
        <f aca="false">IF(G111="YES",E15*0.000002,0)</f>
        <v>0.11705</v>
      </c>
      <c r="I142" s="37"/>
      <c r="J142" s="37" t="n">
        <f aca="false">G142+H142</f>
        <v>0.4682</v>
      </c>
      <c r="K142" s="104"/>
      <c r="L142" s="385"/>
      <c r="M142" s="110" t="n">
        <f aca="false">E15*0.000006</f>
        <v>0.35115</v>
      </c>
      <c r="N142" s="37" t="n">
        <f aca="false">IF(M111="YES",E15*0.000002,0)</f>
        <v>0.11705</v>
      </c>
      <c r="O142" s="37"/>
      <c r="P142" s="37" t="n">
        <f aca="false">M142+N142</f>
        <v>0.4682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179.825814620591</v>
      </c>
      <c r="B143" s="37" t="n">
        <f aca="false">IF(A111="YES",B95,0)</f>
        <v>0</v>
      </c>
      <c r="C143" s="316"/>
      <c r="D143" s="37" t="n">
        <f aca="false">B97</f>
        <v>179.825814620591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241.1875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241.1875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34.731</v>
      </c>
      <c r="B146" s="342" t="n">
        <f aca="false">G18*0.000002*100</f>
        <v>11.577</v>
      </c>
      <c r="C146" s="316"/>
      <c r="D146" s="342" t="n">
        <f aca="false">A146+B146</f>
        <v>46.308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2901.1755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2861.1775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578.85</v>
      </c>
      <c r="B154" s="102" t="n">
        <f aca="false">B108</f>
        <v>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9647.5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678.84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179.825814620591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179.825814620591</v>
      </c>
      <c r="B177" s="354" t="n">
        <f aca="false">IF(A111="YES",B95,0)</f>
        <v>0</v>
      </c>
      <c r="C177" s="357"/>
      <c r="D177" s="354" t="n">
        <f aca="false">B91</f>
        <v>2139.78333333333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1618.43233158532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1618.43233158532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179.825814620591</v>
      </c>
      <c r="B186" s="102" t="n">
        <f aca="false">IF(A111="YES",B95,0)</f>
        <v>0</v>
      </c>
      <c r="C186" s="352"/>
      <c r="D186" s="102" t="n">
        <f aca="false">B97</f>
        <v>179.825814620591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34.731</v>
      </c>
      <c r="B189" s="364" t="n">
        <f aca="false">G18*0.000002*100</f>
        <v>11.577</v>
      </c>
      <c r="C189" s="352"/>
      <c r="D189" s="364" t="n">
        <f aca="false">A189+B189</f>
        <v>46.308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578.85</v>
      </c>
      <c r="B197" s="102" t="n">
        <f aca="false">B108</f>
        <v>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678.84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4051.95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578.85</v>
      </c>
      <c r="C211" s="319" t="s">
        <v>218</v>
      </c>
      <c r="D211" s="369" t="n">
        <f aca="false">B225+E221+B221+B223</f>
        <v>99.99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3573.09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4051.95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578.85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3573.09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18.1264421137556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85" colorId="64" zoomScale="85" zoomScaleNormal="85" zoomScalePageLayoutView="100" workbookViewId="0">
      <selection pane="topLeft" activeCell="A210" activeCellId="0" sqref="A210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46854.17</v>
      </c>
      <c r="C3" s="437"/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0.0</v>
      </c>
      <c r="C4" s="489"/>
      <c r="D4" s="490" t="n">
        <v>0.0</v>
      </c>
      <c r="E4" s="490"/>
      <c r="F4" s="490" t="n">
        <v>0.0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/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46854.17</v>
      </c>
      <c r="C7" s="154"/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640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/>
      <c r="F9" s="151"/>
      <c r="G9" s="138"/>
      <c r="H9" s="439" t="n">
        <f aca="false">B7+D7+F7+H3</f>
        <v>47687.5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550.0</v>
      </c>
      <c r="I10" s="2"/>
      <c r="J10" s="2"/>
      <c r="L10" s="15" t="s">
        <v>1</v>
      </c>
      <c r="M10" s="9" t="n">
        <f aca="false">H15-H11-M8</f>
        <v>48237.5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5"/>
      <c r="H11" s="32" t="n">
        <f aca="false">(H9+H10)*20%</f>
        <v>9647.5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/>
      <c r="F13" s="153"/>
      <c r="G13" s="155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55.0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58525</v>
      </c>
      <c r="I15" s="2"/>
      <c r="J15" s="16" t="n">
        <f aca="false">H15</f>
        <v>58525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57885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396</v>
      </c>
      <c r="B34" s="31"/>
      <c r="C34" s="40" t="s">
        <v>397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58525</v>
      </c>
      <c r="B37" s="31"/>
      <c r="C37" s="40" t="s">
        <v>395</v>
      </c>
      <c r="D37" s="40"/>
      <c r="E37" s="31"/>
      <c r="F37" s="42" t="n">
        <f aca="false">A37-C37</f>
        <v>57525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400</v>
      </c>
      <c r="B40" s="31"/>
      <c r="C40" s="53" t="n">
        <f aca="false">A34-1</f>
        <v>32</v>
      </c>
      <c r="D40" s="53"/>
      <c r="E40" s="31"/>
      <c r="F40" s="40" t="s">
        <v>398</v>
      </c>
      <c r="G40" s="40"/>
      <c r="H40" s="46"/>
      <c r="J40" s="2" t="s">
        <v>58</v>
      </c>
      <c r="K40" s="2" t="n">
        <f aca="false">H11</f>
        <v>9647.5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262.045454545455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237.954545454545</v>
      </c>
      <c r="L45" s="2"/>
    </row>
    <row r="46" customFormat="false" ht="19.5" hidden="false" customHeight="false" outlineLevel="0" collapsed="false">
      <c r="A46" s="39" t="n">
        <v>0.0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238.924242424242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238.924242424242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382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238.924242424242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10.0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57885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57885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57885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57885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61950.1935575788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50218.602484192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53575.5554919699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53575.5554919699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548.671875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4160.484375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542.671875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426.269521875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0.0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0.0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0.0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0.0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0.0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0.0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238.924242424242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238.924242424242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238.924242424242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57525</v>
      </c>
      <c r="C90" s="31"/>
      <c r="D90" s="31"/>
      <c r="E90" s="22"/>
      <c r="F90" s="24" t="s">
        <v>106</v>
      </c>
      <c r="G90" s="26" t="n">
        <f aca="false">F37</f>
        <v>57525</v>
      </c>
      <c r="H90" s="32"/>
      <c r="J90" s="24" t="s">
        <v>106</v>
      </c>
      <c r="K90" s="26" t="n">
        <f aca="false">P167</f>
        <v>37655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45468.749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45468.749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4379.8532592462</v>
      </c>
      <c r="C95" s="31"/>
      <c r="D95" s="31"/>
      <c r="E95" s="22"/>
      <c r="F95" s="30" t="s">
        <v>111</v>
      </c>
      <c r="G95" s="32" t="n">
        <f aca="false">(G91/((1+G93)^(G94+1)))</f>
        <v>5020.31079273804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53145.1467407538</v>
      </c>
      <c r="C97" s="31"/>
      <c r="D97" s="31"/>
      <c r="E97" s="22"/>
      <c r="F97" s="30" t="s">
        <v>113</v>
      </c>
      <c r="G97" s="32" t="n">
        <f aca="false">G90-G95</f>
        <v>52504.689207262</v>
      </c>
      <c r="H97" s="32"/>
      <c r="J97" s="30" t="s">
        <v>113</v>
      </c>
      <c r="K97" s="32" t="n">
        <f aca="false">K90-K95</f>
        <v>37655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45460.1897086168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45460.1897086168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1936.31854867434</v>
      </c>
      <c r="C98" s="31"/>
      <c r="D98" s="31"/>
      <c r="E98" s="22"/>
      <c r="F98" s="30" t="s">
        <v>114</v>
      </c>
      <c r="G98" s="32" t="n">
        <f aca="false">(G97/G96)</f>
        <v>1791.50637396928</v>
      </c>
      <c r="H98" s="32"/>
      <c r="J98" s="30" t="s">
        <v>114</v>
      </c>
      <c r="K98" s="32" t="n">
        <f aca="false">(K97/K96)</f>
        <v>1569.706327631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1674.61110912406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1674.61110912406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61962.1935575788</v>
      </c>
      <c r="C99" s="31"/>
      <c r="D99" s="31"/>
      <c r="E99" s="22"/>
      <c r="F99" s="30" t="s">
        <v>115</v>
      </c>
      <c r="G99" s="32" t="n">
        <f aca="false">((G98*(G94))+G86)</f>
        <v>57328.203967017</v>
      </c>
      <c r="H99" s="32"/>
      <c r="J99" s="30" t="s">
        <v>115</v>
      </c>
      <c r="K99" s="32" t="n">
        <f aca="false">((K98*(K94))+K86)</f>
        <v>51800.308811823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53587.5554919699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53587.5554919699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61962.1935575788</v>
      </c>
      <c r="C101" s="31"/>
      <c r="D101" s="31"/>
      <c r="E101" s="22"/>
      <c r="F101" s="55" t="s">
        <v>117</v>
      </c>
      <c r="G101" s="64" t="n">
        <f aca="false">(G99+G100)</f>
        <v>57328.203967017</v>
      </c>
      <c r="H101" s="32"/>
      <c r="J101" s="55" t="s">
        <v>117</v>
      </c>
      <c r="K101" s="64" t="n">
        <f aca="false">(K99+K100)</f>
        <v>51800.308811823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53587.5554919699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53587.5554919699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1936.31854867434</v>
      </c>
      <c r="C104" s="31"/>
      <c r="D104" s="31"/>
      <c r="E104" s="22"/>
      <c r="F104" s="94" t="s">
        <v>119</v>
      </c>
      <c r="G104" s="95" t="n">
        <f aca="false">G101/(G94)</f>
        <v>1791.50637396928</v>
      </c>
      <c r="H104" s="32"/>
      <c r="J104" s="94" t="s">
        <v>119</v>
      </c>
      <c r="K104" s="95" t="n">
        <f aca="false">K101/(K94)</f>
        <v>1569.706327631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1674.61110912406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1674.61110912406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1936.31854867434</v>
      </c>
      <c r="C105" s="31"/>
      <c r="D105" s="31"/>
      <c r="E105" s="22" t="s">
        <v>18</v>
      </c>
      <c r="F105" s="96" t="s">
        <v>120</v>
      </c>
      <c r="G105" s="97" t="n">
        <f aca="false">G103+G104</f>
        <v>1791.50637396928</v>
      </c>
      <c r="H105" s="32"/>
      <c r="J105" s="96" t="s">
        <v>120</v>
      </c>
      <c r="K105" s="97" t="n">
        <f aca="false">(K103+K104)</f>
        <v>1569.706327631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1674.61110912406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1674.61110912406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/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/>
      <c r="C114" s="102"/>
      <c r="D114" s="102"/>
      <c r="E114" s="103" t="s">
        <v>391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388</v>
      </c>
      <c r="B120" s="106" t="n">
        <v>0.0</v>
      </c>
      <c r="C120" s="106"/>
      <c r="D120" s="106"/>
      <c r="E120" s="106" t="n">
        <v>0.0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413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46854.17</v>
      </c>
      <c r="C130" s="39" t="n">
        <f aca="false">B130</f>
        <v>46854.17</v>
      </c>
      <c r="D130" s="24" t="n">
        <f aca="false">D3</f>
        <v>0</v>
      </c>
      <c r="E130" s="39" t="n">
        <f aca="false">D130</f>
        <v>0</v>
      </c>
      <c r="F130" s="24" t="n">
        <f aca="false">F3</f>
        <v>833.33</v>
      </c>
      <c r="G130" s="39" t="n">
        <f aca="false">F130</f>
        <v>833.33</v>
      </c>
      <c r="H130" s="121" t="n">
        <f aca="false">H3</f>
        <v>0</v>
      </c>
      <c r="J130" s="24" t="s">
        <v>150</v>
      </c>
      <c r="K130" s="24" t="n">
        <f aca="false">B3</f>
        <v>46854.17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833.33</v>
      </c>
      <c r="P130" s="39" t="n">
        <f aca="false">O130</f>
        <v>833.33</v>
      </c>
      <c r="Q130" s="121" t="n">
        <f aca="false">H3</f>
        <v>0</v>
      </c>
      <c r="S130" s="24" t="s">
        <v>150</v>
      </c>
      <c r="T130" s="24" t="n">
        <f aca="false">B3</f>
        <v>46854.17</v>
      </c>
      <c r="U130" s="39" t="n">
        <f aca="false">T130</f>
        <v>46854.17</v>
      </c>
      <c r="V130" s="24" t="n">
        <f aca="false">D3</f>
        <v>0</v>
      </c>
      <c r="W130" s="39" t="n">
        <f aca="false">V130</f>
        <v>0</v>
      </c>
      <c r="X130" s="24" t="n">
        <f aca="false">F3</f>
        <v>833.33</v>
      </c>
      <c r="Y130" s="39" t="n">
        <f aca="false">X130</f>
        <v>833.33</v>
      </c>
      <c r="Z130" s="121" t="n">
        <f aca="false">H3</f>
        <v>0</v>
      </c>
      <c r="AB130" s="24" t="s">
        <v>150</v>
      </c>
      <c r="AC130" s="24" t="n">
        <f aca="false">B3</f>
        <v>46854.17</v>
      </c>
      <c r="AD130" s="39" t="n">
        <f aca="false">AC130</f>
        <v>46854.17</v>
      </c>
      <c r="AE130" s="24" t="n">
        <f aca="false">D3</f>
        <v>0</v>
      </c>
      <c r="AF130" s="39" t="n">
        <f aca="false">AE130</f>
        <v>0</v>
      </c>
      <c r="AG130" s="24" t="n">
        <f aca="false">F3</f>
        <v>833.33</v>
      </c>
      <c r="AH130" s="39" t="n">
        <f aca="false">AG130</f>
        <v>833.33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11713.5425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11713.5425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46854.17</v>
      </c>
      <c r="C134" s="64" t="n">
        <f aca="false">C130-C133</f>
        <v>46854.17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833.33</v>
      </c>
      <c r="G134" s="64" t="n">
        <f aca="false">G130-G133</f>
        <v>833.33</v>
      </c>
      <c r="H134" s="64"/>
      <c r="J134" s="55" t="s">
        <v>154</v>
      </c>
      <c r="K134" s="55" t="n">
        <f aca="false">K130-K133</f>
        <v>46854.17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833.33</v>
      </c>
      <c r="P134" s="64" t="n">
        <f aca="false">P130-P133</f>
        <v>833.33</v>
      </c>
      <c r="Q134" s="64"/>
      <c r="S134" s="55" t="s">
        <v>154</v>
      </c>
      <c r="T134" s="55" t="n">
        <f aca="false">T130-T133</f>
        <v>46854.17</v>
      </c>
      <c r="U134" s="64" t="n">
        <f aca="false">U130-U133</f>
        <v>35140.6275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833.33</v>
      </c>
      <c r="Y134" s="64" t="n">
        <f aca="false">Y130-Y133</f>
        <v>833.33</v>
      </c>
      <c r="Z134" s="64"/>
      <c r="AB134" s="55" t="s">
        <v>154</v>
      </c>
      <c r="AC134" s="55" t="n">
        <f aca="false">AC130-AC133</f>
        <v>46854.17</v>
      </c>
      <c r="AD134" s="64" t="n">
        <f aca="false">AD130-AD133</f>
        <v>35140.6275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833.33</v>
      </c>
      <c r="AH134" s="64" t="n">
        <f aca="false">AH130-AH133</f>
        <v>833.33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47687.5</v>
      </c>
      <c r="H144" s="152" t="n">
        <f aca="false">C134+E134+G134+H137</f>
        <v>47687.5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47687.5</v>
      </c>
      <c r="Q144" s="152" t="n">
        <f aca="false">L134+N134+P134+Q137</f>
        <v>29462.5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47687.5</v>
      </c>
      <c r="Z144" s="152" t="n">
        <f aca="false">U134+W134+Y134+Z137</f>
        <v>35973.9575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47687.5</v>
      </c>
      <c r="AI144" s="152" t="n">
        <f aca="false">AD134+AF134+AH134+AI137</f>
        <v>35973.9575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550</v>
      </c>
      <c r="H145" s="32" t="n">
        <f aca="false">G145</f>
        <v>550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550</v>
      </c>
      <c r="Q145" s="32" t="n">
        <f aca="false">P145</f>
        <v>550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550</v>
      </c>
      <c r="Z145" s="32" t="n">
        <f aca="false">Y145</f>
        <v>550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550</v>
      </c>
      <c r="AI145" s="32" t="n">
        <f aca="false">AH145</f>
        <v>550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9647.5</v>
      </c>
      <c r="H146" s="32" t="n">
        <f aca="false">(H144+H145)*20%</f>
        <v>9647.5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9647.5</v>
      </c>
      <c r="Q146" s="32" t="n">
        <f aca="false">(Q144+Q145)*20%</f>
        <v>6002.5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9647.5</v>
      </c>
      <c r="Z146" s="32" t="n">
        <f aca="false">(Z144+Z145)*20%</f>
        <v>7304.7915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9647.5</v>
      </c>
      <c r="AI146" s="32" t="n">
        <f aca="false">(AI144+AI145)*20%</f>
        <v>7304.7915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585</v>
      </c>
      <c r="H148" s="32" t="n">
        <f aca="false">G148</f>
        <v>585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585</v>
      </c>
      <c r="Q148" s="32" t="n">
        <f aca="false">P148</f>
        <v>585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585</v>
      </c>
      <c r="Z148" s="32" t="n">
        <f aca="false">Y148</f>
        <v>585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585</v>
      </c>
      <c r="AI148" s="32" t="n">
        <f aca="false">AH148</f>
        <v>585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55</v>
      </c>
      <c r="H149" s="32" t="n">
        <f aca="false">G149</f>
        <v>55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55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55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55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58525</v>
      </c>
      <c r="H150" s="156" t="n">
        <f aca="false">(H144+H145+H148+H149+H146)-H147</f>
        <v>58525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58525</v>
      </c>
      <c r="Q150" s="156" t="n">
        <f aca="false">(Q144+Q145+Q148+Q149+Q146)-Q147</f>
        <v>36655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58525</v>
      </c>
      <c r="Z150" s="156" t="n">
        <f aca="false">(Z144+Z145+Z148+Z149+Z146)-Z147</f>
        <v>44468.749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58525</v>
      </c>
      <c r="AI150" s="156" t="n">
        <f aca="false">(AI144+AI145+AI148+AI149+AI146)-AI147</f>
        <v>44468.749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58525</v>
      </c>
      <c r="H156" s="163" t="n">
        <f aca="false">H150-((H153*1.2)+(H154*1.2)+(H155*1.2)+(H151*1.2))</f>
        <v>58525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58525</v>
      </c>
      <c r="Q156" s="163" t="n">
        <f aca="false">Q150-((Q153*1.2)+(Q154*1.2)+(Q155*1.2)+(Q151*1.2))</f>
        <v>36655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58525</v>
      </c>
      <c r="Z156" s="163" t="n">
        <f aca="false">Z150-((Z153*1.2)+(Z154*1.2)+(Z155*1.2)+(Z151*1.2))</f>
        <v>44468.749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58525</v>
      </c>
      <c r="AI156" s="163" t="n">
        <f aca="false">AI150-((AI153*1.2)+(AI154*1.2)+(AI155*1.2)+(AI151*1.2))</f>
        <v>44468.749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-47937.5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-21870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-14056.251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-14056.251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0.0</v>
      </c>
      <c r="F161" s="106"/>
      <c r="G161" s="106" t="n">
        <v>0.0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0.0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58525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37655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45468.749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45468.749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6000.0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1936.31854867434</v>
      </c>
      <c r="B176" s="176" t="n">
        <f aca="false">B103</f>
        <v>0</v>
      </c>
      <c r="C176" s="173"/>
      <c r="D176" s="173"/>
      <c r="E176" s="176" t="n">
        <f aca="false">B105</f>
        <v>1936.31854867434</v>
      </c>
      <c r="F176" s="22"/>
      <c r="G176" s="22" t="n">
        <f aca="false">ROUND(G104,2)</f>
        <v>1791.51</v>
      </c>
      <c r="H176" s="32"/>
      <c r="J176" s="175" t="n">
        <f aca="false">K104</f>
        <v>1569.706327631</v>
      </c>
      <c r="K176" s="177" t="n">
        <f aca="false">K103</f>
        <v>0</v>
      </c>
      <c r="L176" s="174"/>
      <c r="M176" s="174"/>
      <c r="N176" s="177" t="n">
        <f aca="false">K105</f>
        <v>1569.706327631</v>
      </c>
      <c r="O176" s="22"/>
      <c r="P176" s="22"/>
      <c r="Q176" s="32"/>
      <c r="S176" s="175" t="n">
        <f aca="false">T104</f>
        <v>1674.61110912406</v>
      </c>
      <c r="T176" s="177" t="n">
        <f aca="false">T103</f>
        <v>0</v>
      </c>
      <c r="U176" s="174"/>
      <c r="V176" s="174"/>
      <c r="W176" s="177" t="n">
        <f aca="false">T105</f>
        <v>1674.61110912406</v>
      </c>
      <c r="X176" s="22"/>
      <c r="Y176" s="22"/>
      <c r="Z176" s="32"/>
      <c r="AB176" s="175" t="n">
        <f aca="false">AC104</f>
        <v>1674.61110912406</v>
      </c>
      <c r="AC176" s="177" t="n">
        <f aca="false">AC103</f>
        <v>0</v>
      </c>
      <c r="AD176" s="174"/>
      <c r="AE176" s="174"/>
      <c r="AF176" s="177" t="n">
        <f aca="false">AC105</f>
        <v>1674.61110912406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33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48237.5</v>
      </c>
      <c r="B182" s="102" t="n">
        <f aca="false">H146</f>
        <v>9647.5</v>
      </c>
      <c r="C182" s="185"/>
      <c r="D182" s="22"/>
      <c r="E182" s="181" t="n">
        <f aca="false">H148+H149</f>
        <v>640</v>
      </c>
      <c r="F182" s="22"/>
      <c r="G182" s="22"/>
      <c r="H182" s="32"/>
      <c r="J182" s="184" t="n">
        <f aca="false">Q150-Q146-Q148-Q149</f>
        <v>30012.5</v>
      </c>
      <c r="K182" s="37" t="n">
        <f aca="false">Q146</f>
        <v>6002.5</v>
      </c>
      <c r="L182" s="42"/>
      <c r="M182" s="22"/>
      <c r="N182" s="183" t="n">
        <f aca="false">Q148+Q149</f>
        <v>640</v>
      </c>
      <c r="O182" s="22"/>
      <c r="P182" s="22"/>
      <c r="Q182" s="32"/>
      <c r="S182" s="184" t="n">
        <f aca="false">Z150-Z146-Z148-Z149</f>
        <v>36523.9575</v>
      </c>
      <c r="T182" s="37" t="n">
        <f aca="false">Z146</f>
        <v>7304.7915</v>
      </c>
      <c r="U182" s="42"/>
      <c r="V182" s="22"/>
      <c r="W182" s="183" t="n">
        <f aca="false">Z148+Z149</f>
        <v>640</v>
      </c>
      <c r="X182" s="22"/>
      <c r="Y182" s="22"/>
      <c r="Z182" s="32"/>
      <c r="AB182" s="184" t="n">
        <f aca="false">AI150-AI146-AI148-AI149</f>
        <v>36523.9575</v>
      </c>
      <c r="AC182" s="37" t="n">
        <f aca="false">AI146</f>
        <v>7304.7915</v>
      </c>
      <c r="AD182" s="42"/>
      <c r="AE182" s="22"/>
      <c r="AF182" s="183" t="n">
        <f aca="false">AI148+AI149</f>
        <v>640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58525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36655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44468.749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44468.749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58525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37655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45468.749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45468.749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IF(A49=0 ,(A176*B68)+E194-E188 ,(A176*B68)+E194-E188-A194)</f>
        <v>9437.19355757879</v>
      </c>
      <c r="B191" s="102" t="str">
        <f aca="false">B123</f>
        <v>199.99</v>
      </c>
      <c r="C191" s="102"/>
      <c r="D191" s="22"/>
      <c r="E191" s="102" t="n">
        <f aca="false">E188+A191+(B191*1.2)+A194</f>
        <v>68212.1815575788</v>
      </c>
      <c r="F191" s="22"/>
      <c r="G191" s="22"/>
      <c r="H191" s="104"/>
      <c r="J191" s="110" t="n">
        <f aca="false">(J176*K68)+N194-N188-J194</f>
        <v>12587.602484192</v>
      </c>
      <c r="K191" s="37" t="n">
        <f aca="false">K123</f>
        <v>239.99</v>
      </c>
      <c r="L191" s="37"/>
      <c r="M191" s="22"/>
      <c r="N191" s="37" t="n">
        <f aca="false">N188+J191+K191+J194</f>
        <v>50502.592484192</v>
      </c>
      <c r="O191" s="22"/>
      <c r="P191" s="22"/>
      <c r="Q191" s="104"/>
      <c r="S191" s="110" t="n">
        <f aca="false">(S176*T68)+W194-W188-S194</f>
        <v>8130.80649196992</v>
      </c>
      <c r="T191" s="37" t="n">
        <f aca="false">T123</f>
        <v>199.99</v>
      </c>
      <c r="U191" s="37"/>
      <c r="V191" s="22"/>
      <c r="W191" s="37" t="n">
        <f aca="false">W188+S191+T191+S194</f>
        <v>53809.5454919699</v>
      </c>
      <c r="X191" s="22"/>
      <c r="Y191" s="22"/>
      <c r="Z191" s="104"/>
      <c r="AB191" s="110" t="n">
        <f aca="false">(AB176*AC68)+AF194-AF188-AB194</f>
        <v>8130.80649196992</v>
      </c>
      <c r="AC191" s="37" t="n">
        <f aca="false">AC123</f>
        <v>239.99</v>
      </c>
      <c r="AD191" s="37"/>
      <c r="AE191" s="22"/>
      <c r="AF191" s="37" t="n">
        <f aca="false">AF188+AB191+AC191+AB194</f>
        <v>53849.5454919699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8.7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E179+A194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11.577</v>
      </c>
      <c r="B197" s="102" t="n">
        <f aca="false">(G167*B76)/1.2</f>
        <v>457.2265625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0.11705</v>
      </c>
      <c r="K197" s="37" t="n">
        <f aca="false">(P167*K76)/1.2</f>
        <v>2255.37760416667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355.2246015625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355.2246015625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557.2165625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3395.36760416667</v>
      </c>
      <c r="L200" s="31"/>
      <c r="M200" s="31"/>
      <c r="N200" s="37" t="n">
        <f aca="false">Q157</f>
        <v>-21870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1455.2146015625</v>
      </c>
      <c r="U200" s="31"/>
      <c r="V200" s="31"/>
      <c r="W200" s="37" t="n">
        <f aca="false">Z157</f>
        <v>-14056.251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1495.2146015625</v>
      </c>
      <c r="AD200" s="31"/>
      <c r="AE200" s="31"/>
      <c r="AF200" s="37" t="n">
        <f aca="false">AI157</f>
        <v>-14056.251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1936.31854867434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1569.706327631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1674.61110912406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1674.61110912406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4803.32</v>
      </c>
      <c r="B210" s="185" t="n">
        <f aca="false">ROUND((E188+A210+(B191*1.2)+A194),2)</f>
        <v>63578.31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1936.31854867434</v>
      </c>
      <c r="B221" s="176" t="n">
        <f aca="false">B176</f>
        <v>0</v>
      </c>
      <c r="C221" s="173"/>
      <c r="D221" s="173"/>
      <c r="E221" s="176" t="n">
        <f aca="false">E176</f>
        <v>1936.31854867434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48237.5</v>
      </c>
      <c r="B224" s="102" t="n">
        <f aca="false">B182</f>
        <v>9647.5</v>
      </c>
      <c r="C224" s="185"/>
      <c r="D224" s="112"/>
      <c r="E224" s="181" t="n">
        <f aca="false">E182</f>
        <v>640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58525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58525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9437.19355757879</v>
      </c>
      <c r="B233" s="102" t="str">
        <f aca="false">B191</f>
        <v>199.99</v>
      </c>
      <c r="C233" s="102"/>
      <c r="D233" s="112"/>
      <c r="E233" s="102" t="n">
        <f aca="false">E191</f>
        <v>68212.1815575788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1936.31854867434</v>
      </c>
      <c r="B239" s="102" t="n">
        <f aca="false">B176</f>
        <v>0</v>
      </c>
      <c r="C239" s="185"/>
      <c r="D239" s="185"/>
      <c r="E239" s="102" t="n">
        <f aca="false">E176</f>
        <v>1936.31854867434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34.731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11.577</v>
      </c>
      <c r="B245" s="102" t="n">
        <f aca="false">E242+A245</f>
        <v>46.308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457.2265625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557.2165625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4643.87155757879</v>
      </c>
      <c r="C263" s="196"/>
      <c r="D263" s="197" t="s">
        <v>217</v>
      </c>
      <c r="E263" s="197"/>
      <c r="F263" s="199" t="n">
        <f aca="false">F270+F276+F278+B279+B280</f>
        <v>548.671875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4195.18968257879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4643.87155757879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548.671875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4195.18968257879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84" colorId="64" zoomScale="85" zoomScaleNormal="85" zoomScalePageLayoutView="100" workbookViewId="0">
      <selection pane="topLeft" activeCell="A210" activeCellId="0" sqref="A210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46854.17</v>
      </c>
      <c r="C3" s="437"/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0.0</v>
      </c>
      <c r="C4" s="489"/>
      <c r="D4" s="490" t="n">
        <v>0.0</v>
      </c>
      <c r="E4" s="490"/>
      <c r="F4" s="490" t="n">
        <v>0.0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/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46854.17</v>
      </c>
      <c r="C7" s="154"/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640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/>
      <c r="F9" s="151"/>
      <c r="G9" s="138"/>
      <c r="H9" s="439" t="n">
        <f aca="false">B7+D7+F7+H3</f>
        <v>47687.5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550.0</v>
      </c>
      <c r="I10" s="2"/>
      <c r="J10" s="2"/>
      <c r="L10" s="15" t="s">
        <v>1</v>
      </c>
      <c r="M10" s="9" t="n">
        <f aca="false">H15-H11-M8</f>
        <v>48237.5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5"/>
      <c r="H11" s="32" t="n">
        <f aca="false">(H9+H10)*20%</f>
        <v>9647.5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/>
      <c r="F13" s="153"/>
      <c r="G13" s="155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55.0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58525</v>
      </c>
      <c r="I15" s="2"/>
      <c r="J15" s="16" t="n">
        <f aca="false">H15</f>
        <v>58525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57885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396</v>
      </c>
      <c r="B34" s="31"/>
      <c r="C34" s="40" t="s">
        <v>397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58525</v>
      </c>
      <c r="B37" s="31"/>
      <c r="C37" s="40" t="s">
        <v>395</v>
      </c>
      <c r="D37" s="40"/>
      <c r="E37" s="31"/>
      <c r="F37" s="42" t="n">
        <f aca="false">A37-C37</f>
        <v>57525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400</v>
      </c>
      <c r="B40" s="31"/>
      <c r="C40" s="53" t="n">
        <f aca="false">A34-1</f>
        <v>32</v>
      </c>
      <c r="D40" s="53"/>
      <c r="E40" s="31"/>
      <c r="F40" s="40" t="s">
        <v>398</v>
      </c>
      <c r="G40" s="40"/>
      <c r="H40" s="46"/>
      <c r="J40" s="2" t="s">
        <v>58</v>
      </c>
      <c r="K40" s="2" t="n">
        <f aca="false">H11</f>
        <v>9647.5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262.045454545455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237.954545454545</v>
      </c>
      <c r="L45" s="2"/>
    </row>
    <row r="46" customFormat="false" ht="19.5" hidden="false" customHeight="false" outlineLevel="0" collapsed="false">
      <c r="A46" s="39" t="n">
        <v>0.0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238.924242424242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238.924242424242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399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238.924242424242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10.0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57885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57885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57885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57885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61950.1935575788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50218.602484192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53575.5554919699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53575.5554919699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548.671875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4160.484375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542.671875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426.269521875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0.0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0.0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0.0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0.0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0.0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0.0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238.924242424242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238.924242424242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238.924242424242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57525</v>
      </c>
      <c r="C90" s="31"/>
      <c r="D90" s="31"/>
      <c r="E90" s="22"/>
      <c r="F90" s="24" t="s">
        <v>106</v>
      </c>
      <c r="G90" s="26" t="n">
        <f aca="false">F37</f>
        <v>57525</v>
      </c>
      <c r="H90" s="32"/>
      <c r="J90" s="24" t="s">
        <v>106</v>
      </c>
      <c r="K90" s="26" t="n">
        <f aca="false">P167</f>
        <v>37655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45468.749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45468.749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4379.8532592462</v>
      </c>
      <c r="C95" s="31"/>
      <c r="D95" s="31"/>
      <c r="E95" s="22"/>
      <c r="F95" s="30" t="s">
        <v>111</v>
      </c>
      <c r="G95" s="32" t="n">
        <f aca="false">(G91/((1+G93)^(G94+1)))</f>
        <v>5020.31079273804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53145.1467407538</v>
      </c>
      <c r="C97" s="31"/>
      <c r="D97" s="31"/>
      <c r="E97" s="22"/>
      <c r="F97" s="30" t="s">
        <v>113</v>
      </c>
      <c r="G97" s="32" t="n">
        <f aca="false">G90-G95</f>
        <v>52504.689207262</v>
      </c>
      <c r="H97" s="32"/>
      <c r="J97" s="30" t="s">
        <v>113</v>
      </c>
      <c r="K97" s="32" t="n">
        <f aca="false">K90-K95</f>
        <v>37655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45460.1897086168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45460.1897086168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1936.31854867434</v>
      </c>
      <c r="C98" s="31"/>
      <c r="D98" s="31"/>
      <c r="E98" s="22"/>
      <c r="F98" s="30" t="s">
        <v>114</v>
      </c>
      <c r="G98" s="32" t="n">
        <f aca="false">(G97/G96)</f>
        <v>1791.50637396928</v>
      </c>
      <c r="H98" s="32"/>
      <c r="J98" s="30" t="s">
        <v>114</v>
      </c>
      <c r="K98" s="32" t="n">
        <f aca="false">(K97/K96)</f>
        <v>1569.706327631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1674.61110912406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1674.61110912406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61962.1935575788</v>
      </c>
      <c r="C99" s="31"/>
      <c r="D99" s="31"/>
      <c r="E99" s="22"/>
      <c r="F99" s="30" t="s">
        <v>115</v>
      </c>
      <c r="G99" s="32" t="n">
        <f aca="false">((G98*(G94))+G86)</f>
        <v>57328.203967017</v>
      </c>
      <c r="H99" s="32"/>
      <c r="J99" s="30" t="s">
        <v>115</v>
      </c>
      <c r="K99" s="32" t="n">
        <f aca="false">((K98*(K94))+K86)</f>
        <v>51800.308811823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53587.5554919699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53587.5554919699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61962.1935575788</v>
      </c>
      <c r="C101" s="31"/>
      <c r="D101" s="31"/>
      <c r="E101" s="22"/>
      <c r="F101" s="55" t="s">
        <v>117</v>
      </c>
      <c r="G101" s="64" t="n">
        <f aca="false">(G99+G100)</f>
        <v>57328.203967017</v>
      </c>
      <c r="H101" s="32"/>
      <c r="J101" s="55" t="s">
        <v>117</v>
      </c>
      <c r="K101" s="64" t="n">
        <f aca="false">(K99+K100)</f>
        <v>51800.308811823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53587.5554919699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53587.5554919699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1936.31854867434</v>
      </c>
      <c r="C104" s="31"/>
      <c r="D104" s="31"/>
      <c r="E104" s="22"/>
      <c r="F104" s="94" t="s">
        <v>119</v>
      </c>
      <c r="G104" s="95" t="n">
        <f aca="false">G101/(G94)</f>
        <v>1791.50637396928</v>
      </c>
      <c r="H104" s="32"/>
      <c r="J104" s="94" t="s">
        <v>119</v>
      </c>
      <c r="K104" s="95" t="n">
        <f aca="false">K101/(K94)</f>
        <v>1569.706327631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1674.61110912406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1674.61110912406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1936.31854867434</v>
      </c>
      <c r="C105" s="31"/>
      <c r="D105" s="31"/>
      <c r="E105" s="22" t="s">
        <v>19</v>
      </c>
      <c r="F105" s="96" t="s">
        <v>120</v>
      </c>
      <c r="G105" s="97" t="n">
        <f aca="false">G103+G104</f>
        <v>1791.50637396928</v>
      </c>
      <c r="H105" s="32"/>
      <c r="J105" s="96" t="s">
        <v>120</v>
      </c>
      <c r="K105" s="97" t="n">
        <f aca="false">(K103+K104)</f>
        <v>1569.706327631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1674.61110912406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1674.61110912406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391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388</v>
      </c>
      <c r="B120" s="106" t="n">
        <v>0.0</v>
      </c>
      <c r="C120" s="106"/>
      <c r="D120" s="106"/>
      <c r="E120" s="106" t="n">
        <v>0.0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390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46854.17</v>
      </c>
      <c r="C130" s="39" t="n">
        <f aca="false">B130</f>
        <v>46854.17</v>
      </c>
      <c r="D130" s="24" t="n">
        <f aca="false">D3</f>
        <v>0</v>
      </c>
      <c r="E130" s="39" t="n">
        <f aca="false">D130</f>
        <v>0</v>
      </c>
      <c r="F130" s="24" t="n">
        <f aca="false">F3</f>
        <v>833.33</v>
      </c>
      <c r="G130" s="39" t="n">
        <f aca="false">F130</f>
        <v>833.33</v>
      </c>
      <c r="H130" s="121" t="n">
        <f aca="false">H3</f>
        <v>0</v>
      </c>
      <c r="J130" s="24" t="s">
        <v>150</v>
      </c>
      <c r="K130" s="24" t="n">
        <f aca="false">B3</f>
        <v>46854.17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833.33</v>
      </c>
      <c r="P130" s="39" t="n">
        <f aca="false">O130</f>
        <v>833.33</v>
      </c>
      <c r="Q130" s="121" t="n">
        <f aca="false">H3</f>
        <v>0</v>
      </c>
      <c r="S130" s="24" t="s">
        <v>150</v>
      </c>
      <c r="T130" s="24" t="n">
        <f aca="false">B3</f>
        <v>46854.17</v>
      </c>
      <c r="U130" s="39" t="n">
        <f aca="false">T130</f>
        <v>46854.17</v>
      </c>
      <c r="V130" s="24" t="n">
        <f aca="false">D3</f>
        <v>0</v>
      </c>
      <c r="W130" s="39" t="n">
        <f aca="false">V130</f>
        <v>0</v>
      </c>
      <c r="X130" s="24" t="n">
        <f aca="false">F3</f>
        <v>833.33</v>
      </c>
      <c r="Y130" s="39" t="n">
        <f aca="false">X130</f>
        <v>833.33</v>
      </c>
      <c r="Z130" s="121" t="n">
        <f aca="false">H3</f>
        <v>0</v>
      </c>
      <c r="AB130" s="24" t="s">
        <v>150</v>
      </c>
      <c r="AC130" s="24" t="n">
        <f aca="false">B3</f>
        <v>46854.17</v>
      </c>
      <c r="AD130" s="39" t="n">
        <f aca="false">AC130</f>
        <v>46854.17</v>
      </c>
      <c r="AE130" s="24" t="n">
        <f aca="false">D3</f>
        <v>0</v>
      </c>
      <c r="AF130" s="39" t="n">
        <f aca="false">AE130</f>
        <v>0</v>
      </c>
      <c r="AG130" s="24" t="n">
        <f aca="false">F3</f>
        <v>833.33</v>
      </c>
      <c r="AH130" s="39" t="n">
        <f aca="false">AG130</f>
        <v>833.33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11713.5425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11713.5425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46854.17</v>
      </c>
      <c r="C134" s="64" t="n">
        <f aca="false">C130-C133</f>
        <v>46854.17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833.33</v>
      </c>
      <c r="G134" s="64" t="n">
        <f aca="false">G130-G133</f>
        <v>833.33</v>
      </c>
      <c r="H134" s="64"/>
      <c r="J134" s="55" t="s">
        <v>154</v>
      </c>
      <c r="K134" s="55" t="n">
        <f aca="false">K130-K133</f>
        <v>46854.17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833.33</v>
      </c>
      <c r="P134" s="64" t="n">
        <f aca="false">P130-P133</f>
        <v>833.33</v>
      </c>
      <c r="Q134" s="64"/>
      <c r="S134" s="55" t="s">
        <v>154</v>
      </c>
      <c r="T134" s="55" t="n">
        <f aca="false">T130-T133</f>
        <v>46854.17</v>
      </c>
      <c r="U134" s="64" t="n">
        <f aca="false">U130-U133</f>
        <v>35140.6275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833.33</v>
      </c>
      <c r="Y134" s="64" t="n">
        <f aca="false">Y130-Y133</f>
        <v>833.33</v>
      </c>
      <c r="Z134" s="64"/>
      <c r="AB134" s="55" t="s">
        <v>154</v>
      </c>
      <c r="AC134" s="55" t="n">
        <f aca="false">AC130-AC133</f>
        <v>46854.17</v>
      </c>
      <c r="AD134" s="64" t="n">
        <f aca="false">AD130-AD133</f>
        <v>35140.6275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833.33</v>
      </c>
      <c r="AH134" s="64" t="n">
        <f aca="false">AH130-AH133</f>
        <v>833.33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47687.5</v>
      </c>
      <c r="H144" s="152" t="n">
        <f aca="false">C134+E134+G134+H137</f>
        <v>47687.5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47687.5</v>
      </c>
      <c r="Q144" s="152" t="n">
        <f aca="false">L134+N134+P134+Q137</f>
        <v>29462.5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47687.5</v>
      </c>
      <c r="Z144" s="152" t="n">
        <f aca="false">U134+W134+Y134+Z137</f>
        <v>35973.9575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47687.5</v>
      </c>
      <c r="AI144" s="152" t="n">
        <f aca="false">AD134+AF134+AH134+AI137</f>
        <v>35973.9575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550</v>
      </c>
      <c r="H145" s="32" t="n">
        <f aca="false">G145</f>
        <v>550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550</v>
      </c>
      <c r="Q145" s="32" t="n">
        <f aca="false">P145</f>
        <v>550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550</v>
      </c>
      <c r="Z145" s="32" t="n">
        <f aca="false">Y145</f>
        <v>550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550</v>
      </c>
      <c r="AI145" s="32" t="n">
        <f aca="false">AH145</f>
        <v>550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9647.5</v>
      </c>
      <c r="H146" s="32" t="n">
        <f aca="false">(H144+H145)*20%</f>
        <v>9647.5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9647.5</v>
      </c>
      <c r="Q146" s="32" t="n">
        <f aca="false">(Q144+Q145)*20%</f>
        <v>6002.5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9647.5</v>
      </c>
      <c r="Z146" s="32" t="n">
        <f aca="false">(Z144+Z145)*20%</f>
        <v>7304.7915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9647.5</v>
      </c>
      <c r="AI146" s="32" t="n">
        <f aca="false">(AI144+AI145)*20%</f>
        <v>7304.7915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585</v>
      </c>
      <c r="H148" s="32" t="n">
        <f aca="false">G148</f>
        <v>585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585</v>
      </c>
      <c r="Q148" s="32" t="n">
        <f aca="false">P148</f>
        <v>585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585</v>
      </c>
      <c r="Z148" s="32" t="n">
        <f aca="false">Y148</f>
        <v>585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585</v>
      </c>
      <c r="AI148" s="32" t="n">
        <f aca="false">AH148</f>
        <v>585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55</v>
      </c>
      <c r="H149" s="32" t="n">
        <f aca="false">G149</f>
        <v>55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55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55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55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58525</v>
      </c>
      <c r="H150" s="156" t="n">
        <f aca="false">(H144+H145+H148+H149+H146)-H147</f>
        <v>58525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58525</v>
      </c>
      <c r="Q150" s="156" t="n">
        <f aca="false">(Q144+Q145+Q148+Q149+Q146)-Q147</f>
        <v>36655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58525</v>
      </c>
      <c r="Z150" s="156" t="n">
        <f aca="false">(Z144+Z145+Z148+Z149+Z146)-Z147</f>
        <v>44468.749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58525</v>
      </c>
      <c r="AI150" s="156" t="n">
        <f aca="false">(AI144+AI145+AI148+AI149+AI146)-AI147</f>
        <v>44468.749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58525</v>
      </c>
      <c r="H156" s="163" t="n">
        <f aca="false">H150-((H153*1.2)+(H154*1.2)+(H155*1.2)+(H151*1.2))</f>
        <v>58525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58525</v>
      </c>
      <c r="Q156" s="163" t="n">
        <f aca="false">Q150-((Q153*1.2)+(Q154*1.2)+(Q155*1.2)+(Q151*1.2))</f>
        <v>36655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58525</v>
      </c>
      <c r="Z156" s="163" t="n">
        <f aca="false">Z150-((Z153*1.2)+(Z154*1.2)+(Z155*1.2)+(Z151*1.2))</f>
        <v>44468.749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58525</v>
      </c>
      <c r="AI156" s="163" t="n">
        <f aca="false">AI150-((AI153*1.2)+(AI154*1.2)+(AI155*1.2)+(AI151*1.2))</f>
        <v>44468.749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-47937.5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-21870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-14056.251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-14056.251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0.0</v>
      </c>
      <c r="F161" s="106"/>
      <c r="G161" s="106" t="n">
        <v>0.0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0.0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58525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37655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45468.749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45468.749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6000.0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1936.31854867434</v>
      </c>
      <c r="B176" s="176" t="n">
        <f aca="false">B103</f>
        <v>0</v>
      </c>
      <c r="C176" s="173"/>
      <c r="D176" s="173"/>
      <c r="E176" s="176" t="n">
        <f aca="false">B105</f>
        <v>1936.31854867434</v>
      </c>
      <c r="F176" s="22"/>
      <c r="G176" s="22" t="n">
        <f aca="false">ROUND(G104,2)</f>
        <v>1791.51</v>
      </c>
      <c r="H176" s="32"/>
      <c r="J176" s="175" t="n">
        <f aca="false">K104</f>
        <v>1569.706327631</v>
      </c>
      <c r="K176" s="177" t="n">
        <f aca="false">K103</f>
        <v>0</v>
      </c>
      <c r="L176" s="174"/>
      <c r="M176" s="174"/>
      <c r="N176" s="177" t="n">
        <f aca="false">K105</f>
        <v>1569.706327631</v>
      </c>
      <c r="O176" s="22"/>
      <c r="P176" s="22"/>
      <c r="Q176" s="32"/>
      <c r="S176" s="175" t="n">
        <f aca="false">T104</f>
        <v>1674.61110912406</v>
      </c>
      <c r="T176" s="177" t="n">
        <f aca="false">T103</f>
        <v>0</v>
      </c>
      <c r="U176" s="174"/>
      <c r="V176" s="174"/>
      <c r="W176" s="177" t="n">
        <f aca="false">T105</f>
        <v>1674.61110912406</v>
      </c>
      <c r="X176" s="22"/>
      <c r="Y176" s="22"/>
      <c r="Z176" s="32"/>
      <c r="AB176" s="175" t="n">
        <f aca="false">AC104</f>
        <v>1674.61110912406</v>
      </c>
      <c r="AC176" s="177" t="n">
        <f aca="false">AC103</f>
        <v>0</v>
      </c>
      <c r="AD176" s="174"/>
      <c r="AE176" s="174"/>
      <c r="AF176" s="177" t="n">
        <f aca="false">AC105</f>
        <v>1674.61110912406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48237.5</v>
      </c>
      <c r="B182" s="102" t="n">
        <f aca="false">H146</f>
        <v>9647.5</v>
      </c>
      <c r="C182" s="185"/>
      <c r="D182" s="22"/>
      <c r="E182" s="181" t="n">
        <f aca="false">H148+H149</f>
        <v>640</v>
      </c>
      <c r="F182" s="22"/>
      <c r="G182" s="22"/>
      <c r="H182" s="32"/>
      <c r="J182" s="184" t="n">
        <f aca="false">Q150-Q146-Q148-Q149</f>
        <v>30012.5</v>
      </c>
      <c r="K182" s="37" t="n">
        <f aca="false">Q146</f>
        <v>6002.5</v>
      </c>
      <c r="L182" s="42"/>
      <c r="M182" s="22"/>
      <c r="N182" s="183" t="n">
        <f aca="false">Q148+Q149</f>
        <v>640</v>
      </c>
      <c r="O182" s="22"/>
      <c r="P182" s="22"/>
      <c r="Q182" s="32"/>
      <c r="S182" s="184" t="n">
        <f aca="false">Z150-Z146-Z148-Z149</f>
        <v>36523.9575</v>
      </c>
      <c r="T182" s="37" t="n">
        <f aca="false">Z146</f>
        <v>7304.7915</v>
      </c>
      <c r="U182" s="42"/>
      <c r="V182" s="22"/>
      <c r="W182" s="183" t="n">
        <f aca="false">Z148+Z149</f>
        <v>640</v>
      </c>
      <c r="X182" s="22"/>
      <c r="Y182" s="22"/>
      <c r="Z182" s="32"/>
      <c r="AB182" s="184" t="n">
        <f aca="false">AI150-AI146-AI148-AI149</f>
        <v>36523.9575</v>
      </c>
      <c r="AC182" s="37" t="n">
        <f aca="false">AI146</f>
        <v>7304.7915</v>
      </c>
      <c r="AD182" s="42"/>
      <c r="AE182" s="22"/>
      <c r="AF182" s="183" t="n">
        <f aca="false">AI148+AI149</f>
        <v>640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58525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36655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44468.749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44468.749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58525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37655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45468.749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45468.749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IF(A49=0 ,(A176*B68)+E194-E188 ,(A176*B68)+E194-E188-A194)</f>
        <v>9437.19355757879</v>
      </c>
      <c r="B191" s="102" t="str">
        <f aca="false">B123</f>
        <v>239.99</v>
      </c>
      <c r="C191" s="102"/>
      <c r="D191" s="22"/>
      <c r="E191" s="102" t="n">
        <f aca="false">E188+A191+B191+A194</f>
        <v>68212.1835575788</v>
      </c>
      <c r="F191" s="22"/>
      <c r="G191" s="22"/>
      <c r="H191" s="104"/>
      <c r="J191" s="110" t="n">
        <f aca="false">(J176*K68)+N194-N188-J194</f>
        <v>12587.602484192</v>
      </c>
      <c r="K191" s="37" t="n">
        <f aca="false">K123</f>
        <v>239.99</v>
      </c>
      <c r="L191" s="37"/>
      <c r="M191" s="22"/>
      <c r="N191" s="37" t="n">
        <f aca="false">N188+J191+K191+J194</f>
        <v>50502.592484192</v>
      </c>
      <c r="O191" s="22"/>
      <c r="P191" s="22"/>
      <c r="Q191" s="104"/>
      <c r="S191" s="110" t="n">
        <f aca="false">(S176*T68)+W194-W188-S194</f>
        <v>8130.80649196992</v>
      </c>
      <c r="T191" s="37" t="n">
        <f aca="false">T123</f>
        <v>199.99</v>
      </c>
      <c r="U191" s="37"/>
      <c r="V191" s="22"/>
      <c r="W191" s="37" t="n">
        <f aca="false">W188+S191+T191+S194</f>
        <v>53809.5454919699</v>
      </c>
      <c r="X191" s="22"/>
      <c r="Y191" s="22"/>
      <c r="Z191" s="104"/>
      <c r="AB191" s="110" t="n">
        <f aca="false">(AB176*AC68)+AF194-AF188-AB194</f>
        <v>8130.80649196992</v>
      </c>
      <c r="AC191" s="37" t="n">
        <f aca="false">AC123</f>
        <v>239.99</v>
      </c>
      <c r="AD191" s="37"/>
      <c r="AE191" s="22"/>
      <c r="AF191" s="37" t="n">
        <f aca="false">AF188+AB191+AC191+AB194</f>
        <v>53849.5454919699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8.7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E179+A194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13.8924</v>
      </c>
      <c r="B197" s="102" t="n">
        <f aca="false">(G167*B76)/1.2</f>
        <v>457.2265625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0.11705</v>
      </c>
      <c r="K197" s="37" t="n">
        <f aca="false">(P167*K76)/1.2</f>
        <v>2255.37760416667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355.2246015625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355.2246015625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557.218229166667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3395.36760416667</v>
      </c>
      <c r="L200" s="31"/>
      <c r="M200" s="31"/>
      <c r="N200" s="37" t="n">
        <f aca="false">Q157</f>
        <v>-21870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1455.2146015625</v>
      </c>
      <c r="U200" s="31"/>
      <c r="V200" s="31"/>
      <c r="W200" s="37" t="n">
        <f aca="false">Z157</f>
        <v>-14056.251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1495.2146015625</v>
      </c>
      <c r="AD200" s="31"/>
      <c r="AE200" s="31"/>
      <c r="AF200" s="37" t="n">
        <f aca="false">AI157</f>
        <v>-14056.251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1936.31854867434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1569.706327631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1674.61110912406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1674.61110912406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4803.32</v>
      </c>
      <c r="B210" s="185" t="n">
        <f aca="false">E188+A210+B191+A194</f>
        <v>63578.31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1936.31854867434</v>
      </c>
      <c r="B221" s="176" t="n">
        <f aca="false">B176</f>
        <v>0</v>
      </c>
      <c r="C221" s="173"/>
      <c r="D221" s="173"/>
      <c r="E221" s="176" t="n">
        <f aca="false">E176</f>
        <v>1936.31854867434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48237.5</v>
      </c>
      <c r="B224" s="102" t="n">
        <f aca="false">B182</f>
        <v>9647.5</v>
      </c>
      <c r="C224" s="185"/>
      <c r="D224" s="112"/>
      <c r="E224" s="181" t="n">
        <f aca="false">E182</f>
        <v>640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58525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58525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9437.19355757879</v>
      </c>
      <c r="B233" s="102" t="str">
        <f aca="false">B191</f>
        <v>239.99</v>
      </c>
      <c r="C233" s="102"/>
      <c r="D233" s="112"/>
      <c r="E233" s="102" t="n">
        <f aca="false">E191</f>
        <v>68212.1835575788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1936.31854867434</v>
      </c>
      <c r="B239" s="102" t="n">
        <f aca="false">B176</f>
        <v>0</v>
      </c>
      <c r="C239" s="185"/>
      <c r="D239" s="185"/>
      <c r="E239" s="102" t="n">
        <f aca="false">E176</f>
        <v>1936.31854867434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41.6772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13.8924</v>
      </c>
      <c r="B245" s="102" t="n">
        <f aca="false">E242+A245</f>
        <v>55.5696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457.2265625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557.218229166667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4643.87355757879</v>
      </c>
      <c r="C263" s="196"/>
      <c r="D263" s="197" t="s">
        <v>217</v>
      </c>
      <c r="E263" s="197"/>
      <c r="F263" s="199" t="n">
        <f aca="false">F270+F276+F278+B279+B280</f>
        <v>548.671875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4195.19334924546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4643.87355757879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548.671875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4195.19334924546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9" activeCellId="1" sqref="A210 B18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66666.6666666667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190.81237436313</v>
      </c>
      <c r="E33" s="215"/>
      <c r="F33" s="62"/>
      <c r="G33" s="218" t="s">
        <v>356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140.81237436313</v>
      </c>
      <c r="B36" s="102" t="n">
        <f aca="false">IF(B26="YES",H42,"")</f>
        <v>50</v>
      </c>
      <c r="C36" s="220"/>
      <c r="D36" s="183" t="n">
        <f aca="false">H31</f>
        <v>66666.6666666667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57161.3120530432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-39161.3120530432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13439.5850433384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4560.41495666158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140.81237436313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190.81237436313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190.81237436313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37405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11955.4166666667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332.094907407407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140.81237436313</v>
      </c>
      <c r="C83" s="469"/>
      <c r="D83" s="214"/>
      <c r="E83" s="462" t="n">
        <f aca="false">B83+E80+E77+E64</f>
        <v>466.734442264365</v>
      </c>
      <c r="F83" s="62"/>
      <c r="G83" s="304" t="s">
        <v>105</v>
      </c>
      <c r="H83" s="305" t="n">
        <f aca="false">H47</f>
        <v>140.81237436313</v>
      </c>
      <c r="I83" s="214"/>
      <c r="J83" s="214"/>
      <c r="K83" s="215"/>
      <c r="L83" s="62"/>
      <c r="M83" s="304" t="s">
        <v>105</v>
      </c>
      <c r="N83" s="305" t="n">
        <f aca="false">H47</f>
        <v>140.81237436313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17024.6621437394</v>
      </c>
      <c r="C85" s="469"/>
      <c r="D85" s="469"/>
      <c r="E85" s="462" t="n">
        <f aca="false">B85/(B58+B57)</f>
        <v>472.907281770538</v>
      </c>
      <c r="F85" s="62"/>
      <c r="G85" s="287" t="s">
        <v>115</v>
      </c>
      <c r="H85" s="130" t="n">
        <f aca="false">((H83*H29)+H81)*1.2</f>
        <v>7361.99457248723</v>
      </c>
      <c r="I85" s="214"/>
      <c r="J85" s="214"/>
      <c r="K85" s="215"/>
      <c r="L85" s="62"/>
      <c r="M85" s="287" t="s">
        <v>115</v>
      </c>
      <c r="N85" s="130" t="n">
        <f aca="false">((N83*H29)+N81)</f>
        <v>5791.24547707269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144.218598232564</v>
      </c>
      <c r="C86" s="469" t="s">
        <v>231</v>
      </c>
      <c r="D86" s="214"/>
      <c r="E86" s="462" t="n">
        <f aca="false">B86/(B58+B57)</f>
        <v>4.00607217312678</v>
      </c>
      <c r="F86" s="62"/>
      <c r="G86" s="213" t="s">
        <v>116</v>
      </c>
      <c r="H86" s="299" t="n">
        <f aca="false">((((H83*H29)+H81))/(1-H70))*H70</f>
        <v>51.9705143277638</v>
      </c>
      <c r="I86" s="214"/>
      <c r="J86" s="214"/>
      <c r="K86" s="215"/>
      <c r="L86" s="62"/>
      <c r="M86" s="213" t="s">
        <v>116</v>
      </c>
      <c r="N86" s="299" t="n">
        <f aca="false">(N85/(1-N70))*N70</f>
        <v>49.0585538598332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17168.8807419719</v>
      </c>
      <c r="C87" s="469"/>
      <c r="D87" s="471"/>
      <c r="E87" s="462" t="n">
        <f aca="false">E86+E85</f>
        <v>476.913353943664</v>
      </c>
      <c r="F87" s="62"/>
      <c r="G87" s="284" t="s">
        <v>117</v>
      </c>
      <c r="H87" s="132" t="n">
        <f aca="false">IF(H110="YES",((H85+H86)-K114),(H85+H86))</f>
        <v>7413.96508681499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5840.30403093252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476.913353943665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180.828416751585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142.446439778842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541.913353943664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391.560124068658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318.056195876403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180.828416751585</v>
      </c>
      <c r="H127" s="176" t="n">
        <f aca="false">IF(G105="YES",H89*H57,0)</f>
        <v>1264.39024390244</v>
      </c>
      <c r="I127" s="176"/>
      <c r="J127" s="333" t="n">
        <f aca="false">H91</f>
        <v>391.560124068658</v>
      </c>
      <c r="K127" s="215"/>
      <c r="L127" s="62"/>
      <c r="M127" s="332" t="n">
        <f aca="false">N90</f>
        <v>142.446439778842</v>
      </c>
      <c r="N127" s="176" t="n">
        <f aca="false">IF(M105="YES",N89*N57,0)</f>
        <v>1053.65853658537</v>
      </c>
      <c r="O127" s="176"/>
      <c r="P127" s="176" t="n">
        <f aca="false">N91</f>
        <v>318.056195876403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476.913353943665</v>
      </c>
      <c r="B128" s="320" t="n">
        <f aca="false">IF(A105="YES",B89,0)</f>
        <v>65</v>
      </c>
      <c r="C128" s="324"/>
      <c r="D128" s="320" t="n">
        <f aca="false">B91</f>
        <v>541.913353943664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476.913353943665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1084.97050050951</v>
      </c>
      <c r="H133" s="102" t="n">
        <f aca="false">IF(G105="YES",H89*H57,0)</f>
        <v>1264.39024390244</v>
      </c>
      <c r="I133" s="220"/>
      <c r="J133" s="183" t="n">
        <f aca="false">H91*H57</f>
        <v>2349.36074441195</v>
      </c>
      <c r="K133" s="215"/>
      <c r="L133" s="62"/>
      <c r="M133" s="184" t="n">
        <f aca="false">N90*N57</f>
        <v>854.678638673052</v>
      </c>
      <c r="N133" s="102" t="n">
        <f aca="false">IF(M105="YES",N89*N57,0)</f>
        <v>1053.65853658537</v>
      </c>
      <c r="O133" s="220"/>
      <c r="P133" s="183" t="n">
        <f aca="false">N91*N57</f>
        <v>1908.33717525842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541.913353943664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476.913353943665</v>
      </c>
      <c r="B137" s="37" t="n">
        <f aca="false">IF(A105="YES",B89,0)</f>
        <v>65</v>
      </c>
      <c r="C137" s="316"/>
      <c r="D137" s="37" t="n">
        <f aca="false">B91</f>
        <v>541.913353943664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22.443</v>
      </c>
      <c r="B140" s="342" t="n">
        <f aca="false">IF(A105="YES",B61*0.000002,0)*100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985.99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391.560124068658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318.056195876403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541.913353943664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476.913353943665</v>
      </c>
      <c r="B177" s="354" t="n">
        <f aca="false">IF(A105="YES",B89,0)</f>
        <v>65</v>
      </c>
      <c r="C177" s="356"/>
      <c r="D177" s="354" t="n">
        <f aca="false">B91</f>
        <v>541.913353943664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476.913353943665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541.913353943664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476.913353943665</v>
      </c>
      <c r="B186" s="102" t="n">
        <f aca="false">IF(A105="YES",B89,0)</f>
        <v>65</v>
      </c>
      <c r="C186" s="352"/>
      <c r="D186" s="102" t="n">
        <f aca="false">B91</f>
        <v>541.913353943664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22.443</v>
      </c>
      <c r="B189" s="364" t="n">
        <f aca="false">B140</f>
        <v>7.481</v>
      </c>
      <c r="C189" s="352"/>
      <c r="D189" s="364" t="n">
        <f aca="false">A189+B189</f>
        <v>29.924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985.99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432</v>
      </c>
      <c r="C211" s="319" t="s">
        <v>218</v>
      </c>
      <c r="D211" s="369" t="n">
        <f aca="false">B225+E221+B221+B223</f>
        <v>879.99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10447.99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10447.99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144.218598232564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7" colorId="64" zoomScale="85" zoomScaleNormal="85" zoomScalePageLayoutView="100" workbookViewId="0">
      <selection pane="topLeft" activeCell="A201" activeCellId="1" sqref="A210 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46854.17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46854.17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640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 t="n">
        <f aca="false">(B7+C7+D7+E3)</f>
        <v>46854.17</v>
      </c>
      <c r="F9" s="151"/>
      <c r="G9" s="135"/>
      <c r="H9" s="439" t="n">
        <f aca="false">B7+D7+F7+H3</f>
        <v>47687.5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550.0</v>
      </c>
      <c r="I10" s="2"/>
      <c r="J10" s="2"/>
      <c r="L10" s="15" t="s">
        <v>1</v>
      </c>
      <c r="M10" s="9" t="n">
        <f aca="false">H15-H11-M8</f>
        <v>48237.5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4"/>
      <c r="H11" s="32" t="n">
        <f aca="false">(H9+H10)*20%</f>
        <v>9647.5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55.0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58525</v>
      </c>
      <c r="I15" s="2"/>
      <c r="J15" s="16" t="n">
        <f aca="false">H15</f>
        <v>58525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57885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394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395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396</v>
      </c>
      <c r="C35" s="222"/>
      <c r="D35" s="222" t="s">
        <v>397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57525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391</v>
      </c>
      <c r="C38" s="222"/>
      <c r="D38" s="103" t="s">
        <v>398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400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57885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61461.8299212152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548.671875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57525</v>
      </c>
      <c r="C81" s="92"/>
      <c r="D81" s="92"/>
      <c r="E81" s="112"/>
      <c r="F81" s="24" t="s">
        <v>106</v>
      </c>
      <c r="G81" s="26" t="n">
        <f aca="false">B81</f>
        <v>57525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53145.1467407538</v>
      </c>
      <c r="C88" s="92" t="n">
        <f aca="false">B81-B86</f>
        <v>53145.1467407538</v>
      </c>
      <c r="D88" s="92"/>
      <c r="E88" s="112"/>
      <c r="F88" s="30" t="s">
        <v>113</v>
      </c>
      <c r="G88" s="32" t="n">
        <f aca="false">G81-G86</f>
        <v>52504.689207262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1936.31854867434</v>
      </c>
      <c r="C89" s="92" t="n">
        <f aca="false">(B88/B87)</f>
        <v>1936.31854867434</v>
      </c>
      <c r="D89" s="92"/>
      <c r="E89" s="112"/>
      <c r="F89" s="30" t="s">
        <v>114</v>
      </c>
      <c r="G89" s="32" t="n">
        <f aca="false">(G88/G87)</f>
        <v>1791.50637396928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61962.1935575788</v>
      </c>
      <c r="C90" s="92"/>
      <c r="D90" s="92"/>
      <c r="E90" s="112"/>
      <c r="F90" s="30" t="s">
        <v>115</v>
      </c>
      <c r="G90" s="32" t="n">
        <f aca="false">((G89*(G85))+G77)</f>
        <v>57328.203967017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61962.1935575788</v>
      </c>
      <c r="C92" s="92"/>
      <c r="D92" s="92"/>
      <c r="E92" s="112"/>
      <c r="F92" s="55" t="s">
        <v>117</v>
      </c>
      <c r="G92" s="64" t="n">
        <f aca="false">(G90+G91)</f>
        <v>57328.203967017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1936.31854867434</v>
      </c>
      <c r="C95" s="92"/>
      <c r="D95" s="92"/>
      <c r="E95" s="112"/>
      <c r="F95" s="94" t="s">
        <v>119</v>
      </c>
      <c r="G95" s="95" t="n">
        <f aca="false">G92/(G85)</f>
        <v>1791.50637396928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1936.31854867434</v>
      </c>
      <c r="C96" s="92"/>
      <c r="D96" s="92"/>
      <c r="E96" s="112"/>
      <c r="F96" s="96" t="s">
        <v>120</v>
      </c>
      <c r="G96" s="97" t="n">
        <f aca="false">G94+G95</f>
        <v>1791.50637396928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391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393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388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390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46854.17</v>
      </c>
      <c r="C121" s="120" t="n">
        <f aca="false">B121</f>
        <v>46854.17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46854.17</v>
      </c>
      <c r="C125" s="132" t="n">
        <f aca="false">C121-C124</f>
        <v>46854.17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47687.5</v>
      </c>
      <c r="H135" s="152" t="n">
        <f aca="false">C125+E125+G125+H128</f>
        <v>47687.5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550</v>
      </c>
      <c r="H136" s="32" t="n">
        <f aca="false">G136</f>
        <v>550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9647.5</v>
      </c>
      <c r="H137" s="32" t="n">
        <f aca="false">(H135+H136)*20%</f>
        <v>9647.5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55</v>
      </c>
      <c r="H140" s="32" t="n">
        <f aca="false">G140</f>
        <v>55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58525</v>
      </c>
      <c r="H141" s="156" t="n">
        <f aca="false">(H135+H136+H139+H140+H137)-H138</f>
        <v>58525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58525</v>
      </c>
      <c r="H147" s="163" t="n">
        <f aca="false">H141-((H144*1.2)+(H145*1.2)+(H146*1.2)+(H142*1.2))</f>
        <v>58525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-47937.5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58525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1936.31854867434</v>
      </c>
      <c r="B167" s="176" t="str">
        <f aca="false">B94</f>
        <v>0</v>
      </c>
      <c r="C167" s="173"/>
      <c r="D167" s="173"/>
      <c r="E167" s="176" t="n">
        <f aca="false">B96</f>
        <v>1936.31854867434</v>
      </c>
      <c r="F167" s="22"/>
      <c r="G167" s="22" t="n">
        <f aca="false">ROUND(G95,2)</f>
        <v>1791.51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48237.5</v>
      </c>
      <c r="B173" s="102" t="n">
        <f aca="false">H137</f>
        <v>9647.5</v>
      </c>
      <c r="C173" s="185"/>
      <c r="D173" s="22"/>
      <c r="E173" s="181" t="n">
        <f aca="false">H139+H140</f>
        <v>640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58525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58525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IF(A40=0 ,(A167*B59)+E185-E179 ,(A167*B59)+E185-E179-A185)</f>
        <v>9437.19355757879</v>
      </c>
      <c r="B182" s="102" t="str">
        <f aca="false">B114</f>
        <v>239.99</v>
      </c>
      <c r="C182" s="102"/>
      <c r="D182" s="22"/>
      <c r="E182" s="102" t="n">
        <f aca="false">E179+A182+B182+A185</f>
        <v>68212.1835575788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E170+A185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13.8924</v>
      </c>
      <c r="B188" s="102" t="n">
        <f aca="false">(G158*B67)/1.2</f>
        <v>457.2265625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557.218229166667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1936.31854867434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4803.32</v>
      </c>
      <c r="B201" s="185" t="n">
        <f aca="false">E179+A201+B182+A185</f>
        <v>63578.31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1936.31854867434</v>
      </c>
      <c r="B212" s="176" t="str">
        <f aca="false">B167</f>
        <v>0</v>
      </c>
      <c r="C212" s="173"/>
      <c r="D212" s="173"/>
      <c r="E212" s="176" t="n">
        <f aca="false">E167</f>
        <v>1936.31854867434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48237.5</v>
      </c>
      <c r="B215" s="102" t="n">
        <f aca="false">B173</f>
        <v>9647.5</v>
      </c>
      <c r="C215" s="185"/>
      <c r="D215" s="112"/>
      <c r="E215" s="181" t="n">
        <f aca="false">E173</f>
        <v>640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58525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58525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9437.19355757879</v>
      </c>
      <c r="B224" s="102" t="str">
        <f aca="false">B182</f>
        <v>239.99</v>
      </c>
      <c r="C224" s="102"/>
      <c r="D224" s="112"/>
      <c r="E224" s="102" t="n">
        <f aca="false">E182</f>
        <v>68212.1835575788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1936.31854867434</v>
      </c>
      <c r="B230" s="102" t="str">
        <f aca="false">B167</f>
        <v>0</v>
      </c>
      <c r="C230" s="185"/>
      <c r="D230" s="185"/>
      <c r="E230" s="102" t="n">
        <f aca="false">E167</f>
        <v>1936.31854867434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41.6772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13.8924</v>
      </c>
      <c r="B236" s="102" t="n">
        <f aca="false">E233+A236</f>
        <v>55.5696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457.2265625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557.218229166667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4643.87355757879</v>
      </c>
      <c r="C254" s="196"/>
      <c r="D254" s="197" t="s">
        <v>217</v>
      </c>
      <c r="E254" s="197"/>
      <c r="F254" s="199" t="n">
        <f aca="false">F261+F267+F269+B270+B271</f>
        <v>548.671875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4195.19334924546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4643.87355757879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548.671875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4195.19334924546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202" activeCellId="1" sqref="A210 A20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46854.17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46854.17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46854.17</v>
      </c>
      <c r="F9" s="151"/>
      <c r="G9" s="135"/>
      <c r="H9" s="439" t="n">
        <f aca="false">B7+D7+F7+H3</f>
        <v>47687.5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550.0</v>
      </c>
      <c r="I10" s="2"/>
      <c r="J10" s="2"/>
      <c r="L10" s="15" t="s">
        <v>1</v>
      </c>
      <c r="M10" s="9" t="n">
        <f aca="false">H15-H11-M8</f>
        <v>48237.5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9647.5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55.0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58525</v>
      </c>
      <c r="I15" s="2"/>
      <c r="J15" s="16" t="n">
        <f aca="false">H15</f>
        <v>58525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57885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394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395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396</v>
      </c>
      <c r="C35" s="222"/>
      <c r="D35" s="222" t="s">
        <v>397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57525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391</v>
      </c>
      <c r="C38" s="222"/>
      <c r="D38" s="103" t="s">
        <v>398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400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57885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61461.8299212152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548.671875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57525</v>
      </c>
      <c r="C81" s="92"/>
      <c r="D81" s="92"/>
      <c r="E81" s="112"/>
      <c r="F81" s="24" t="s">
        <v>106</v>
      </c>
      <c r="G81" s="26" t="n">
        <f aca="false">B81</f>
        <v>57525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53145.1467407538</v>
      </c>
      <c r="C88" s="92" t="n">
        <f aca="false">B81-B86</f>
        <v>53145.1467407538</v>
      </c>
      <c r="D88" s="92"/>
      <c r="E88" s="112"/>
      <c r="F88" s="30" t="s">
        <v>113</v>
      </c>
      <c r="G88" s="32" t="n">
        <f aca="false">G81-G86</f>
        <v>52504.689207262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1936.31854867434</v>
      </c>
      <c r="C89" s="92" t="n">
        <f aca="false">(B88/B87)</f>
        <v>1936.31854867434</v>
      </c>
      <c r="D89" s="92"/>
      <c r="E89" s="112"/>
      <c r="F89" s="30" t="s">
        <v>114</v>
      </c>
      <c r="G89" s="32" t="n">
        <f aca="false">(G88/G87)</f>
        <v>1791.50637396928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61962.1935575788</v>
      </c>
      <c r="C90" s="92"/>
      <c r="D90" s="92"/>
      <c r="E90" s="112"/>
      <c r="F90" s="30" t="s">
        <v>115</v>
      </c>
      <c r="G90" s="32" t="n">
        <f aca="false">((G89*(G85))+G77)</f>
        <v>57328.203967017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61962.1935575788</v>
      </c>
      <c r="C92" s="92"/>
      <c r="D92" s="92"/>
      <c r="E92" s="112"/>
      <c r="F92" s="55" t="s">
        <v>117</v>
      </c>
      <c r="G92" s="64" t="n">
        <f aca="false">(G90+G91)</f>
        <v>57328.203967017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1936.31854867434</v>
      </c>
      <c r="C95" s="92"/>
      <c r="D95" s="92"/>
      <c r="E95" s="112"/>
      <c r="F95" s="94" t="s">
        <v>119</v>
      </c>
      <c r="G95" s="95" t="n">
        <f aca="false">G92/(G85)</f>
        <v>1791.50637396928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1936.31854867434</v>
      </c>
      <c r="C96" s="92"/>
      <c r="D96" s="92"/>
      <c r="E96" s="112"/>
      <c r="F96" s="96" t="s">
        <v>120</v>
      </c>
      <c r="G96" s="97" t="n">
        <f aca="false">G94+G95</f>
        <v>1791.50637396928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391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393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388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413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 t="s">
        <v>18</v>
      </c>
      <c r="B120" s="115" t="n">
        <v>0</v>
      </c>
      <c r="C120" s="116" t="s">
        <v>149</v>
      </c>
      <c r="D120" s="115" t="s">
        <v>148</v>
      </c>
      <c r="E120" s="117" t="n">
        <v>0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46854.17</v>
      </c>
      <c r="C121" s="120" t="n">
        <f aca="false">B121</f>
        <v>46854.17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46854.17</v>
      </c>
      <c r="C125" s="132" t="n">
        <f aca="false">C121-C124</f>
        <v>46854.17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47687.5</v>
      </c>
      <c r="H135" s="152" t="n">
        <f aca="false">C125+E125+G125+H128</f>
        <v>47687.5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550</v>
      </c>
      <c r="H136" s="32" t="n">
        <f aca="false">G136</f>
        <v>550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9647.5</v>
      </c>
      <c r="H137" s="32" t="n">
        <f aca="false">(H135+H136)*20%</f>
        <v>9647.5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55</v>
      </c>
      <c r="H140" s="32" t="n">
        <f aca="false">G140</f>
        <v>55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58525</v>
      </c>
      <c r="H141" s="156" t="n">
        <f aca="false">(H135+H136+H139+H140+H137)-H138</f>
        <v>58525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58525</v>
      </c>
      <c r="H147" s="163" t="n">
        <f aca="false">H141-((H144*1.2)+(H145*1.2)+(H146*1.2)+(H142*1.2))</f>
        <v>58525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-47937.5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58525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1936.31854867434</v>
      </c>
      <c r="B167" s="176" t="str">
        <f aca="false">B94</f>
        <v>0</v>
      </c>
      <c r="C167" s="173"/>
      <c r="D167" s="173"/>
      <c r="E167" s="176" t="n">
        <f aca="false">B96</f>
        <v>1936.31854867434</v>
      </c>
      <c r="F167" s="22"/>
      <c r="G167" s="22" t="n">
        <f aca="false">ROUND(G95,2)</f>
        <v>1791.51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179" t="str">
        <f aca="false">H30</f>
        <v>5000</v>
      </c>
      <c r="C170" s="180"/>
      <c r="D170" s="22"/>
      <c r="E170" s="181" t="n">
        <v>6000.0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48237.5</v>
      </c>
      <c r="B173" s="102" t="n">
        <f aca="false">H137</f>
        <v>9647.5</v>
      </c>
      <c r="C173" s="185"/>
      <c r="D173" s="22"/>
      <c r="E173" s="181" t="n">
        <f aca="false">H139+H140</f>
        <v>640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58525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58525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IF(A40=0 ,(A167*B59)+E185-E179 ,(A167*B59)+E185-E179-A185)</f>
        <v>9437.19355757879</v>
      </c>
      <c r="B182" s="102" t="str">
        <f aca="false">B114</f>
        <v>199.99</v>
      </c>
      <c r="C182" s="102"/>
      <c r="D182" s="22"/>
      <c r="E182" s="102" t="n">
        <f aca="false">E179+A182+(B182*1.2)+A185</f>
        <v>68212.1815575788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E170+A185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11.577</v>
      </c>
      <c r="B188" s="102" t="n">
        <f aca="false">(G158*B67)/1.2</f>
        <v>457.2265625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557.2165625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1936.31854867434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4803.32</v>
      </c>
      <c r="B201" s="185" t="n">
        <f aca="false">E179+A201+(B182*1.2)+A185</f>
        <v>63578.308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1936.31854867434</v>
      </c>
      <c r="B212" s="176" t="str">
        <f aca="false">B167</f>
        <v>0</v>
      </c>
      <c r="C212" s="173"/>
      <c r="D212" s="173"/>
      <c r="E212" s="176" t="n">
        <f aca="false">E167</f>
        <v>1936.31854867434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48237.5</v>
      </c>
      <c r="B215" s="102" t="n">
        <f aca="false">B173</f>
        <v>9647.5</v>
      </c>
      <c r="C215" s="185"/>
      <c r="D215" s="112"/>
      <c r="E215" s="181" t="n">
        <f aca="false">E173</f>
        <v>640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58525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58525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9437.19355757879</v>
      </c>
      <c r="B224" s="102" t="str">
        <f aca="false">B182</f>
        <v>199.99</v>
      </c>
      <c r="C224" s="102"/>
      <c r="D224" s="112"/>
      <c r="E224" s="102" t="n">
        <f aca="false">E182</f>
        <v>68212.1815575788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1936.31854867434</v>
      </c>
      <c r="B230" s="102" t="str">
        <f aca="false">B167</f>
        <v>0</v>
      </c>
      <c r="C230" s="185"/>
      <c r="D230" s="185"/>
      <c r="E230" s="102" t="n">
        <f aca="false">E167</f>
        <v>1936.31854867434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34.731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11.577</v>
      </c>
      <c r="B236" s="102" t="n">
        <f aca="false">E233+A236</f>
        <v>46.308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457.2265625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557.2165625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4643.87355757879</v>
      </c>
      <c r="C254" s="196"/>
      <c r="D254" s="197" t="s">
        <v>217</v>
      </c>
      <c r="E254" s="197"/>
      <c r="F254" s="199" t="n">
        <f aca="false">F261+F267+F269+B270+B271</f>
        <v>548.671875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4195.19168257879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4643.87355757879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548.671875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4195.19168257879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201" activeCellId="1" sqref="A210 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46854.17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46854.17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46854.17</v>
      </c>
      <c r="F9" s="151"/>
      <c r="G9" s="135"/>
      <c r="H9" s="439" t="n">
        <f aca="false">B7+D7+F7+H3</f>
        <v>47687.5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550.0</v>
      </c>
      <c r="I10" s="2"/>
      <c r="J10" s="2"/>
      <c r="L10" s="15" t="s">
        <v>1</v>
      </c>
      <c r="M10" s="9" t="n">
        <f aca="false">H15-H11-M8</f>
        <v>48237.5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9647.5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55.0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58525</v>
      </c>
      <c r="I15" s="2"/>
      <c r="J15" s="16" t="n">
        <f aca="false">H15</f>
        <v>58525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57885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394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395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396</v>
      </c>
      <c r="C35" s="222"/>
      <c r="D35" s="222" t="s">
        <v>397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57525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391</v>
      </c>
      <c r="C38" s="222"/>
      <c r="D38" s="103" t="s">
        <v>398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400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57885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61461.8299212152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548.671875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57525</v>
      </c>
      <c r="C81" s="92"/>
      <c r="D81" s="92"/>
      <c r="E81" s="112"/>
      <c r="F81" s="24" t="s">
        <v>106</v>
      </c>
      <c r="G81" s="26" t="n">
        <f aca="false">B81</f>
        <v>57525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53145.1467407538</v>
      </c>
      <c r="C88" s="92" t="n">
        <f aca="false">B81-B86</f>
        <v>53145.1467407538</v>
      </c>
      <c r="D88" s="92"/>
      <c r="E88" s="112"/>
      <c r="F88" s="30" t="s">
        <v>113</v>
      </c>
      <c r="G88" s="32" t="n">
        <f aca="false">G81-G86</f>
        <v>52504.689207262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1936.31854867434</v>
      </c>
      <c r="C89" s="92" t="n">
        <f aca="false">(B88/B87)</f>
        <v>1936.31854867434</v>
      </c>
      <c r="D89" s="92"/>
      <c r="E89" s="112"/>
      <c r="F89" s="30" t="s">
        <v>114</v>
      </c>
      <c r="G89" s="32" t="n">
        <f aca="false">(G88/G87)</f>
        <v>1791.50637396928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61962.1935575788</v>
      </c>
      <c r="C90" s="92"/>
      <c r="D90" s="92"/>
      <c r="E90" s="112"/>
      <c r="F90" s="30" t="s">
        <v>115</v>
      </c>
      <c r="G90" s="32" t="n">
        <f aca="false">((G89*(G85))+G77)</f>
        <v>57328.203967017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61962.1935575788</v>
      </c>
      <c r="C92" s="92"/>
      <c r="D92" s="92"/>
      <c r="E92" s="112"/>
      <c r="F92" s="55" t="s">
        <v>117</v>
      </c>
      <c r="G92" s="64" t="n">
        <f aca="false">(G90+G91)</f>
        <v>57328.203967017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1936.31854867434</v>
      </c>
      <c r="C95" s="92"/>
      <c r="D95" s="92"/>
      <c r="E95" s="112"/>
      <c r="F95" s="94" t="s">
        <v>119</v>
      </c>
      <c r="G95" s="95" t="n">
        <f aca="false">G92/(G85)</f>
        <v>1791.50637396928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1936.31854867434</v>
      </c>
      <c r="C96" s="92"/>
      <c r="D96" s="92"/>
      <c r="E96" s="112"/>
      <c r="F96" s="96" t="s">
        <v>120</v>
      </c>
      <c r="G96" s="97" t="n">
        <f aca="false">G94+G95</f>
        <v>1791.50637396928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391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404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388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390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46854.17</v>
      </c>
      <c r="C121" s="120" t="n">
        <f aca="false">B121</f>
        <v>46854.17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46854.17</v>
      </c>
      <c r="C125" s="132" t="n">
        <f aca="false">C121-C124</f>
        <v>46854.17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47687.5</v>
      </c>
      <c r="H135" s="152" t="n">
        <f aca="false">C125+E125+G125+H128</f>
        <v>47687.5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550</v>
      </c>
      <c r="H136" s="32" t="n">
        <f aca="false">G136</f>
        <v>550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9647.5</v>
      </c>
      <c r="H137" s="32" t="n">
        <f aca="false">(H135+H136)*20%</f>
        <v>9647.5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55</v>
      </c>
      <c r="H140" s="32" t="n">
        <f aca="false">G140</f>
        <v>55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58525</v>
      </c>
      <c r="H141" s="156" t="n">
        <f aca="false">(H135+H136+H139+H140+H137)-H138</f>
        <v>58525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58525</v>
      </c>
      <c r="H147" s="163" t="n">
        <f aca="false">H141-((H144*1.2)+(H145*1.2)+(H146*1.2)+(H142*1.2))</f>
        <v>58525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-47937.5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58525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1936.31854867434</v>
      </c>
      <c r="B167" s="176" t="str">
        <f aca="false">B94</f>
        <v>0</v>
      </c>
      <c r="C167" s="173"/>
      <c r="D167" s="173"/>
      <c r="E167" s="176" t="n">
        <f aca="false">B96</f>
        <v>1936.31854867434</v>
      </c>
      <c r="F167" s="22"/>
      <c r="G167" s="22" t="n">
        <f aca="false">ROUND(G95,2)</f>
        <v>1791.51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6000.0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48237.5</v>
      </c>
      <c r="B173" s="102" t="n">
        <f aca="false">H137</f>
        <v>9647.5</v>
      </c>
      <c r="C173" s="185"/>
      <c r="D173" s="22"/>
      <c r="E173" s="181" t="n">
        <f aca="false">H139+H140</f>
        <v>640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58525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58525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IF(A40=0 ,(A167*B59)+E185-E179 ,(A167*B59)+E185-E179-A185)</f>
        <v>9437.19355757879</v>
      </c>
      <c r="B182" s="102" t="str">
        <f aca="false">B114</f>
        <v>239.99</v>
      </c>
      <c r="C182" s="102"/>
      <c r="D182" s="22"/>
      <c r="E182" s="102" t="n">
        <f aca="false">E179+A182+B182+A185</f>
        <v>68212.1835575788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E170+A185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13.8924</v>
      </c>
      <c r="B188" s="102" t="n">
        <f aca="false">(G158*B67)/1.2</f>
        <v>457.2265625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557.218229166667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1936.31854867434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4803.32</v>
      </c>
      <c r="B201" s="185" t="n">
        <f aca="false">E179+A201+B182+A185</f>
        <v>63578.31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1936.31854867434</v>
      </c>
      <c r="B212" s="176" t="str">
        <f aca="false">B167</f>
        <v>0</v>
      </c>
      <c r="C212" s="173"/>
      <c r="D212" s="173"/>
      <c r="E212" s="176" t="n">
        <f aca="false">E167</f>
        <v>1936.31854867434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48237.5</v>
      </c>
      <c r="B215" s="102" t="n">
        <f aca="false">B173</f>
        <v>9647.5</v>
      </c>
      <c r="C215" s="185"/>
      <c r="D215" s="112"/>
      <c r="E215" s="181" t="n">
        <f aca="false">E173</f>
        <v>640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58525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58525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9437.19355757879</v>
      </c>
      <c r="B224" s="102" t="str">
        <f aca="false">B182</f>
        <v>239.99</v>
      </c>
      <c r="C224" s="102"/>
      <c r="D224" s="112"/>
      <c r="E224" s="102" t="n">
        <f aca="false">E182</f>
        <v>68212.1835575788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1936.31854867434</v>
      </c>
      <c r="B230" s="102" t="str">
        <f aca="false">B167</f>
        <v>0</v>
      </c>
      <c r="C230" s="185"/>
      <c r="D230" s="185"/>
      <c r="E230" s="102" t="n">
        <f aca="false">E167</f>
        <v>1936.31854867434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13.8924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457.2265625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557.218229166667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4643.87355757879</v>
      </c>
      <c r="C254" s="196"/>
      <c r="D254" s="197" t="s">
        <v>217</v>
      </c>
      <c r="E254" s="197"/>
      <c r="F254" s="199" t="n">
        <f aca="false">F261+F267+F269+B270+B271</f>
        <v>548.671875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4195.19334924546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4643.87355757879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548.671875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4195.19334924546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3" colorId="64" zoomScale="85" zoomScaleNormal="85" zoomScalePageLayoutView="100" workbookViewId="0">
      <selection pane="topLeft" activeCell="B190" activeCellId="1" sqref="A210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550.0</v>
      </c>
      <c r="F10" s="62"/>
      <c r="G10" s="62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8.19</v>
      </c>
      <c r="E32" s="225"/>
      <c r="F32" s="62"/>
      <c r="G32" s="226" t="s">
        <v>243</v>
      </c>
      <c r="H32" s="224" t="str">
        <f aca="false">A41</f>
        <v>8.19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508.19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388</v>
      </c>
      <c r="C38" s="222"/>
      <c r="D38" s="103" t="s">
        <v>398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414</v>
      </c>
      <c r="B41" s="240" t="n">
        <f aca="false">IF(B38="YES",D38+A41,D38)</f>
        <v>508.19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400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8.19</v>
      </c>
      <c r="I44" s="391" t="n">
        <f aca="false">((A41*(B35-1))+D32)/B35</f>
        <v>8.19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509.19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509.19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 t="n">
        <v>10000</v>
      </c>
      <c r="D70" s="290" t="n">
        <f aca="false">B70-A149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0.0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0.0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5378.61666666667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448.218055555556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11390.6166666667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96.4917103670835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11487.1083770338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9.828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957.259031419479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967.087031419479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199.99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352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388</v>
      </c>
      <c r="B111" s="311" t="n">
        <v>20.0</v>
      </c>
      <c r="C111" s="311"/>
      <c r="D111" s="106" t="s">
        <v>401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391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6000.0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957.259031419479</v>
      </c>
      <c r="B134" s="320" t="n">
        <f aca="false">IF(A111="YES",B95,0)</f>
        <v>9.828</v>
      </c>
      <c r="C134" s="325"/>
      <c r="D134" s="320" t="n">
        <f aca="false">B97</f>
        <v>967.087031419479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8615.33128277531</v>
      </c>
      <c r="C137" s="316"/>
      <c r="D137" s="37" t="n">
        <f aca="false">IF(A111="YES",B95*B63,0)</f>
        <v>88.452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8703.78328277531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957.259031419479</v>
      </c>
      <c r="B143" s="37" t="n">
        <f aca="false">IF(A111="YES",B95,0)</f>
        <v>9.828</v>
      </c>
      <c r="C143" s="316"/>
      <c r="D143" s="37" t="n">
        <f aca="false">B97</f>
        <v>967.087031419479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34.731</v>
      </c>
      <c r="B146" s="342" t="n">
        <f aca="false">G18*0.000002*100</f>
        <v>11.577</v>
      </c>
      <c r="C146" s="316"/>
      <c r="D146" s="342" t="n">
        <f aca="false">A146+B146</f>
        <v>46.308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1.9656</v>
      </c>
      <c r="H148" s="102" t="n">
        <f aca="false">G108-100</f>
        <v>139.988</v>
      </c>
      <c r="I148" s="102"/>
      <c r="J148" s="102" t="n">
        <f aca="false">(H145+J145+G148+H148)-H151</f>
        <v>1463.1411</v>
      </c>
      <c r="K148" s="104"/>
      <c r="L148" s="62"/>
      <c r="M148" s="110" t="n">
        <f aca="false">IF(M111="YES",((A41*N111)*0.1)*(M133),0)</f>
        <v>1.9656</v>
      </c>
      <c r="N148" s="102" t="n">
        <f aca="false">M108-100</f>
        <v>99.99</v>
      </c>
      <c r="O148" s="102"/>
      <c r="P148" s="102" t="n">
        <f aca="false">(N145+P145+M148+N148)-N151</f>
        <v>1423.1431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578.85</v>
      </c>
      <c r="B154" s="37" t="n">
        <f aca="false">B108</f>
        <v>400</v>
      </c>
      <c r="C154" s="37"/>
      <c r="D154" s="37" t="n">
        <f aca="false">IF(A111="YES",(A41/100*B111)*B131,0)*0.1</f>
        <v>1.9656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1080.8056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967.087031419479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957.259031419479</v>
      </c>
      <c r="B177" s="354" t="n">
        <f aca="false">IF(A111="YES",B95,0)</f>
        <v>9.828</v>
      </c>
      <c r="C177" s="357"/>
      <c r="D177" s="354" t="n">
        <f aca="false">B91</f>
        <v>11390.6166666667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8615.33128277531</v>
      </c>
      <c r="C180" s="352"/>
      <c r="D180" s="102" t="n">
        <f aca="false">IF(A111="YES",B95*B63,0)</f>
        <v>88.452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8703.78328277531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957.259031419479</v>
      </c>
      <c r="B186" s="102" t="n">
        <f aca="false">IF(A111="YES",B95,0)</f>
        <v>9.828</v>
      </c>
      <c r="C186" s="352"/>
      <c r="D186" s="102" t="n">
        <f aca="false">B97</f>
        <v>967.087031419479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34.731</v>
      </c>
      <c r="B189" s="364" t="n">
        <f aca="false">G18*0.000002*100</f>
        <v>11.577</v>
      </c>
      <c r="C189" s="352"/>
      <c r="D189" s="364" t="n">
        <f aca="false">A189+B189</f>
        <v>46.308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578.85</v>
      </c>
      <c r="B197" s="102" t="n">
        <f aca="false">B108</f>
        <v>400</v>
      </c>
      <c r="C197" s="102"/>
      <c r="D197" s="102" t="n">
        <f aca="false">IF(A111="YES",(A41/100*B111)*B131,0)*0.1</f>
        <v>1.9656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1080.8056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4051.95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578.85</v>
      </c>
      <c r="C211" s="319" t="s">
        <v>218</v>
      </c>
      <c r="D211" s="369" t="n">
        <f aca="false">B225+E221+B221+B223</f>
        <v>359.646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3832.746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4051.95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578.85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3832.746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19.656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96.4917103670835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1" sqref="A210 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550.0</v>
      </c>
      <c r="F10" s="62"/>
      <c r="G10" s="62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8.19</v>
      </c>
      <c r="E32" s="225"/>
      <c r="F32" s="62"/>
      <c r="G32" s="226" t="s">
        <v>243</v>
      </c>
      <c r="H32" s="224" t="str">
        <f aca="false">A41</f>
        <v>8.19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508.19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388</v>
      </c>
      <c r="C38" s="222"/>
      <c r="D38" s="103" t="s">
        <v>398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414</v>
      </c>
      <c r="B41" s="240" t="n">
        <f aca="false">IF(B38="YES",D38+A41,D38)</f>
        <v>508.19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400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8.19</v>
      </c>
      <c r="I44" s="391" t="n">
        <f aca="false">((A41*(B35-1))+D32)/B35</f>
        <v>8.19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509.19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509.19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 t="n">
        <v>10000.0</v>
      </c>
      <c r="D70" s="290" t="n">
        <f aca="false">B70-A149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5421.95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451.829166666667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13720.74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96.8587938684954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13817.5987938685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12.7764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1151.46656615571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1164.24296615571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239.99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352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388</v>
      </c>
      <c r="B111" s="311" t="n">
        <v>30.0</v>
      </c>
      <c r="C111" s="311"/>
      <c r="D111" s="106" t="s">
        <v>401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391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6000.0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1151.46656615571</v>
      </c>
      <c r="B134" s="320" t="n">
        <f aca="false">IF(A111="YES",B95,0)</f>
        <v>12.7764</v>
      </c>
      <c r="C134" s="325"/>
      <c r="D134" s="320" t="n">
        <f aca="false">B97</f>
        <v>1164.24296615571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10363.1990954014</v>
      </c>
      <c r="C137" s="316"/>
      <c r="D137" s="37" t="n">
        <f aca="false">IF(A111="YES",B95*B63,0)</f>
        <v>114.9876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10478.1866954014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1151.46656615571</v>
      </c>
      <c r="B143" s="37" t="n">
        <f aca="false">IF(A111="YES",B95,0)</f>
        <v>12.7764</v>
      </c>
      <c r="C143" s="316"/>
      <c r="D143" s="37" t="n">
        <f aca="false">B97</f>
        <v>1164.24296615571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G18*0.000002*1.2*100</f>
        <v>13.8924</v>
      </c>
      <c r="C146" s="316"/>
      <c r="D146" s="342" t="n">
        <f aca="false">A146+B146</f>
        <v>55.5696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1.9656</v>
      </c>
      <c r="H148" s="102" t="n">
        <f aca="false">G108-100</f>
        <v>139.988</v>
      </c>
      <c r="I148" s="102"/>
      <c r="J148" s="102" t="n">
        <f aca="false">(H145+J145+G148+H148)-H151</f>
        <v>1463.1411</v>
      </c>
      <c r="K148" s="104"/>
      <c r="L148" s="62"/>
      <c r="M148" s="110" t="n">
        <f aca="false">IF(M111="YES",((A41*N111)*0.1)*(M133),0)</f>
        <v>1.9656</v>
      </c>
      <c r="N148" s="102" t="n">
        <f aca="false">M108-100</f>
        <v>99.99</v>
      </c>
      <c r="O148" s="102"/>
      <c r="P148" s="102" t="n">
        <f aca="false">(N145+P145+M148+N148)-N151</f>
        <v>1423.1431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578.85</v>
      </c>
      <c r="B154" s="37" t="n">
        <f aca="false">B108</f>
        <v>400</v>
      </c>
      <c r="C154" s="37"/>
      <c r="D154" s="37" t="n">
        <f aca="false">IF(A111="YES",(A41/100*B111)*B131,0)*0.1</f>
        <v>2.9484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1081.79006666667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1164.24296615571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1151.46656615571</v>
      </c>
      <c r="B177" s="354" t="n">
        <f aca="false">IF(A111="YES",B95,0)</f>
        <v>12.7764</v>
      </c>
      <c r="C177" s="357"/>
      <c r="D177" s="354" t="n">
        <f aca="false">B91</f>
        <v>13720.74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10363.1990954014</v>
      </c>
      <c r="C180" s="352"/>
      <c r="D180" s="102" t="n">
        <f aca="false">IF(A111="YES",B95*B63,0)</f>
        <v>114.9876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10478.1866954014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1151.46656615571</v>
      </c>
      <c r="B186" s="102" t="n">
        <f aca="false">IF(A111="YES",B95,0)</f>
        <v>12.7764</v>
      </c>
      <c r="C186" s="352"/>
      <c r="D186" s="102" t="n">
        <f aca="false">B97</f>
        <v>1164.24296615571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G18*0.000002*1.2*100</f>
        <v>13.8924</v>
      </c>
      <c r="C189" s="352"/>
      <c r="D189" s="364" t="n">
        <f aca="false">A189+B189</f>
        <v>55.5696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578.85</v>
      </c>
      <c r="B197" s="102" t="n">
        <f aca="false">B108</f>
        <v>400</v>
      </c>
      <c r="C197" s="102"/>
      <c r="D197" s="102" t="n">
        <f aca="false">IF(A111="YES",(A41/100*B111)*B131,0)*0.1</f>
        <v>2.9484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1081.79006666667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4051.95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578.85</v>
      </c>
      <c r="C211" s="319" t="s">
        <v>218</v>
      </c>
      <c r="D211" s="369" t="n">
        <f aca="false">B225+E221+B221+B223</f>
        <v>369.475666666667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3842.57566666667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4051.95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578.85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3842.57566666667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29.484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96.8587938684954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B190" activeCellId="1" sqref="A210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498" t="n">
        <f aca="false">B7+C7+D7+E3</f>
        <v>47687.5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550.0</v>
      </c>
      <c r="F10" s="62"/>
      <c r="G10" s="62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(E9+E10)*20%</f>
        <v>9647.5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391</v>
      </c>
      <c r="C38" s="222"/>
      <c r="D38" s="103" t="s">
        <v>398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400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 t="n">
        <v>10000</v>
      </c>
      <c r="D70" s="290" t="n">
        <f aca="false">B70-A149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5421.95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451.829166666667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11433.95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96.8587938684954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11530.8087938685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960.900732822375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960.900732822375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391</v>
      </c>
      <c r="B111" s="311" t="n">
        <v>0.0</v>
      </c>
      <c r="C111" s="311"/>
      <c r="D111" s="106" t="s">
        <v>401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391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6000.0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960.900732822375</v>
      </c>
      <c r="B134" s="320" t="n">
        <f aca="false">IF(A111="YES",B95,0)</f>
        <v>0</v>
      </c>
      <c r="C134" s="325"/>
      <c r="D134" s="320" t="n">
        <f aca="false">B97</f>
        <v>960.900732822375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8648.10659540137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8648.10659540137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960.900732822375</v>
      </c>
      <c r="B143" s="37" t="n">
        <f aca="false">IF(A111="YES",B95,0)</f>
        <v>0</v>
      </c>
      <c r="C143" s="316"/>
      <c r="D143" s="37" t="n">
        <f aca="false">B97</f>
        <v>960.900732822375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34.731</v>
      </c>
      <c r="B146" s="342" t="n">
        <f aca="false">G18*0.000002*100</f>
        <v>11.577</v>
      </c>
      <c r="C146" s="316"/>
      <c r="D146" s="342" t="n">
        <f aca="false">A146+B146</f>
        <v>46.308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1461.1755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1421.1775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578.85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1078.84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960.900732822375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960.900732822375</v>
      </c>
      <c r="B177" s="354" t="n">
        <f aca="false">IF(A111="YES",B95,0)</f>
        <v>0</v>
      </c>
      <c r="C177" s="357"/>
      <c r="D177" s="354" t="n">
        <f aca="false">B91</f>
        <v>11433.95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8648.10659540137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8648.10659540137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960.900732822375</v>
      </c>
      <c r="B186" s="102" t="n">
        <f aca="false">IF(A111="YES",B95,0)</f>
        <v>0</v>
      </c>
      <c r="C186" s="352"/>
      <c r="D186" s="102" t="n">
        <f aca="false">B97</f>
        <v>960.900732822375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34.731</v>
      </c>
      <c r="B189" s="364" t="n">
        <f aca="false">G18*0.000002*100</f>
        <v>11.577</v>
      </c>
      <c r="C189" s="352"/>
      <c r="D189" s="364" t="n">
        <f aca="false">A189+B189</f>
        <v>46.308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578.85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1078.84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4051.95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578.85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3813.09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4051.95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578.85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3813.09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96.8587938684954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10" colorId="64" zoomScale="85" zoomScaleNormal="85" zoomScalePageLayoutView="100" workbookViewId="0">
      <selection pane="topLeft" activeCell="B190" activeCellId="1" sqref="A210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550.0</v>
      </c>
      <c r="F10" s="62"/>
      <c r="G10" s="62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60</v>
      </c>
      <c r="E32" s="225"/>
      <c r="F32" s="62"/>
      <c r="G32" s="226" t="s">
        <v>243</v>
      </c>
      <c r="H32" s="224" t="str">
        <f aca="false">A41</f>
        <v>60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560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388</v>
      </c>
      <c r="C38" s="222"/>
      <c r="D38" s="103" t="s">
        <v>398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392</v>
      </c>
      <c r="B41" s="240" t="n">
        <f aca="false">IF(B38="YES",D38+A41,D38)</f>
        <v>560</v>
      </c>
      <c r="C41" s="240"/>
      <c r="D41" s="103" t="s">
        <v>407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400</v>
      </c>
      <c r="B44" s="103" t="s">
        <v>408</v>
      </c>
      <c r="C44" s="103"/>
      <c r="D44" s="103" t="s">
        <v>415</v>
      </c>
      <c r="E44" s="103"/>
      <c r="F44" s="62"/>
      <c r="G44" s="62" t="s">
        <v>257</v>
      </c>
      <c r="H44" s="237" t="str">
        <f aca="false">H32</f>
        <v>60</v>
      </c>
      <c r="I44" s="391" t="n">
        <f aca="false">((A41*(B35-1))+D32)/B35</f>
        <v>60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561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409</v>
      </c>
      <c r="C47" s="425"/>
      <c r="D47" s="103" t="s">
        <v>409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561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 t="n">
        <v>10000.0</v>
      </c>
      <c r="D70" s="290" t="n">
        <f aca="false">B70-A149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0.0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0.0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4711.95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392.6625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10723.95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90.8442718838241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10814.7942718838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901.232855990319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901.232855990319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0.0</v>
      </c>
      <c r="C108" s="106"/>
      <c r="D108" s="106" t="n">
        <v>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391</v>
      </c>
      <c r="B111" s="313" t="n">
        <v>0.0</v>
      </c>
      <c r="C111" s="313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391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6000.0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901.232855990319</v>
      </c>
      <c r="B134" s="320" t="n">
        <f aca="false">IF(A111="YES",B95,0)</f>
        <v>0</v>
      </c>
      <c r="C134" s="325"/>
      <c r="D134" s="320" t="n">
        <f aca="false">B97</f>
        <v>901.232855990319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901.232855990319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901.232855990319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901.232855990319</v>
      </c>
      <c r="B143" s="37" t="n">
        <f aca="false">IF(A111="YES",B95,0)</f>
        <v>0</v>
      </c>
      <c r="C143" s="316"/>
      <c r="D143" s="37" t="n">
        <f aca="false">B97</f>
        <v>901.232855990319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34.731</v>
      </c>
      <c r="B146" s="342" t="n">
        <f aca="false">G18*0.000002*100</f>
        <v>11.577</v>
      </c>
      <c r="C146" s="316"/>
      <c r="D146" s="342" t="n">
        <f aca="false">A146+B146</f>
        <v>46.308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14.4</v>
      </c>
      <c r="H148" s="102" t="n">
        <f aca="false">G108-100</f>
        <v>139.988</v>
      </c>
      <c r="I148" s="102"/>
      <c r="J148" s="102" t="n">
        <f aca="false">(H145+J145+G148+H148)-H151</f>
        <v>1475.5755</v>
      </c>
      <c r="K148" s="104"/>
      <c r="L148" s="62"/>
      <c r="M148" s="110" t="n">
        <f aca="false">IF(M111="YES",((A41*N111)*0.1)*(M133),0)</f>
        <v>14.4</v>
      </c>
      <c r="N148" s="102" t="n">
        <f aca="false">M108-100</f>
        <v>99.99</v>
      </c>
      <c r="O148" s="102"/>
      <c r="P148" s="102" t="n">
        <f aca="false">(N145+P145+M148+N148)-N151</f>
        <v>1435.5775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578.85</v>
      </c>
      <c r="B154" s="102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678.84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901.232855990319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901.232855990319</v>
      </c>
      <c r="B177" s="354" t="n">
        <f aca="false">IF(A111="YES",B95,0)</f>
        <v>0</v>
      </c>
      <c r="C177" s="357"/>
      <c r="D177" s="354" t="n">
        <f aca="false">B91</f>
        <v>10723.95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901.232855990319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901.232855990319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901.232855990319</v>
      </c>
      <c r="B186" s="102" t="n">
        <f aca="false">IF(A111="YES",B95,0)</f>
        <v>0</v>
      </c>
      <c r="C186" s="352"/>
      <c r="D186" s="102" t="n">
        <f aca="false">B97</f>
        <v>901.232855990319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34.731</v>
      </c>
      <c r="B189" s="364" t="n">
        <f aca="false">G18*0.000002*100</f>
        <v>11.577</v>
      </c>
      <c r="C189" s="352"/>
      <c r="D189" s="364" t="n">
        <f aca="false">A189+B189</f>
        <v>46.308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578.85</v>
      </c>
      <c r="B197" s="102" t="n">
        <f aca="false">B108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678.84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4051.95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578.85</v>
      </c>
      <c r="C211" s="319" t="s">
        <v>218</v>
      </c>
      <c r="D211" s="369" t="n">
        <f aca="false">B225+E221+B221+B223</f>
        <v>99.99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3573.09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4051.95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578.85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3573.09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90.8442718838241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1" sqref="A210 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550.0</v>
      </c>
      <c r="F10" s="62"/>
      <c r="G10" s="62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391</v>
      </c>
      <c r="C38" s="222"/>
      <c r="D38" s="103" t="s">
        <v>398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389</v>
      </c>
      <c r="B41" s="240" t="str">
        <f aca="false">IF(B38="YES",D38+A41,D38)</f>
        <v>500</v>
      </c>
      <c r="C41" s="240"/>
      <c r="D41" s="103" t="s">
        <v>407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400</v>
      </c>
      <c r="B44" s="103" t="s">
        <v>408</v>
      </c>
      <c r="C44" s="103"/>
      <c r="D44" s="103" t="s">
        <v>389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409</v>
      </c>
      <c r="C47" s="425"/>
      <c r="D47" s="103" t="s">
        <v>409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 t="n">
        <v>10000.0</v>
      </c>
      <c r="D70" s="290" t="n">
        <f aca="false">B70-A149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5421.95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451.829166666667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13720.74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96.8587938684954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13817.5987938685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1151.46656615571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1151.46656615571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391</v>
      </c>
      <c r="B111" s="311" t="n">
        <v>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391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6000.0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1151.46656615571</v>
      </c>
      <c r="B134" s="320" t="n">
        <f aca="false">IF(A111="YES",B95,0)</f>
        <v>0</v>
      </c>
      <c r="C134" s="325"/>
      <c r="D134" s="320" t="n">
        <f aca="false">B97</f>
        <v>1151.46656615571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1151.46656615571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1151.46656615571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1151.46656615571</v>
      </c>
      <c r="B143" s="37" t="n">
        <f aca="false">IF(A111="YES",B95,0)</f>
        <v>0</v>
      </c>
      <c r="C143" s="316"/>
      <c r="D143" s="37" t="n">
        <f aca="false">B97</f>
        <v>1151.46656615571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G18*0.000002*1.2*100</f>
        <v>13.8924</v>
      </c>
      <c r="C146" s="316"/>
      <c r="D146" s="342" t="n">
        <f aca="false">A146+B146</f>
        <v>55.5696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1461.1755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1421.1775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578.85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1078.84166666667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1151.46656615571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1151.46656615571</v>
      </c>
      <c r="B177" s="354" t="n">
        <f aca="false">IF(A111="YES",B95,0)</f>
        <v>0</v>
      </c>
      <c r="C177" s="357"/>
      <c r="D177" s="354" t="n">
        <f aca="false">B97</f>
        <v>1151.46656615571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1151.46656615571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1151.46656615571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1151.46656615571</v>
      </c>
      <c r="B186" s="102" t="n">
        <f aca="false">IF(A111="YES",B95,0)</f>
        <v>0</v>
      </c>
      <c r="C186" s="352"/>
      <c r="D186" s="102" t="n">
        <f aca="false">B97</f>
        <v>1151.46656615571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G18*0.000002*1.2*100</f>
        <v>13.8924</v>
      </c>
      <c r="C189" s="352"/>
      <c r="D189" s="364" t="n">
        <f aca="false">A189+B189</f>
        <v>55.5696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578.85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1078.84166666667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4051.95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578.85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3813.09166666667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4051.95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578.85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3813.09166666667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96.8587938684954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B190" activeCellId="1" sqref="A210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550.0</v>
      </c>
      <c r="F10" s="62"/>
      <c r="G10" s="62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388</v>
      </c>
      <c r="C38" s="222"/>
      <c r="D38" s="103" t="s">
        <v>398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403</v>
      </c>
      <c r="B41" s="240" t="n">
        <f aca="false">IF(B38="YES",D38+A41,D38)</f>
        <v>550</v>
      </c>
      <c r="C41" s="240"/>
      <c r="D41" s="103" t="s">
        <v>407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400</v>
      </c>
      <c r="B44" s="103" t="s">
        <v>408</v>
      </c>
      <c r="C44" s="103"/>
      <c r="D44" s="103" t="s">
        <v>409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409</v>
      </c>
      <c r="C47" s="425"/>
      <c r="D47" s="103" t="s">
        <v>409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 t="n">
        <v>10000.0</v>
      </c>
      <c r="D70" s="290" t="n">
        <f aca="false">B70-A149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4755.28333333333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396.273611111111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10767.2833333333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91.211355385236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10858.4946887186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50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904.874557393214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904.874557393214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0.0</v>
      </c>
      <c r="C108" s="106"/>
      <c r="D108" s="106" t="n">
        <v>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391</v>
      </c>
      <c r="B111" s="311" t="n">
        <v>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391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6000.0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904.874557393214</v>
      </c>
      <c r="B134" s="320" t="n">
        <f aca="false">IF(A111="YES",B95,0)</f>
        <v>0</v>
      </c>
      <c r="C134" s="325"/>
      <c r="D134" s="320" t="n">
        <f aca="false">B97</f>
        <v>904.874557393214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904.874557393214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904.874557393214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904.874557393214</v>
      </c>
      <c r="B143" s="37" t="n">
        <f aca="false">IF(A111="YES",B95,0)</f>
        <v>0</v>
      </c>
      <c r="C143" s="316"/>
      <c r="D143" s="37" t="n">
        <f aca="false">B97</f>
        <v>904.874557393214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34.731</v>
      </c>
      <c r="B146" s="342" t="n">
        <f aca="false">G18*0.000002*100</f>
        <v>11.577</v>
      </c>
      <c r="C146" s="316"/>
      <c r="D146" s="342" t="n">
        <f aca="false">A146+B146</f>
        <v>46.308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1473.1755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1433.1775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578.85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678.84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904.874557393214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904.874557393214</v>
      </c>
      <c r="B177" s="354" t="n">
        <f aca="false">IF(A111="YES",B95,0)</f>
        <v>0</v>
      </c>
      <c r="C177" s="357"/>
      <c r="D177" s="354" t="n">
        <f aca="false">B91</f>
        <v>10767.2833333333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904.874557393214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904.874557393214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904.874557393214</v>
      </c>
      <c r="B186" s="102" t="n">
        <f aca="false">IF(A111="YES",B95,0)</f>
        <v>0</v>
      </c>
      <c r="C186" s="352"/>
      <c r="D186" s="102" t="n">
        <f aca="false">B97</f>
        <v>904.874557393214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34.731</v>
      </c>
      <c r="B189" s="364" t="n">
        <f aca="false">G18*0.000002*100</f>
        <v>11.577</v>
      </c>
      <c r="C189" s="352"/>
      <c r="D189" s="364" t="n">
        <f aca="false">A189+B189</f>
        <v>46.308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578.85</v>
      </c>
      <c r="B197" s="102" t="n">
        <f aca="false">B154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678.84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4051.95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578.85</v>
      </c>
      <c r="C211" s="319" t="s">
        <v>218</v>
      </c>
      <c r="D211" s="369" t="n">
        <f aca="false">B225+E221+B221+B223</f>
        <v>99.99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3573.09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4051.95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578.85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3573.09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91.211355385236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7" colorId="64" zoomScale="85" zoomScaleNormal="85" zoomScalePageLayoutView="100" workbookViewId="0">
      <selection pane="topLeft" activeCell="A202" activeCellId="1" sqref="A210 A20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46854.17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46854.17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46854.17</v>
      </c>
      <c r="F9" s="151"/>
      <c r="G9" s="135"/>
      <c r="H9" s="439" t="n">
        <f aca="false">B7+D7+F7+H3</f>
        <v>47687.5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550.0</v>
      </c>
      <c r="I10" s="2"/>
      <c r="J10" s="2"/>
      <c r="L10" s="15" t="s">
        <v>1</v>
      </c>
      <c r="M10" s="9" t="n">
        <f aca="false">H15-H11-M8</f>
        <v>48237.5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9647.5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55.0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58525</v>
      </c>
      <c r="I15" s="2"/>
      <c r="J15" s="16" t="n">
        <f aca="false">H15</f>
        <v>58525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57885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394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395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396</v>
      </c>
      <c r="C35" s="222"/>
      <c r="D35" s="222" t="s">
        <v>397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57525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391</v>
      </c>
      <c r="C38" s="222"/>
      <c r="D38" s="103" t="s">
        <v>398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400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57885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0.024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59033.8113305992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548.671875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57525</v>
      </c>
      <c r="C81" s="92"/>
      <c r="D81" s="92"/>
      <c r="E81" s="112"/>
      <c r="F81" s="24" t="s">
        <v>106</v>
      </c>
      <c r="G81" s="26" t="n">
        <f aca="false">B81</f>
        <v>57525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0.089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0.00741666666666667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4701.64581571928</v>
      </c>
      <c r="C86" s="92" t="n">
        <f aca="false">(B82/((1+B84)^(B85+1)))</f>
        <v>4701.64581571928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28.392890887209</v>
      </c>
      <c r="C87" s="92" t="n">
        <f aca="false">((1-(1/((1+B84)^B85)))/B84)</f>
        <v>28.392890887209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52823.3541842807</v>
      </c>
      <c r="C88" s="92" t="n">
        <f aca="false">B81-B86</f>
        <v>52823.3541842807</v>
      </c>
      <c r="D88" s="92"/>
      <c r="E88" s="112"/>
      <c r="F88" s="30" t="s">
        <v>113</v>
      </c>
      <c r="G88" s="32" t="n">
        <f aca="false">G81-G86</f>
        <v>52504.689207262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1860.44296771759</v>
      </c>
      <c r="C89" s="92" t="n">
        <f aca="false">(B88/B87)</f>
        <v>1860.44296771759</v>
      </c>
      <c r="D89" s="92"/>
      <c r="E89" s="112"/>
      <c r="F89" s="30" t="s">
        <v>114</v>
      </c>
      <c r="G89" s="32" t="n">
        <f aca="false">(G88/G87)</f>
        <v>1791.50637396928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59534.1749669629</v>
      </c>
      <c r="C90" s="92"/>
      <c r="D90" s="92"/>
      <c r="E90" s="112"/>
      <c r="F90" s="30" t="s">
        <v>115</v>
      </c>
      <c r="G90" s="32" t="n">
        <f aca="false">((G89*(G85))+G77)</f>
        <v>57328.203967017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59534.1749669629</v>
      </c>
      <c r="C92" s="92"/>
      <c r="D92" s="92"/>
      <c r="E92" s="112"/>
      <c r="F92" s="55" t="s">
        <v>117</v>
      </c>
      <c r="G92" s="64" t="n">
        <f aca="false">(G90+G91)</f>
        <v>57328.203967017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1860.44296771759</v>
      </c>
      <c r="C95" s="92"/>
      <c r="D95" s="92"/>
      <c r="E95" s="112"/>
      <c r="F95" s="94" t="s">
        <v>119</v>
      </c>
      <c r="G95" s="95" t="n">
        <f aca="false">G92/(G85)</f>
        <v>1791.50637396928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1860.44296771759</v>
      </c>
      <c r="C96" s="92"/>
      <c r="D96" s="92"/>
      <c r="E96" s="112"/>
      <c r="F96" s="96" t="s">
        <v>120</v>
      </c>
      <c r="G96" s="97" t="n">
        <f aca="false">G94+G95</f>
        <v>1791.50637396928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391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404</v>
      </c>
      <c r="C108" s="106"/>
      <c r="D108" s="106"/>
      <c r="E108" s="107" t="n">
        <f aca="false">B83</f>
        <v>0.089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388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413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46854.17</v>
      </c>
      <c r="C121" s="120" t="n">
        <f aca="false">B121</f>
        <v>46854.17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46854.17</v>
      </c>
      <c r="C125" s="132" t="n">
        <f aca="false">C121-C124</f>
        <v>46854.17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47687.5</v>
      </c>
      <c r="H135" s="152" t="n">
        <f aca="false">C125+E125+G125+H128</f>
        <v>47687.5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550</v>
      </c>
      <c r="H136" s="32" t="n">
        <f aca="false">G136</f>
        <v>550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9647.5</v>
      </c>
      <c r="H137" s="32" t="n">
        <f aca="false">(H135+H136)*20%</f>
        <v>9647.5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55</v>
      </c>
      <c r="H140" s="32" t="n">
        <f aca="false">G140</f>
        <v>55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58525</v>
      </c>
      <c r="H141" s="156" t="n">
        <f aca="false">(H135+H136+H139+H140+H137)-H138</f>
        <v>58525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58525</v>
      </c>
      <c r="H147" s="163" t="n">
        <f aca="false">H141-((H144*1.2)+(H145*1.2)+(H146*1.2)+(H142*1.2))</f>
        <v>58525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-47937.5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58525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1860.44296771759</v>
      </c>
      <c r="B167" s="176" t="str">
        <f aca="false">B94</f>
        <v>0</v>
      </c>
      <c r="C167" s="173"/>
      <c r="D167" s="173"/>
      <c r="E167" s="176" t="n">
        <f aca="false">B96</f>
        <v>1860.44296771759</v>
      </c>
      <c r="F167" s="22"/>
      <c r="G167" s="22" t="n">
        <f aca="false">ROUND(G95,2)</f>
        <v>1791.51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48237.5</v>
      </c>
      <c r="B173" s="102" t="n">
        <f aca="false">H137</f>
        <v>9647.5</v>
      </c>
      <c r="C173" s="185"/>
      <c r="D173" s="22"/>
      <c r="E173" s="181" t="n">
        <f aca="false">H139+H140</f>
        <v>640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58525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58525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IF(A40=0 ,(A167*B59)+E185-E179 ,(A167*B59)+E185-E179-A185)</f>
        <v>8209.17496696285</v>
      </c>
      <c r="B182" s="102" t="str">
        <f aca="false">B114</f>
        <v>199.99</v>
      </c>
      <c r="C182" s="102"/>
      <c r="D182" s="22"/>
      <c r="E182" s="102" t="n">
        <f aca="false">E179+A182+(B182*1.2)+A185</f>
        <v>66984.1629669628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E170+A185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11.577</v>
      </c>
      <c r="B188" s="102" t="n">
        <f aca="false">(G158*B67)/1.2</f>
        <v>457.2265625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557.2165625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1860.44296771759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6003.32</v>
      </c>
      <c r="B201" s="185" t="n">
        <f aca="false">E179+A201+(B182*1.2)+A185</f>
        <v>64778.308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1860.44296771759</v>
      </c>
      <c r="B212" s="176" t="str">
        <f aca="false">B167</f>
        <v>0</v>
      </c>
      <c r="C212" s="173"/>
      <c r="D212" s="173"/>
      <c r="E212" s="176" t="n">
        <f aca="false">E167</f>
        <v>1860.44296771759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48237.5</v>
      </c>
      <c r="B215" s="102" t="n">
        <f aca="false">B173</f>
        <v>9647.5</v>
      </c>
      <c r="C215" s="185"/>
      <c r="D215" s="112"/>
      <c r="E215" s="181" t="n">
        <f aca="false">E173</f>
        <v>640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58525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58525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8209.17496696285</v>
      </c>
      <c r="B224" s="102" t="str">
        <f aca="false">B182</f>
        <v>199.99</v>
      </c>
      <c r="C224" s="102"/>
      <c r="D224" s="112"/>
      <c r="E224" s="102" t="n">
        <f aca="false">E182</f>
        <v>66984.1629669628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1860.44296771759</v>
      </c>
      <c r="B230" s="102" t="str">
        <f aca="false">B167</f>
        <v>0</v>
      </c>
      <c r="C230" s="185"/>
      <c r="D230" s="185"/>
      <c r="E230" s="102" t="n">
        <f aca="false">E167</f>
        <v>1860.44296771759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11.577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457.2265625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557.2165625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0.089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2215.85496696284</v>
      </c>
      <c r="C254" s="196"/>
      <c r="D254" s="197" t="s">
        <v>217</v>
      </c>
      <c r="E254" s="197"/>
      <c r="F254" s="199" t="n">
        <f aca="false">F261+F267+F269+B270+B271</f>
        <v>548.671875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1767.17309196284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0.024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0.089</v>
      </c>
      <c r="C260" s="42"/>
      <c r="D260" s="165" t="s">
        <v>216</v>
      </c>
      <c r="E260" s="165"/>
      <c r="F260" s="145" t="n">
        <f aca="false">B254</f>
        <v>2215.85496696284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548.671875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1767.17309196284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A201" activeCellId="1" sqref="A210 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46854.17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46854.17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46854.17</v>
      </c>
      <c r="F9" s="151"/>
      <c r="G9" s="135"/>
      <c r="H9" s="439" t="n">
        <f aca="false">B7+D7+F7+H3</f>
        <v>47687.5</v>
      </c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550.0</v>
      </c>
      <c r="I10" s="2"/>
      <c r="J10" s="2"/>
      <c r="K10" s="1" t="s">
        <v>19</v>
      </c>
      <c r="L10" s="15" t="s">
        <v>1</v>
      </c>
      <c r="M10" s="9" t="n">
        <f aca="false">H15-H11-M8</f>
        <v>48237.5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9647.5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55.0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58525</v>
      </c>
      <c r="I15" s="2"/>
      <c r="J15" s="16" t="n">
        <f aca="false">H15</f>
        <v>58525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57885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 t="n">
        <v>0</v>
      </c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388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389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6575.0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3080.7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1483.01340522466</v>
      </c>
      <c r="F33" s="231"/>
      <c r="G33" s="231"/>
      <c r="H33" s="46"/>
      <c r="I33" s="2"/>
      <c r="J33" s="33" t="s">
        <v>356</v>
      </c>
      <c r="K33" s="47" t="n">
        <f aca="false">H21-H11+(H16*20%)</f>
        <v>48877.5</v>
      </c>
      <c r="L33" s="1" t="n">
        <f aca="false">H21-H11+(H16*20%)</f>
        <v>48877.5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1394.99340522466</v>
      </c>
      <c r="B36" s="231" t="n">
        <f aca="false">IF(B26="YES",K42,"0.00")</f>
        <v>88.02</v>
      </c>
      <c r="C36" s="231"/>
      <c r="D36" s="231"/>
      <c r="E36" s="231" t="n">
        <f aca="false">K31</f>
        <v>6575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48877.5</v>
      </c>
      <c r="L39" s="2" t="n">
        <f aca="false">(L47*K46)+K44</f>
        <v>27154.7906501807</v>
      </c>
      <c r="N39" s="1" t="n">
        <f aca="false">K39-L39</f>
        <v>21722.7093498193</v>
      </c>
      <c r="P39" s="211"/>
    </row>
    <row r="40" customFormat="false" ht="19.5" hidden="false" customHeight="false" outlineLevel="0" collapsed="false">
      <c r="A40" s="106" t="n">
        <f aca="false">E36*A45/100</f>
        <v>0.0</v>
      </c>
      <c r="B40" s="106" t="n">
        <f aca="false">IF(B26="YES",K42,"0.00")</f>
        <v>88.02</v>
      </c>
      <c r="C40" s="106"/>
      <c r="D40" s="106"/>
      <c r="E40" s="181" t="n">
        <f aca="false">K32</f>
        <v>3080.7</v>
      </c>
      <c r="F40" s="185"/>
      <c r="G40" s="185"/>
      <c r="H40" s="46"/>
      <c r="J40" s="2" t="s">
        <v>107</v>
      </c>
      <c r="K40" s="2" t="n">
        <f aca="false">(A40)/1.2</f>
        <v>5479.16666666667</v>
      </c>
      <c r="L40" s="2" t="n">
        <f aca="false">K39-L39</f>
        <v>21722.7093498193</v>
      </c>
      <c r="N40" s="1" t="n">
        <f aca="false">N38-N39</f>
        <v>-18811.0293498193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88.02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4510.82131579097</v>
      </c>
      <c r="L44" s="2"/>
      <c r="P44" s="211"/>
    </row>
    <row r="45" customFormat="false" ht="19.5" hidden="false" customHeight="false" outlineLevel="0" collapsed="false">
      <c r="A45" s="446" t="n">
        <v>100.0</v>
      </c>
      <c r="B45" s="92"/>
      <c r="C45" s="61" t="n">
        <v>100.0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44366.678684209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1394.99340522466</v>
      </c>
      <c r="L47" s="2" t="n">
        <f aca="false">L49-K42</f>
        <v>711.98</v>
      </c>
      <c r="M47" s="1" t="n">
        <f aca="false">K47-L47</f>
        <v>683.01340522466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1483.01340522466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1483.01340522466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57885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57885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57885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57885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0.024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11842.3827403836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2388.85917777853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441.454462320376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441.454462320376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477.547743055556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4281.078125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566.790625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445.214833958333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1394.99340522466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1394.99340522466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1483.01340522466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1483.01340522466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58525</v>
      </c>
      <c r="C81" s="92"/>
      <c r="D81" s="92"/>
      <c r="E81" s="112"/>
      <c r="F81" s="24" t="s">
        <v>106</v>
      </c>
      <c r="G81" s="26" t="n">
        <f aca="false">G158</f>
        <v>58525</v>
      </c>
      <c r="H81" s="32"/>
      <c r="J81" s="24" t="s">
        <v>106</v>
      </c>
      <c r="K81" s="26" t="n">
        <f aca="false">P158</f>
        <v>37655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45468.749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45468.749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6575</v>
      </c>
      <c r="C82" s="92"/>
      <c r="D82" s="92"/>
      <c r="E82" s="112"/>
      <c r="F82" s="30" t="s">
        <v>107</v>
      </c>
      <c r="G82" s="32" t="n">
        <f aca="false">IF(A111="YES",A40,0)</f>
        <v>6575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6575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6575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0.089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0.00741666666666667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5076.63749982802</v>
      </c>
      <c r="C86" s="92"/>
      <c r="D86" s="92"/>
      <c r="E86" s="112"/>
      <c r="F86" s="30" t="s">
        <v>111</v>
      </c>
      <c r="G86" s="32" t="n">
        <f aca="false">(G82/((1+G84)^(G85+1)))</f>
        <v>5442.3059175018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4496.33098722376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4496.33098722376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29.9543371890103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53448.362500172</v>
      </c>
      <c r="C88" s="92"/>
      <c r="D88" s="92"/>
      <c r="E88" s="112"/>
      <c r="F88" s="30" t="s">
        <v>113</v>
      </c>
      <c r="G88" s="32" t="n">
        <f aca="false">G81-G86</f>
        <v>53082.6940824982</v>
      </c>
      <c r="H88" s="32"/>
      <c r="J88" s="30" t="s">
        <v>113</v>
      </c>
      <c r="K88" s="32" t="n">
        <f aca="false">K81-K86</f>
        <v>37655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40972.4180127762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40972.4180127762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1784.32799774255</v>
      </c>
      <c r="C89" s="92"/>
      <c r="D89" s="92"/>
      <c r="E89" s="112"/>
      <c r="F89" s="30" t="s">
        <v>114</v>
      </c>
      <c r="G89" s="32" t="n">
        <f aca="false">(G88/G87)</f>
        <v>1713.64435737333</v>
      </c>
      <c r="H89" s="32"/>
      <c r="J89" s="30" t="s">
        <v>114</v>
      </c>
      <c r="K89" s="32" t="n">
        <f aca="false">(K88/K87)</f>
        <v>1506.2831870777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1449.00657779951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1449.00657779951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60667.1519232467</v>
      </c>
      <c r="C90" s="92"/>
      <c r="D90" s="92"/>
      <c r="E90" s="112"/>
      <c r="F90" s="30" t="s">
        <v>115</v>
      </c>
      <c r="G90" s="32" t="n">
        <f aca="false">((G89*(G85))+G77)</f>
        <v>58263.9081506931</v>
      </c>
      <c r="H90" s="32"/>
      <c r="J90" s="30" t="s">
        <v>115</v>
      </c>
      <c r="K90" s="32" t="n">
        <f aca="false">((K89*(K85))+K77)</f>
        <v>52719.9115477193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49266.2236451835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49266.2236451835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60667.1519232467</v>
      </c>
      <c r="C92" s="92"/>
      <c r="D92" s="92"/>
      <c r="E92" s="112"/>
      <c r="F92" s="55" t="s">
        <v>117</v>
      </c>
      <c r="G92" s="64" t="n">
        <f aca="false">(G90+G91)</f>
        <v>58263.9081506931</v>
      </c>
      <c r="H92" s="32"/>
      <c r="J92" s="55" t="s">
        <v>117</v>
      </c>
      <c r="K92" s="64" t="n">
        <f aca="false">(K90+K91)</f>
        <v>52719.9115477193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49266.2236451835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49266.2236451835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108.730588235294</v>
      </c>
      <c r="C94" s="92"/>
      <c r="D94" s="92"/>
      <c r="E94" s="112"/>
      <c r="F94" s="87" t="s">
        <v>118</v>
      </c>
      <c r="G94" s="93" t="n">
        <f aca="false">IF(B26="YES",((E40/B85)*(1+A108)*(C45/100)),"0")</f>
        <v>108.730588235294</v>
      </c>
      <c r="H94" s="32"/>
      <c r="J94" s="87" t="s">
        <v>118</v>
      </c>
      <c r="K94" s="88" t="n">
        <f aca="false">((E40/K85)*(1+J108))*1.2</f>
        <v>137.3112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108.730588235294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130.476705882353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1784.32799774255</v>
      </c>
      <c r="C95" s="92"/>
      <c r="D95" s="92"/>
      <c r="E95" s="112"/>
      <c r="F95" s="94" t="s">
        <v>119</v>
      </c>
      <c r="G95" s="95" t="n">
        <f aca="false">G92/(G85)</f>
        <v>1713.64435737333</v>
      </c>
      <c r="H95" s="32"/>
      <c r="J95" s="94" t="s">
        <v>119</v>
      </c>
      <c r="K95" s="95" t="n">
        <f aca="false">K92/(K85)</f>
        <v>1506.2831870777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1449.00657779951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1449.00657779951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1893.05858597784</v>
      </c>
      <c r="C96" s="92"/>
      <c r="D96" s="92"/>
      <c r="E96" s="112"/>
      <c r="F96" s="96" t="s">
        <v>120</v>
      </c>
      <c r="G96" s="97" t="n">
        <f aca="false">G94+G95</f>
        <v>1822.37494560862</v>
      </c>
      <c r="H96" s="32"/>
      <c r="J96" s="96" t="s">
        <v>120</v>
      </c>
      <c r="K96" s="97" t="n">
        <f aca="false">(K94+K95)</f>
        <v>1643.5943870777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1557.73716603481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1579.48328368187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388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404</v>
      </c>
      <c r="C108" s="106"/>
      <c r="D108" s="106" t="n">
        <v>0</v>
      </c>
      <c r="E108" s="107" t="n">
        <f aca="false">B83</f>
        <v>0.089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388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46854.17</v>
      </c>
      <c r="C121" s="120" t="n">
        <f aca="false">B121</f>
        <v>46854.17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46854.17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46854.17</v>
      </c>
      <c r="U121" s="120" t="n">
        <f aca="false">T121</f>
        <v>46854.17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46854.17</v>
      </c>
      <c r="AD121" s="120" t="n">
        <f aca="false">AC121</f>
        <v>46854.17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-9754.17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11713.5425</v>
      </c>
      <c r="V124" s="129" t="n">
        <f aca="false">(V121*V122)+V123</f>
        <v>0</v>
      </c>
      <c r="W124" s="130" t="n">
        <f aca="false">(W121*W122)+W123</f>
        <v>0</v>
      </c>
      <c r="X124" s="129" t="n">
        <f aca="false">(X121*X122)+X123</f>
        <v>0</v>
      </c>
      <c r="Y124" s="130" t="n">
        <f aca="false">(Y121*Y122)+Y123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11713.5425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46854.17</v>
      </c>
      <c r="C125" s="132" t="n">
        <f aca="false">C121-C124</f>
        <v>46854.17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46854.17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46854.17</v>
      </c>
      <c r="U125" s="132" t="n">
        <f aca="false">U121-U124</f>
        <v>35140.6275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46854.17</v>
      </c>
      <c r="AD125" s="132" t="n">
        <f aca="false">AD121-AD124</f>
        <v>35140.6275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47687.5</v>
      </c>
      <c r="H135" s="152" t="n">
        <f aca="false">C125+E125+G125+H128</f>
        <v>47687.5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47687.5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47687.5</v>
      </c>
      <c r="Z135" s="152" t="n">
        <f aca="false">U125+W125+Y125+Z128</f>
        <v>35973.9575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47687.5</v>
      </c>
      <c r="AI135" s="152" t="n">
        <f aca="false">AD125+AF125+AH125+AI128</f>
        <v>35973.9575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550</v>
      </c>
      <c r="H136" s="32" t="n">
        <f aca="false">G136</f>
        <v>550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550</v>
      </c>
      <c r="Q136" s="32" t="n">
        <f aca="false">P136</f>
        <v>550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550</v>
      </c>
      <c r="Z136" s="32" t="n">
        <f aca="false">Y136</f>
        <v>550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550</v>
      </c>
      <c r="AI136" s="32" t="n">
        <f aca="false">AH136</f>
        <v>550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9647.5</v>
      </c>
      <c r="H137" s="32" t="n">
        <f aca="false">(H135+H136)*20%</f>
        <v>9647.5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9647.5</v>
      </c>
      <c r="Q137" s="32" t="n">
        <f aca="false">(Q135+Q136)*20%</f>
        <v>6002.5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9647.5</v>
      </c>
      <c r="Z137" s="32" t="n">
        <f aca="false">(Z135+Z136)*20%</f>
        <v>7304.7915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9647.5</v>
      </c>
      <c r="AI137" s="32" t="n">
        <f aca="false">(AI135+AI136)*20%</f>
        <v>7304.7915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55</v>
      </c>
      <c r="H140" s="32" t="n">
        <f aca="false">G140</f>
        <v>55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55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55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55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58525</v>
      </c>
      <c r="H141" s="156" t="n">
        <f aca="false">(H135+H136+H139+H140+H137)-H138</f>
        <v>58525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58525</v>
      </c>
      <c r="Q141" s="156" t="n">
        <f aca="false">(Q135+Q136+Q139+Q140+Q137)-Q138</f>
        <v>36655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58525</v>
      </c>
      <c r="Z141" s="156" t="n">
        <f aca="false">(Z135+Z136+Z139+Z140+Z137)-Z138</f>
        <v>44468.749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58525</v>
      </c>
      <c r="AI141" s="156" t="n">
        <f aca="false">(AI135+AI136+AI139+AI140+AI137)-AI138</f>
        <v>44468.749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58525</v>
      </c>
      <c r="H147" s="163" t="n">
        <f aca="false">H141-((H144*1.2)+(H145*1.2)+(H146*1.2)+(H142*1.2))</f>
        <v>58525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58525</v>
      </c>
      <c r="Q147" s="163" t="n">
        <f aca="false">Q141-((Q144*1.2)+(Q145*1.2)+(Q146*1.2)+(Q142*1.2))</f>
        <v>36655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58525</v>
      </c>
      <c r="Z147" s="163" t="n">
        <f aca="false">Z141-((Z144*1.2)+(Z145*1.2)+(Z146*1.2)+(Z142*1.2))</f>
        <v>44468.749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58525</v>
      </c>
      <c r="AI147" s="163" t="n">
        <f aca="false">AI141-((AI144*1.2)+(AI145*1.2)+(AI146*1.2)+(AI142*1.2))</f>
        <v>44468.749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-48770.8333333333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-21870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-14056.251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-14056.251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58525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37655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45468.749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45468.749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1784.32799774255</v>
      </c>
      <c r="B167" s="176" t="n">
        <f aca="false">B94</f>
        <v>108.730588235294</v>
      </c>
      <c r="C167" s="173"/>
      <c r="D167" s="173"/>
      <c r="E167" s="176" t="n">
        <f aca="false">B96</f>
        <v>1893.05858597784</v>
      </c>
      <c r="F167" s="22"/>
      <c r="G167" s="22" t="n">
        <f aca="false">ROUND(G95,2)</f>
        <v>1713.64</v>
      </c>
      <c r="H167" s="32"/>
      <c r="J167" s="175" t="n">
        <f aca="false">K95</f>
        <v>1506.2831870777</v>
      </c>
      <c r="K167" s="176" t="n">
        <f aca="false">K94</f>
        <v>137.3112</v>
      </c>
      <c r="L167" s="173"/>
      <c r="M167" s="173"/>
      <c r="N167" s="176" t="n">
        <f aca="false">K96</f>
        <v>1643.5943870777</v>
      </c>
      <c r="O167" s="22"/>
      <c r="P167" s="22"/>
      <c r="Q167" s="32"/>
      <c r="S167" s="175" t="n">
        <f aca="false">T95</f>
        <v>1449.00657779951</v>
      </c>
      <c r="T167" s="176" t="n">
        <f aca="false">T94</f>
        <v>108.730588235294</v>
      </c>
      <c r="U167" s="173"/>
      <c r="V167" s="173"/>
      <c r="W167" s="176" t="n">
        <f aca="false">T96</f>
        <v>1557.73716603481</v>
      </c>
      <c r="X167" s="22"/>
      <c r="Y167" s="22"/>
      <c r="Z167" s="32"/>
      <c r="AB167" s="175" t="n">
        <f aca="false">AC95</f>
        <v>1449.00657779951</v>
      </c>
      <c r="AC167" s="176" t="n">
        <f aca="false">AC94</f>
        <v>130.476705882353</v>
      </c>
      <c r="AD167" s="173"/>
      <c r="AE167" s="173"/>
      <c r="AF167" s="176" t="n">
        <f aca="false">AC96</f>
        <v>1579.48328368187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6575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6575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6575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6575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48237.5</v>
      </c>
      <c r="B173" s="102" t="n">
        <f aca="false">H137</f>
        <v>9647.5</v>
      </c>
      <c r="C173" s="185"/>
      <c r="D173" s="22"/>
      <c r="E173" s="181" t="n">
        <f aca="false">H139+H140</f>
        <v>640</v>
      </c>
      <c r="F173" s="22"/>
      <c r="G173" s="22"/>
      <c r="H173" s="32"/>
      <c r="J173" s="184" t="n">
        <f aca="false">Q141-Q137-Q139-Q140</f>
        <v>30012.5</v>
      </c>
      <c r="K173" s="102" t="n">
        <f aca="false">Q137</f>
        <v>6002.5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36523.9575</v>
      </c>
      <c r="T173" s="102" t="n">
        <f aca="false">Z137</f>
        <v>7304.7915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36523.9575</v>
      </c>
      <c r="AC173" s="102" t="n">
        <f aca="false">AI137</f>
        <v>7304.7915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58525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  <c r="J176" s="184" t="n">
        <f aca="false">Q141</f>
        <v>36655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44468.749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44468.749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58525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37655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45468.749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45468.749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IF(A40=0 ,(A167*B59)+E185-E179 ,(A167*B59)+E185-E179-A185)</f>
        <v>8717.15192324668</v>
      </c>
      <c r="B182" s="102" t="str">
        <f aca="false">B114</f>
        <v>199.99</v>
      </c>
      <c r="C182" s="102"/>
      <c r="D182" s="22"/>
      <c r="E182" s="102" t="n">
        <f aca="false">E179+A182+(B182*1.2)+A185</f>
        <v>67492.1399232467</v>
      </c>
      <c r="F182" s="22"/>
      <c r="G182" s="22"/>
      <c r="H182" s="104"/>
      <c r="J182" s="110" t="n">
        <f aca="false">(J167*K59)+N185-N179-J185</f>
        <v>20133.6283606416</v>
      </c>
      <c r="K182" s="102" t="n">
        <f aca="false">K114</f>
        <v>239.99</v>
      </c>
      <c r="L182" s="102"/>
      <c r="M182" s="22"/>
      <c r="N182" s="102" t="n">
        <f aca="false">N179+J182+K182+J185</f>
        <v>58048.6183606416</v>
      </c>
      <c r="O182" s="22"/>
      <c r="P182" s="22"/>
      <c r="Q182" s="104"/>
      <c r="S182" s="110" t="n">
        <f aca="false">(S167*T59)+W185-W179-S185</f>
        <v>10372.4746451835</v>
      </c>
      <c r="T182" s="102" t="n">
        <f aca="false">T114</f>
        <v>199.99</v>
      </c>
      <c r="U182" s="102"/>
      <c r="V182" s="22"/>
      <c r="W182" s="102" t="n">
        <f aca="false">W179+S182+T182+S185</f>
        <v>56051.2136451835</v>
      </c>
      <c r="X182" s="22"/>
      <c r="Y182" s="22"/>
      <c r="Z182" s="104"/>
      <c r="AB182" s="110" t="n">
        <f aca="false">(AB167*AC59)+AF185-AF179-AB185</f>
        <v>10372.4746451835</v>
      </c>
      <c r="AC182" s="102" t="n">
        <f aca="false">AC114</f>
        <v>239.99</v>
      </c>
      <c r="AD182" s="102"/>
      <c r="AE182" s="22"/>
      <c r="AF182" s="102" t="n">
        <f aca="false">AF179+AB182+AC182+AB185</f>
        <v>56091.2136451835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E170+A185</f>
        <v>6585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6595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6585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6585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11.577</v>
      </c>
      <c r="B188" s="102" t="n">
        <f aca="false">(G158*B67)/1.2</f>
        <v>477.547743055556</v>
      </c>
      <c r="C188" s="92"/>
      <c r="D188" s="92"/>
      <c r="E188" s="102" t="n">
        <f aca="false">(E40*A108)*0.1*(C45/100)</f>
        <v>61.614</v>
      </c>
      <c r="F188" s="22"/>
      <c r="G188" s="22"/>
      <c r="H188" s="32"/>
      <c r="J188" s="110" t="n">
        <f aca="false">IF(N105="YES",H15*0.000002,0)</f>
        <v>0.11705</v>
      </c>
      <c r="K188" s="102" t="n">
        <f aca="false">(P158*K67)/1.2</f>
        <v>2320.75086805556</v>
      </c>
      <c r="L188" s="92"/>
      <c r="M188" s="92"/>
      <c r="N188" s="102" t="n">
        <f aca="false">(E40*J108)*0.1</f>
        <v>92.421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371.012361631944</v>
      </c>
      <c r="U188" s="92"/>
      <c r="V188" s="92"/>
      <c r="W188" s="102" t="n">
        <f aca="false">(E40*S108)*0.1</f>
        <v>61.614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371.012361631944</v>
      </c>
      <c r="AD188" s="92"/>
      <c r="AE188" s="92"/>
      <c r="AF188" s="102" t="n">
        <f aca="false">(E40*AB108)*0.1</f>
        <v>61.614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639.151743055556</v>
      </c>
      <c r="C191" s="92"/>
      <c r="D191" s="92"/>
      <c r="E191" s="102" t="n">
        <f aca="false">H148</f>
        <v>0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3553.16186805556</v>
      </c>
      <c r="L191" s="92"/>
      <c r="M191" s="92"/>
      <c r="N191" s="102" t="n">
        <f aca="false">Q148</f>
        <v>-21870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1532.61636163194</v>
      </c>
      <c r="U191" s="92"/>
      <c r="V191" s="92"/>
      <c r="W191" s="102" t="n">
        <f aca="false">Z148</f>
        <v>-14056.251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1572.61636163194</v>
      </c>
      <c r="AD191" s="92"/>
      <c r="AE191" s="92"/>
      <c r="AF191" s="102" t="n">
        <f aca="false">AI148</f>
        <v>-14056.251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1893.05858597784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1643.5943870777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1557.73716603481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1579.48328368187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6313.76</v>
      </c>
      <c r="B201" s="185" t="n">
        <f aca="false">E179+A201+(B182*1.2)+A185</f>
        <v>65088.748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1784.32799774255</v>
      </c>
      <c r="B212" s="176" t="n">
        <f aca="false">B167</f>
        <v>108.730588235294</v>
      </c>
      <c r="C212" s="173"/>
      <c r="D212" s="173"/>
      <c r="E212" s="176" t="n">
        <f aca="false">E167</f>
        <v>1893.05858597784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48237.5</v>
      </c>
      <c r="B215" s="102" t="n">
        <f aca="false">B173</f>
        <v>9647.5</v>
      </c>
      <c r="C215" s="185"/>
      <c r="D215" s="112"/>
      <c r="E215" s="181" t="n">
        <f aca="false">E173</f>
        <v>640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58525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58525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8717.15192324668</v>
      </c>
      <c r="B224" s="102" t="str">
        <f aca="false">B182</f>
        <v>199.99</v>
      </c>
      <c r="C224" s="102"/>
      <c r="D224" s="112"/>
      <c r="E224" s="102" t="n">
        <f aca="false">E182</f>
        <v>67492.1399232467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1784.32799774255</v>
      </c>
      <c r="B230" s="102" t="n">
        <f aca="false">B167</f>
        <v>108.730588235294</v>
      </c>
      <c r="C230" s="185"/>
      <c r="D230" s="185"/>
      <c r="E230" s="102" t="n">
        <f aca="false">E167</f>
        <v>1893.05858597784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6575</v>
      </c>
      <c r="B233" s="102" t="n">
        <f aca="false">E185</f>
        <v>6585</v>
      </c>
      <c r="C233" s="92"/>
      <c r="D233" s="92"/>
      <c r="E233" s="102" t="n">
        <f aca="false">A188</f>
        <v>11.577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B68</f>
        <v>477.547743055556</v>
      </c>
      <c r="C240" s="92"/>
      <c r="D240" s="92"/>
      <c r="E240" s="102" t="n">
        <f aca="false">E188</f>
        <v>61.614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639.151743055556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0.089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2413.39192324667</v>
      </c>
      <c r="C254" s="196"/>
      <c r="D254" s="197" t="s">
        <v>217</v>
      </c>
      <c r="E254" s="197"/>
      <c r="F254" s="199" t="n">
        <f aca="false">F261+F267+F269+B270+B271</f>
        <v>573.057291666667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716.13</v>
      </c>
      <c r="C255" s="196"/>
      <c r="D255" s="197" t="s">
        <v>219</v>
      </c>
      <c r="E255" s="197"/>
      <c r="F255" s="199" t="n">
        <f aca="false">(B254-F254)+B255</f>
        <v>2556.46463158001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0.024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0.089</v>
      </c>
      <c r="C260" s="42"/>
      <c r="D260" s="165" t="s">
        <v>216</v>
      </c>
      <c r="E260" s="165"/>
      <c r="F260" s="145" t="n">
        <f aca="false">B254</f>
        <v>2413.39192324667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573.057291666667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616.14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2556.46463158001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1" sqref="A210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46854.17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46854.17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46854.17</v>
      </c>
      <c r="F9" s="151"/>
      <c r="G9" s="135"/>
      <c r="H9" s="439" t="n">
        <f aca="false">B7+D7+F7+H3</f>
        <v>47687.5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550.0</v>
      </c>
      <c r="I10" s="2"/>
      <c r="J10" s="2"/>
      <c r="L10" s="15" t="s">
        <v>1</v>
      </c>
      <c r="M10" s="9" t="n">
        <f aca="false">H15-H11-M8</f>
        <v>48237.5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9647.5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55.0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58525</v>
      </c>
      <c r="I15" s="2"/>
      <c r="J15" s="16" t="n">
        <f aca="false">H15</f>
        <v>58525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57885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391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389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3945.0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1451.72576540392</v>
      </c>
      <c r="F33" s="231"/>
      <c r="G33" s="231"/>
      <c r="H33" s="46"/>
      <c r="I33" s="2"/>
      <c r="J33" s="33" t="s">
        <v>356</v>
      </c>
      <c r="K33" s="47" t="n">
        <f aca="false">H21-H11+(H16*20%)</f>
        <v>48877.5</v>
      </c>
      <c r="L33" s="1" t="n">
        <f aca="false">H21-H11+(H16*20%)</f>
        <v>48877.5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1451.72576540392</v>
      </c>
      <c r="B36" s="231" t="str">
        <f aca="false">IF(B26="YES",K42,"0.00")</f>
        <v>0.00</v>
      </c>
      <c r="C36" s="231"/>
      <c r="D36" s="231"/>
      <c r="E36" s="231" t="n">
        <f aca="false">K31</f>
        <v>3945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48877.5</v>
      </c>
      <c r="L39" s="2" t="n">
        <f aca="false">(L47*K46)+K44</f>
        <v>28149.8696645438</v>
      </c>
      <c r="N39" s="1" t="n">
        <f aca="false">K39-L39</f>
        <v>20727.6303354562</v>
      </c>
      <c r="P39" s="211"/>
    </row>
    <row r="40" customFormat="false" ht="19.5" hidden="false" customHeight="false" outlineLevel="0" collapsed="false">
      <c r="A40" s="106" t="n">
        <f aca="false">E36*A45/100</f>
        <v>0.0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3287.5</v>
      </c>
      <c r="L40" s="2" t="n">
        <f aca="false">K39-L39</f>
        <v>20727.6303354562</v>
      </c>
      <c r="N40" s="1" t="n">
        <f aca="false">N38-N39</f>
        <v>-17815.9503354562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2706.49278947458</v>
      </c>
      <c r="L44" s="2"/>
      <c r="P44" s="211"/>
    </row>
    <row r="45" customFormat="false" ht="19.5" hidden="false" customHeight="false" outlineLevel="0" collapsed="false">
      <c r="A45" s="502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46171.0072105254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1451.72576540392</v>
      </c>
      <c r="L47" s="2" t="n">
        <f aca="false">L49-K42</f>
        <v>800</v>
      </c>
      <c r="M47" s="1" t="n">
        <f aca="false">K47-L47</f>
        <v>651.725765403921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1451.72576540392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1451.72576540392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57885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57885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57885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57885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28080.0233883415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403.226571504398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17350.9800642674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618.420587029214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552.65801875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4281.078125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566.790625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445.214833958333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1451.72576540392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1451.72576540392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1451.72576540392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1451.72576540392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67730.004</v>
      </c>
      <c r="C81" s="92"/>
      <c r="D81" s="92"/>
      <c r="E81" s="112"/>
      <c r="F81" s="24" t="s">
        <v>106</v>
      </c>
      <c r="G81" s="26" t="n">
        <f aca="false">G158</f>
        <v>67730.004</v>
      </c>
      <c r="H81" s="32"/>
      <c r="J81" s="24" t="s">
        <v>106</v>
      </c>
      <c r="K81" s="26" t="n">
        <f aca="false">P158</f>
        <v>37655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59384.43749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45468.749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3945</v>
      </c>
      <c r="C82" s="92"/>
      <c r="D82" s="92"/>
      <c r="E82" s="112"/>
      <c r="F82" s="30" t="s">
        <v>107</v>
      </c>
      <c r="G82" s="32" t="n">
        <f aca="false">IF(A111="YES",A40,0)</f>
        <v>3945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3945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3945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0.137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0.0114166666666667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2651.51019486461</v>
      </c>
      <c r="C86" s="92"/>
      <c r="D86" s="92"/>
      <c r="E86" s="112"/>
      <c r="F86" s="30" t="s">
        <v>111</v>
      </c>
      <c r="G86" s="32" t="n">
        <f aca="false">(G82/((1+G84)^(G85+1)))</f>
        <v>3265.38355050108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2697.79859233425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2697.79859233425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28.0473680348001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65078.4938051354</v>
      </c>
      <c r="C88" s="92"/>
      <c r="D88" s="92"/>
      <c r="E88" s="112"/>
      <c r="F88" s="30" t="s">
        <v>113</v>
      </c>
      <c r="G88" s="32" t="n">
        <f aca="false">G81-G86</f>
        <v>64464.6204494989</v>
      </c>
      <c r="H88" s="32"/>
      <c r="J88" s="30" t="s">
        <v>113</v>
      </c>
      <c r="K88" s="32" t="n">
        <f aca="false">K81-K86</f>
        <v>37655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56686.6388976657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42770.9504076658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2320.30662286702</v>
      </c>
      <c r="C89" s="92"/>
      <c r="D89" s="92"/>
      <c r="E89" s="112"/>
      <c r="F89" s="30" t="s">
        <v>114</v>
      </c>
      <c r="G89" s="32" t="n">
        <f aca="false">(G88/G87)</f>
        <v>2081.0818854034</v>
      </c>
      <c r="H89" s="32"/>
      <c r="J89" s="30" t="s">
        <v>114</v>
      </c>
      <c r="K89" s="32" t="n">
        <f aca="false">(K88/K87)</f>
        <v>1506.2831870777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2004.74652510014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1512.61242282843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78890.4251774788</v>
      </c>
      <c r="C90" s="92"/>
      <c r="D90" s="92"/>
      <c r="E90" s="112"/>
      <c r="F90" s="30" t="s">
        <v>115</v>
      </c>
      <c r="G90" s="32" t="n">
        <f aca="false">((G89*(G85))+G77)</f>
        <v>70756.7841037154</v>
      </c>
      <c r="H90" s="32"/>
      <c r="J90" s="30" t="s">
        <v>115</v>
      </c>
      <c r="K90" s="32" t="n">
        <f aca="false">((K89*(K85))+K77)</f>
        <v>52719.9115477193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68161.3818534047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51428.8223761665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78890.4251774788</v>
      </c>
      <c r="C92" s="92"/>
      <c r="D92" s="92"/>
      <c r="E92" s="112"/>
      <c r="F92" s="55" t="s">
        <v>117</v>
      </c>
      <c r="G92" s="64" t="n">
        <f aca="false">(G90+G91)</f>
        <v>70756.7841037154</v>
      </c>
      <c r="H92" s="32"/>
      <c r="J92" s="55" t="s">
        <v>117</v>
      </c>
      <c r="K92" s="64" t="n">
        <f aca="false">(K90+K91)</f>
        <v>52719.9115477193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68161.3818534047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51428.8223761665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2320.30662286702</v>
      </c>
      <c r="C95" s="92"/>
      <c r="D95" s="92"/>
      <c r="E95" s="112"/>
      <c r="F95" s="94" t="s">
        <v>119</v>
      </c>
      <c r="G95" s="95" t="n">
        <f aca="false">G92/(G85)</f>
        <v>2081.0818854034</v>
      </c>
      <c r="H95" s="32"/>
      <c r="J95" s="94" t="s">
        <v>119</v>
      </c>
      <c r="K95" s="95" t="n">
        <f aca="false">K92/(K85)</f>
        <v>1506.2831870777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2004.74652510014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1512.61242282843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2320.30662286702</v>
      </c>
      <c r="C96" s="92"/>
      <c r="D96" s="92"/>
      <c r="E96" s="112"/>
      <c r="F96" s="96" t="s">
        <v>120</v>
      </c>
      <c r="G96" s="97" t="n">
        <f aca="false">G94+G95</f>
        <v>2081.0818854034</v>
      </c>
      <c r="H96" s="32"/>
      <c r="J96" s="96" t="s">
        <v>120</v>
      </c>
      <c r="K96" s="97" t="n">
        <f aca="false">(K94+K95)</f>
        <v>1506.2831870777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2004.74652510014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1512.61242282843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391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393</v>
      </c>
      <c r="C108" s="106"/>
      <c r="D108" s="106"/>
      <c r="E108" s="107" t="n">
        <f aca="false">B83</f>
        <v>0.137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388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46854.17</v>
      </c>
      <c r="C121" s="120" t="n">
        <f aca="false">B121</f>
        <v>46854.17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46854.17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46854.17</v>
      </c>
      <c r="U121" s="120" t="n">
        <f aca="false">T121</f>
        <v>46854.17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46854.17</v>
      </c>
      <c r="AD121" s="120" t="n">
        <f aca="false">AC121</f>
        <v>46854.17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-1000.0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-9754.17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117.135425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11713.5425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46854.17</v>
      </c>
      <c r="C125" s="132" t="n">
        <f aca="false">C121-C124</f>
        <v>56608.34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46854.17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46854.17</v>
      </c>
      <c r="U125" s="132" t="n">
        <f aca="false">U121-U124</f>
        <v>46737.034575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46854.17</v>
      </c>
      <c r="AD125" s="132" t="n">
        <f aca="false">AD121-AD124</f>
        <v>35140.6275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47687.5</v>
      </c>
      <c r="H135" s="152" t="n">
        <f aca="false">C125+E125+G125+H128</f>
        <v>57441.67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47687.5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47687.5</v>
      </c>
      <c r="Z135" s="152" t="n">
        <f aca="false">U125+W125+Y125+Z128</f>
        <v>47570.364575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47687.5</v>
      </c>
      <c r="AI135" s="152" t="n">
        <f aca="false">AD125+AF125+AH125+AI128</f>
        <v>35973.9575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550</v>
      </c>
      <c r="H136" s="32" t="n">
        <f aca="false">G136</f>
        <v>550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550</v>
      </c>
      <c r="Q136" s="32" t="n">
        <f aca="false">P136</f>
        <v>550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550</v>
      </c>
      <c r="Z136" s="32" t="n">
        <f aca="false">Y136</f>
        <v>550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550</v>
      </c>
      <c r="AI136" s="32" t="n">
        <f aca="false">AH136</f>
        <v>550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9647.5</v>
      </c>
      <c r="H137" s="32" t="n">
        <f aca="false">(H135+H136)*20%</f>
        <v>11598.334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9647.5</v>
      </c>
      <c r="Q137" s="32" t="n">
        <f aca="false">(Q135+Q136)*20%</f>
        <v>6002.5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9647.5</v>
      </c>
      <c r="Z137" s="32" t="n">
        <f aca="false">(Z135+Z136)*20%</f>
        <v>9624.072915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9647.5</v>
      </c>
      <c r="AI137" s="32" t="n">
        <f aca="false">(AI135+AI136)*20%</f>
        <v>7304.7915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55</v>
      </c>
      <c r="H140" s="32" t="n">
        <f aca="false">G140</f>
        <v>55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55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55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55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58525</v>
      </c>
      <c r="H141" s="156" t="n">
        <f aca="false">(H135+H136+H139+H140+H137)-H138</f>
        <v>70230.004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58525</v>
      </c>
      <c r="Q141" s="156" t="n">
        <f aca="false">(Q135+Q136+Q139+Q140+Q137)-Q138</f>
        <v>36655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58525</v>
      </c>
      <c r="Z141" s="156" t="n">
        <f aca="false">(Z135+Z136+Z139+Z140+Z137)-Z138</f>
        <v>58384.43749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58525</v>
      </c>
      <c r="AI141" s="156" t="n">
        <f aca="false">(AI135+AI136+AI139+AI140+AI137)-AI138</f>
        <v>44468.749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58525</v>
      </c>
      <c r="H147" s="163" t="n">
        <f aca="false">H141-((H144*1.2)+(H145*1.2)+(H146*1.2)+(H142*1.2))</f>
        <v>70230.004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58525</v>
      </c>
      <c r="Q147" s="163" t="n">
        <f aca="false">Q141-((Q144*1.2)+(Q145*1.2)+(Q146*1.2)+(Q142*1.2))</f>
        <v>36655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58525</v>
      </c>
      <c r="Z147" s="163" t="n">
        <f aca="false">Z141-((Z144*1.2)+(Z145*1.2)+(Z146*1.2)+(Z142*1.2))</f>
        <v>58384.43749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58525</v>
      </c>
      <c r="AI147" s="163" t="n">
        <f aca="false">AI141-((AI144*1.2)+(AI145*1.2)+(AI146*1.2)+(AI142*1.2))</f>
        <v>44468.749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9754.17</v>
      </c>
      <c r="I148" s="1" t="n">
        <f aca="false">(H148-G81)/1.2</f>
        <v>-48313.195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-21870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-140.562510000003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-14056.251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67730.004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37655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59384.43749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45468.749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2320.30662286702</v>
      </c>
      <c r="B167" s="176" t="str">
        <f aca="false">B94</f>
        <v>0</v>
      </c>
      <c r="C167" s="173"/>
      <c r="D167" s="173"/>
      <c r="E167" s="176" t="n">
        <f aca="false">B96</f>
        <v>2320.30662286702</v>
      </c>
      <c r="F167" s="22"/>
      <c r="G167" s="22" t="n">
        <f aca="false">ROUND(G95,2)</f>
        <v>2081.08</v>
      </c>
      <c r="H167" s="32"/>
      <c r="J167" s="175" t="n">
        <f aca="false">K95</f>
        <v>1506.2831870777</v>
      </c>
      <c r="K167" s="176" t="n">
        <f aca="false">K94</f>
        <v>0</v>
      </c>
      <c r="L167" s="173"/>
      <c r="M167" s="173"/>
      <c r="N167" s="176" t="n">
        <f aca="false">K96</f>
        <v>1506.2831870777</v>
      </c>
      <c r="O167" s="22"/>
      <c r="P167" s="22"/>
      <c r="Q167" s="32"/>
      <c r="S167" s="175" t="n">
        <f aca="false">T95</f>
        <v>2004.74652510014</v>
      </c>
      <c r="T167" s="176" t="n">
        <f aca="false">T94</f>
        <v>0</v>
      </c>
      <c r="U167" s="173"/>
      <c r="V167" s="173"/>
      <c r="W167" s="176" t="n">
        <f aca="false">T96</f>
        <v>2004.74652510014</v>
      </c>
      <c r="X167" s="22"/>
      <c r="Y167" s="22"/>
      <c r="Z167" s="32"/>
      <c r="AB167" s="175" t="n">
        <f aca="false">AC95</f>
        <v>1512.61242282843</v>
      </c>
      <c r="AC167" s="176" t="n">
        <f aca="false">AC94</f>
        <v>0</v>
      </c>
      <c r="AD167" s="173"/>
      <c r="AE167" s="173"/>
      <c r="AF167" s="176" t="n">
        <f aca="false">AC96</f>
        <v>1512.61242282843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3945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3945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3945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3945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57991.67</v>
      </c>
      <c r="B173" s="102" t="n">
        <f aca="false">H137</f>
        <v>11598.334</v>
      </c>
      <c r="C173" s="185"/>
      <c r="D173" s="22"/>
      <c r="E173" s="181" t="n">
        <f aca="false">H139+H140</f>
        <v>640</v>
      </c>
      <c r="F173" s="22"/>
      <c r="G173" s="22"/>
      <c r="H173" s="32"/>
      <c r="J173" s="184" t="n">
        <f aca="false">Q141-Q137-Q139-Q140</f>
        <v>30012.5</v>
      </c>
      <c r="K173" s="102" t="n">
        <f aca="false">Q137</f>
        <v>6002.5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48120.364575</v>
      </c>
      <c r="T173" s="102" t="n">
        <f aca="false">Z137</f>
        <v>9624.072915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36523.9575</v>
      </c>
      <c r="AC173" s="102" t="n">
        <f aca="false">AI137</f>
        <v>7304.7915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70230.004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36655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58384.43749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44468.749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67730.004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37655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59384.43749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45468.749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IF(A40=0 ,(A167*B59)+E185-E179 ,(A167*B59)+E185-E179-A185)</f>
        <v>15105.4211774788</v>
      </c>
      <c r="B182" s="102" t="str">
        <f aca="false">B114</f>
        <v>239.99</v>
      </c>
      <c r="C182" s="102"/>
      <c r="D182" s="22"/>
      <c r="E182" s="102" t="n">
        <f aca="false">E179+A182+B182+A185</f>
        <v>83085.4151774788</v>
      </c>
      <c r="F182" s="22"/>
      <c r="G182" s="22"/>
      <c r="H182" s="104"/>
      <c r="J182" s="110" t="n">
        <f aca="false">(J167*K59)+N185-N179-J185</f>
        <v>17503.6283606416</v>
      </c>
      <c r="K182" s="102" t="n">
        <f aca="false">K114</f>
        <v>239.99</v>
      </c>
      <c r="L182" s="102"/>
      <c r="M182" s="22"/>
      <c r="N182" s="102" t="n">
        <f aca="false">N179+J182+K182+J185</f>
        <v>55418.6183606416</v>
      </c>
      <c r="O182" s="22"/>
      <c r="P182" s="22"/>
      <c r="Q182" s="104"/>
      <c r="S182" s="110" t="n">
        <f aca="false">(S167*T59)+W185-W179-S185</f>
        <v>12721.9443634047</v>
      </c>
      <c r="T182" s="102" t="n">
        <f aca="false">T114</f>
        <v>199.99</v>
      </c>
      <c r="U182" s="102"/>
      <c r="V182" s="22"/>
      <c r="W182" s="102" t="n">
        <f aca="false">W179+S182+T182+S185</f>
        <v>72316.3718534047</v>
      </c>
      <c r="X182" s="22"/>
      <c r="Y182" s="22"/>
      <c r="Z182" s="104"/>
      <c r="AB182" s="110" t="n">
        <f aca="false">(AB167*AC59)+AF185-AF179-AB185</f>
        <v>9905.07337616645</v>
      </c>
      <c r="AC182" s="102" t="n">
        <f aca="false">AC114</f>
        <v>239.99</v>
      </c>
      <c r="AD182" s="102"/>
      <c r="AE182" s="22"/>
      <c r="AF182" s="102" t="n">
        <f aca="false">AF179+AB182+AC182+AB185</f>
        <v>55623.8123761665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(IF(E170=0,E167+A185,E170+A185))</f>
        <v>3955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3965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3955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3955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B68</f>
        <v>552.65801875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0.11705</v>
      </c>
      <c r="K188" s="102" t="n">
        <f aca="false">(P158*K67)/1.2</f>
        <v>2320.75086805556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484.560514241319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371.012361631944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652.649685416667</v>
      </c>
      <c r="C191" s="92"/>
      <c r="D191" s="92"/>
      <c r="E191" s="102" t="n">
        <f aca="false">H148</f>
        <v>9754.17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3460.74086805556</v>
      </c>
      <c r="L191" s="92"/>
      <c r="M191" s="92"/>
      <c r="N191" s="102" t="n">
        <f aca="false">Q148</f>
        <v>-21870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1584.55051424132</v>
      </c>
      <c r="U191" s="92"/>
      <c r="V191" s="92"/>
      <c r="W191" s="102" t="n">
        <f aca="false">Z148</f>
        <v>-140.562510000003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1511.00236163194</v>
      </c>
      <c r="AD191" s="92"/>
      <c r="AE191" s="92"/>
      <c r="AF191" s="102" t="n">
        <f aca="false">AI148</f>
        <v>-14056.251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2320.30662286702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1506.2831870777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2004.74652510014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1512.61242282843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6971.716</v>
      </c>
      <c r="B201" s="185" t="n">
        <f aca="false">E179+A201+B182+A185</f>
        <v>74951.71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2320.30662286702</v>
      </c>
      <c r="B212" s="176" t="str">
        <f aca="false">B167</f>
        <v>0</v>
      </c>
      <c r="C212" s="173"/>
      <c r="D212" s="173"/>
      <c r="E212" s="176" t="n">
        <f aca="false">E167</f>
        <v>2320.30662286702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57991.67</v>
      </c>
      <c r="B215" s="102" t="n">
        <f aca="false">B173</f>
        <v>11598.334</v>
      </c>
      <c r="C215" s="185"/>
      <c r="D215" s="112"/>
      <c r="E215" s="181" t="n">
        <f aca="false">E173</f>
        <v>640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70230.004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67730.004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15105.4211774788</v>
      </c>
      <c r="B224" s="102" t="str">
        <f aca="false">B182</f>
        <v>239.99</v>
      </c>
      <c r="C224" s="102"/>
      <c r="D224" s="112"/>
      <c r="E224" s="102" t="n">
        <f aca="false">E182</f>
        <v>83085.4151774788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2320.30662286702</v>
      </c>
      <c r="B230" s="102" t="str">
        <f aca="false">B167</f>
        <v>0</v>
      </c>
      <c r="C230" s="185"/>
      <c r="D230" s="185"/>
      <c r="E230" s="102" t="n">
        <f aca="false">E167</f>
        <v>2320.30662286702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3945</v>
      </c>
      <c r="B233" s="102" t="n">
        <f aca="false">E185</f>
        <v>3955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9754.17</v>
      </c>
      <c r="B240" s="102" t="n">
        <f aca="false">B68</f>
        <v>552.65801875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10406.8196854167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0.137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8143.70517747875</v>
      </c>
      <c r="C254" s="196"/>
      <c r="D254" s="197" t="s">
        <v>217</v>
      </c>
      <c r="E254" s="197"/>
      <c r="F254" s="199" t="n">
        <f aca="false">F261+F267+F269+B270+B271</f>
        <v>663.1896225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7580.50722164542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0.137</v>
      </c>
      <c r="C260" s="42"/>
      <c r="D260" s="165" t="s">
        <v>216</v>
      </c>
      <c r="E260" s="165"/>
      <c r="F260" s="145" t="n">
        <f aca="false">B254</f>
        <v>8143.70517747875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663.1896225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7580.50722164542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1" sqref="A210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46854.17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46854.17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46854.17</v>
      </c>
      <c r="F9" s="151"/>
      <c r="G9" s="135"/>
      <c r="H9" s="439" t="n">
        <f aca="false">B7+D7+F7+H3</f>
        <v>47687.5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550.0</v>
      </c>
      <c r="I10" s="2"/>
      <c r="J10" s="2"/>
      <c r="L10" s="15" t="s">
        <v>1</v>
      </c>
      <c r="M10" s="9" t="n">
        <f aca="false">H15-H11-M8</f>
        <v>48237.5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9647.5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555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55.0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58525</v>
      </c>
      <c r="I15" s="2"/>
      <c r="J15" s="16" t="n">
        <f aca="false">H15</f>
        <v>58525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57885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388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389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5260.0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3697.0499999999997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1511.37958531429</v>
      </c>
      <c r="F33" s="231"/>
      <c r="G33" s="231"/>
      <c r="H33" s="46"/>
      <c r="I33" s="2"/>
      <c r="J33" s="33" t="s">
        <v>356</v>
      </c>
      <c r="K33" s="47" t="n">
        <f aca="false">H21-H11+(H16*20%)</f>
        <v>48877.5</v>
      </c>
      <c r="L33" s="1" t="n">
        <f aca="false">H21-H11+(H16*20%)</f>
        <v>48877.5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1423.35958531429</v>
      </c>
      <c r="B36" s="231" t="n">
        <f aca="false">IF(B26="YES",K42,"0.00")</f>
        <v>88.02</v>
      </c>
      <c r="C36" s="231"/>
      <c r="D36" s="231"/>
      <c r="E36" s="231" t="n">
        <f aca="false">K31</f>
        <v>5260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48877.5</v>
      </c>
      <c r="L39" s="2" t="n">
        <f aca="false">(L47*K46)+K44</f>
        <v>26252.6263870225</v>
      </c>
      <c r="N39" s="1" t="n">
        <f aca="false">K39-L39</f>
        <v>22624.8736129775</v>
      </c>
      <c r="P39" s="211"/>
    </row>
    <row r="40" customFormat="false" ht="19.5" hidden="false" customHeight="false" outlineLevel="0" collapsed="false">
      <c r="A40" s="312" t="n">
        <f aca="false">E36*A45/100</f>
        <v>0.0</v>
      </c>
      <c r="B40" s="106" t="n">
        <f aca="false">IF(B26="YES",K42,"0.00")</f>
        <v>88.02</v>
      </c>
      <c r="C40" s="106"/>
      <c r="D40" s="106"/>
      <c r="E40" s="181" t="n">
        <f aca="false">K32</f>
        <v>3080.7</v>
      </c>
      <c r="F40" s="185"/>
      <c r="G40" s="185"/>
      <c r="H40" s="46"/>
      <c r="J40" s="2" t="s">
        <v>107</v>
      </c>
      <c r="K40" s="2" t="n">
        <f aca="false">(A40)/1.2</f>
        <v>4383.33333333333</v>
      </c>
      <c r="L40" s="2" t="n">
        <f aca="false">K39-L39</f>
        <v>22624.8736129775</v>
      </c>
      <c r="N40" s="1" t="n">
        <f aca="false">N38-N39</f>
        <v>-19713.1936129775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88.02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3608.65705263277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45268.8429473672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1423.35958531429</v>
      </c>
      <c r="L47" s="2" t="n">
        <f aca="false">L49-K42</f>
        <v>711.98</v>
      </c>
      <c r="M47" s="1" t="n">
        <f aca="false">K47-L47</f>
        <v>711.379585314291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1511.37958531429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1511.37958531429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57885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57885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57885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57885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0.024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24266.3637598819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1396.04287464146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17262.497001913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529.937524674802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565.713574305556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4281.078125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566.790625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445.214833958333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0.05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1423.35958531429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1423.35958531429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1511.37958531429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1511.37958531429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69330.004</v>
      </c>
      <c r="C81" s="92"/>
      <c r="D81" s="92"/>
      <c r="E81" s="112"/>
      <c r="F81" s="24" t="s">
        <v>106</v>
      </c>
      <c r="G81" s="26" t="n">
        <f aca="false">G158</f>
        <v>69330.004</v>
      </c>
      <c r="H81" s="32"/>
      <c r="J81" s="24" t="s">
        <v>106</v>
      </c>
      <c r="K81" s="26" t="n">
        <f aca="false">P158</f>
        <v>37655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59384.43749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45468.749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5260</v>
      </c>
      <c r="C82" s="92"/>
      <c r="D82" s="92"/>
      <c r="E82" s="112"/>
      <c r="F82" s="30" t="s">
        <v>107</v>
      </c>
      <c r="G82" s="32" t="n">
        <f aca="false">IF(A111="YES",A40,0)</f>
        <v>5260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5260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5260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0.089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0.00741666666666667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4061.30999986241</v>
      </c>
      <c r="C86" s="92"/>
      <c r="D86" s="92"/>
      <c r="E86" s="112"/>
      <c r="F86" s="30" t="s">
        <v>111</v>
      </c>
      <c r="G86" s="32" t="n">
        <f aca="false">(G82/((1+G84)^(G85+1)))</f>
        <v>4353.84473400144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3597.06478977901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3597.06478977901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29.9543371890103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65268.6940001376</v>
      </c>
      <c r="C88" s="92"/>
      <c r="D88" s="92"/>
      <c r="E88" s="112"/>
      <c r="F88" s="30" t="s">
        <v>113</v>
      </c>
      <c r="G88" s="32" t="n">
        <f aca="false">G81-G86</f>
        <v>64976.1592659986</v>
      </c>
      <c r="H88" s="32"/>
      <c r="J88" s="30" t="s">
        <v>113</v>
      </c>
      <c r="K88" s="32" t="n">
        <f aca="false">K81-K86</f>
        <v>37655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55787.372700221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41871.684210221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2178.93968370241</v>
      </c>
      <c r="C89" s="92"/>
      <c r="D89" s="92"/>
      <c r="E89" s="112"/>
      <c r="F89" s="30" t="s">
        <v>114</v>
      </c>
      <c r="G89" s="32" t="n">
        <f aca="false">(G88/G87)</f>
        <v>2097.59565927308</v>
      </c>
      <c r="H89" s="32"/>
      <c r="J89" s="30" t="s">
        <v>114</v>
      </c>
      <c r="K89" s="32" t="n">
        <f aca="false">(K88/K87)</f>
        <v>1506.2831870777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1972.94360258568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1480.80950031397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74083.949245882</v>
      </c>
      <c r="C90" s="92"/>
      <c r="D90" s="92"/>
      <c r="E90" s="112"/>
      <c r="F90" s="30" t="s">
        <v>115</v>
      </c>
      <c r="G90" s="32" t="n">
        <f aca="false">((G89*(G85))+G77)</f>
        <v>71318.2524152847</v>
      </c>
      <c r="H90" s="32"/>
      <c r="J90" s="30" t="s">
        <v>115</v>
      </c>
      <c r="K90" s="32" t="n">
        <f aca="false">((K89*(K85))+K77)</f>
        <v>52719.9115477193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67080.0824879132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50347.523010675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74083.949245882</v>
      </c>
      <c r="C92" s="92"/>
      <c r="D92" s="92"/>
      <c r="E92" s="112"/>
      <c r="F92" s="55" t="s">
        <v>117</v>
      </c>
      <c r="G92" s="64" t="n">
        <f aca="false">(G90+G91)</f>
        <v>71318.2524152847</v>
      </c>
      <c r="H92" s="32"/>
      <c r="J92" s="55" t="s">
        <v>117</v>
      </c>
      <c r="K92" s="64" t="n">
        <f aca="false">(K90+K91)</f>
        <v>52719.9115477193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67080.0824879132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50347.523010675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130.476705882353</v>
      </c>
      <c r="C94" s="92"/>
      <c r="D94" s="92"/>
      <c r="E94" s="112"/>
      <c r="F94" s="87" t="s">
        <v>118</v>
      </c>
      <c r="G94" s="93" t="n">
        <f aca="false">IF(B26="YES",((E40/B85)*(1+A108)*(C45/100)),"0")</f>
        <v>108.730588235294</v>
      </c>
      <c r="H94" s="32"/>
      <c r="J94" s="87" t="s">
        <v>118</v>
      </c>
      <c r="K94" s="88" t="n">
        <f aca="false">((E40/K85)*(1+J108))*1.2</f>
        <v>137.3112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108.730588235294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130.476705882353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2178.93968370241</v>
      </c>
      <c r="C95" s="92"/>
      <c r="D95" s="92"/>
      <c r="E95" s="112"/>
      <c r="F95" s="94" t="s">
        <v>119</v>
      </c>
      <c r="G95" s="95" t="n">
        <f aca="false">G92/(G85)</f>
        <v>2097.59565927308</v>
      </c>
      <c r="H95" s="32"/>
      <c r="J95" s="94" t="s">
        <v>119</v>
      </c>
      <c r="K95" s="95" t="n">
        <f aca="false">K92/(K85)</f>
        <v>1506.2831870777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1972.94360258568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1480.80950031397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2309.41638958477</v>
      </c>
      <c r="C96" s="92"/>
      <c r="D96" s="92"/>
      <c r="E96" s="112"/>
      <c r="F96" s="96" t="s">
        <v>120</v>
      </c>
      <c r="G96" s="97" t="n">
        <f aca="false">G94+G95</f>
        <v>2206.32624750837</v>
      </c>
      <c r="H96" s="32"/>
      <c r="J96" s="96" t="s">
        <v>120</v>
      </c>
      <c r="K96" s="97" t="n">
        <f aca="false">(K94+K95)</f>
        <v>1643.5943870777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2081.67419082098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1611.28620619632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388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404</v>
      </c>
      <c r="C108" s="106"/>
      <c r="D108" s="106"/>
      <c r="E108" s="107" t="n">
        <f aca="false">B83</f>
        <v>0.089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388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46854.17</v>
      </c>
      <c r="C121" s="120" t="n">
        <f aca="false">B121</f>
        <v>46854.17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46854.17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46854.17</v>
      </c>
      <c r="U121" s="120" t="n">
        <f aca="false">T121</f>
        <v>46854.17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46854.17</v>
      </c>
      <c r="AD121" s="120" t="n">
        <f aca="false">AC121</f>
        <v>46854.17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-9754.17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-9754.17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117.135425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11713.5425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46854.17</v>
      </c>
      <c r="C125" s="132" t="n">
        <f aca="false">C121-C124</f>
        <v>56608.34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46854.17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46854.17</v>
      </c>
      <c r="U125" s="132" t="n">
        <f aca="false">U121-U124</f>
        <v>46737.034575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46854.17</v>
      </c>
      <c r="AD125" s="132" t="n">
        <f aca="false">AD121-AD124</f>
        <v>35140.6275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47687.5</v>
      </c>
      <c r="H135" s="152" t="n">
        <f aca="false">C125+E125+G125+H128</f>
        <v>57441.67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47687.5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47687.5</v>
      </c>
      <c r="Z135" s="152" t="n">
        <f aca="false">U125+W125+Y125+Z128</f>
        <v>47570.364575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47687.5</v>
      </c>
      <c r="AI135" s="152" t="n">
        <f aca="false">AD125+AF125+AH125+AI128</f>
        <v>35973.9575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550</v>
      </c>
      <c r="H136" s="32" t="n">
        <f aca="false">G136</f>
        <v>550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550</v>
      </c>
      <c r="Q136" s="32" t="n">
        <f aca="false">P136</f>
        <v>550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550</v>
      </c>
      <c r="Z136" s="32" t="n">
        <f aca="false">Y136</f>
        <v>550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550</v>
      </c>
      <c r="AI136" s="32" t="n">
        <f aca="false">AH136</f>
        <v>550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9647.5</v>
      </c>
      <c r="H137" s="32" t="n">
        <f aca="false">(H135+H136)*20%</f>
        <v>11598.334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9647.5</v>
      </c>
      <c r="Q137" s="32" t="n">
        <f aca="false">(Q135+Q136)*20%</f>
        <v>6002.5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9647.5</v>
      </c>
      <c r="Z137" s="32" t="n">
        <f aca="false">(Z135+Z136)*20%</f>
        <v>9624.072915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9647.5</v>
      </c>
      <c r="AI137" s="32" t="n">
        <f aca="false">(AI135+AI136)*20%</f>
        <v>7304.7915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55</v>
      </c>
      <c r="H140" s="32" t="n">
        <f aca="false">G140</f>
        <v>55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55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55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55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58525</v>
      </c>
      <c r="H141" s="156" t="n">
        <f aca="false">(H135+H136+H139+H140+H137)-H138</f>
        <v>70230.004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58525</v>
      </c>
      <c r="Q141" s="156" t="n">
        <f aca="false">(Q135+Q136+Q139+Q140+Q137)-Q138</f>
        <v>36655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58525</v>
      </c>
      <c r="Z141" s="156" t="n">
        <f aca="false">(Z135+Z136+Z139+Z140+Z137)-Z138</f>
        <v>58384.43749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58525</v>
      </c>
      <c r="AI141" s="156" t="n">
        <f aca="false">(AI135+AI136+AI139+AI140+AI137)-AI138</f>
        <v>44468.749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58525</v>
      </c>
      <c r="H147" s="163" t="n">
        <f aca="false">H141-((H144*1.2)+(H145*1.2)+(H146*1.2)+(H142*1.2))</f>
        <v>70230.004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58525</v>
      </c>
      <c r="Q147" s="163" t="n">
        <f aca="false">Q141-((Q144*1.2)+(Q145*1.2)+(Q146*1.2)+(Q142*1.2))</f>
        <v>36655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58525</v>
      </c>
      <c r="Z147" s="163" t="n">
        <f aca="false">Z141-((Z144*1.2)+(Z145*1.2)+(Z146*1.2)+(Z142*1.2))</f>
        <v>58384.43749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58525</v>
      </c>
      <c r="AI147" s="163" t="n">
        <f aca="false">AI141-((AI144*1.2)+(AI145*1.2)+(AI146*1.2)+(AI142*1.2))</f>
        <v>44468.749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9754.17</v>
      </c>
      <c r="I148" s="1" t="n">
        <f aca="false">(H148-G81)/1.2</f>
        <v>-49646.5283333333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-21870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-140.562510000003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-14056.251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69330.004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37655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59384.43749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45468.749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2178.93968370241</v>
      </c>
      <c r="B167" s="176" t="n">
        <f aca="false">B94</f>
        <v>130.476705882353</v>
      </c>
      <c r="C167" s="173"/>
      <c r="D167" s="173"/>
      <c r="E167" s="176" t="n">
        <f aca="false">B96</f>
        <v>2309.41638958477</v>
      </c>
      <c r="F167" s="22"/>
      <c r="G167" s="22" t="n">
        <f aca="false">ROUND(G95,2)</f>
        <v>2097.6</v>
      </c>
      <c r="H167" s="32"/>
      <c r="J167" s="175" t="n">
        <f aca="false">K95</f>
        <v>1506.2831870777</v>
      </c>
      <c r="K167" s="176" t="n">
        <f aca="false">K94</f>
        <v>137.3112</v>
      </c>
      <c r="L167" s="173"/>
      <c r="M167" s="173"/>
      <c r="N167" s="176" t="n">
        <f aca="false">K96</f>
        <v>1643.5943870777</v>
      </c>
      <c r="O167" s="22"/>
      <c r="P167" s="22"/>
      <c r="Q167" s="32"/>
      <c r="S167" s="175" t="n">
        <f aca="false">T95</f>
        <v>1972.94360258568</v>
      </c>
      <c r="T167" s="176" t="n">
        <f aca="false">T94</f>
        <v>108.730588235294</v>
      </c>
      <c r="U167" s="173"/>
      <c r="V167" s="173"/>
      <c r="W167" s="176" t="n">
        <f aca="false">T96</f>
        <v>2081.67419082098</v>
      </c>
      <c r="X167" s="22"/>
      <c r="Y167" s="22"/>
      <c r="Z167" s="32"/>
      <c r="AB167" s="175" t="n">
        <f aca="false">AC95</f>
        <v>1480.80950031397</v>
      </c>
      <c r="AC167" s="176" t="n">
        <f aca="false">AC94</f>
        <v>130.476705882353</v>
      </c>
      <c r="AD167" s="173"/>
      <c r="AE167" s="173"/>
      <c r="AF167" s="176" t="n">
        <f aca="false">AC96</f>
        <v>1611.28620619632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5260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5260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5260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5260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57991.67</v>
      </c>
      <c r="B173" s="102" t="n">
        <f aca="false">H137</f>
        <v>11598.334</v>
      </c>
      <c r="C173" s="185"/>
      <c r="D173" s="22"/>
      <c r="E173" s="181" t="n">
        <f aca="false">H139+H140</f>
        <v>640</v>
      </c>
      <c r="F173" s="22"/>
      <c r="G173" s="22"/>
      <c r="H173" s="32"/>
      <c r="J173" s="184" t="n">
        <f aca="false">Q141-Q137-Q139-Q140</f>
        <v>30012.5</v>
      </c>
      <c r="K173" s="102" t="n">
        <f aca="false">Q137</f>
        <v>6002.5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48120.364575</v>
      </c>
      <c r="T173" s="102" t="n">
        <f aca="false">Z137</f>
        <v>9624.072915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36523.9575</v>
      </c>
      <c r="AC173" s="102" t="n">
        <f aca="false">AI137</f>
        <v>7304.7915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70230.004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n">
        <f aca="false">Q141</f>
        <v>36655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58384.43749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44468.749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69330.004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37655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59384.43749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45468.749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IF(A40=0 ,(A167*B59)+E185-E179 ,(A167*B59)+E185-E179-A185)</f>
        <v>10013.945245882</v>
      </c>
      <c r="B182" s="102" t="str">
        <f aca="false">B114</f>
        <v>239.99</v>
      </c>
      <c r="C182" s="102"/>
      <c r="D182" s="22"/>
      <c r="E182" s="102" t="n">
        <f aca="false">E179+A182+B182+A185</f>
        <v>79593.939245882</v>
      </c>
      <c r="F182" s="22"/>
      <c r="G182" s="22"/>
      <c r="H182" s="104"/>
      <c r="J182" s="110" t="n">
        <f aca="false">(J167*K59)+N185-N179-J185</f>
        <v>18818.6283606416</v>
      </c>
      <c r="K182" s="102" t="n">
        <f aca="false">K114</f>
        <v>239.99</v>
      </c>
      <c r="L182" s="102"/>
      <c r="M182" s="22"/>
      <c r="N182" s="102" t="n">
        <f aca="false">N179+J182+K182+J185</f>
        <v>56733.6183606416</v>
      </c>
      <c r="O182" s="22"/>
      <c r="P182" s="22"/>
      <c r="Q182" s="104"/>
      <c r="S182" s="110" t="n">
        <f aca="false">(S167*T59)+W185-W179-S185</f>
        <v>12955.6449979132</v>
      </c>
      <c r="T182" s="102" t="n">
        <f aca="false">T114</f>
        <v>199.99</v>
      </c>
      <c r="U182" s="102"/>
      <c r="V182" s="22"/>
      <c r="W182" s="102" t="n">
        <f aca="false">W179+S182+T182+S185</f>
        <v>72550.0724879132</v>
      </c>
      <c r="X182" s="22"/>
      <c r="Y182" s="22"/>
      <c r="Z182" s="104"/>
      <c r="AB182" s="110" t="n">
        <f aca="false">(AB167*AC59)+AF185-AF179-AB185</f>
        <v>10138.774010675</v>
      </c>
      <c r="AC182" s="102" t="n">
        <f aca="false">AC114</f>
        <v>239.99</v>
      </c>
      <c r="AD182" s="102"/>
      <c r="AE182" s="22"/>
      <c r="AF182" s="102" t="n">
        <f aca="false">AF179+AB182+AC182+AB185</f>
        <v>55857.513010675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IF(A40=0,(E167),(E170+A185))</f>
        <v>5270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5280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5270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5270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0.11577</v>
      </c>
      <c r="B188" s="102" t="n">
        <f aca="false">(G158*B67)/1.2</f>
        <v>565.713574305556</v>
      </c>
      <c r="C188" s="92"/>
      <c r="D188" s="92"/>
      <c r="E188" s="102" t="n">
        <f aca="false">(E40*A108)*0.1*C45/100</f>
        <v>61.614</v>
      </c>
      <c r="F188" s="22"/>
      <c r="G188" s="22"/>
      <c r="H188" s="32"/>
      <c r="J188" s="110" t="n">
        <f aca="false">IF(N105="YES",H15*0.000002,0)</f>
        <v>0.11705</v>
      </c>
      <c r="K188" s="102" t="n">
        <f aca="false">(P158*K67)/1.2</f>
        <v>2320.75086805556</v>
      </c>
      <c r="L188" s="92"/>
      <c r="M188" s="92"/>
      <c r="N188" s="102" t="n">
        <f aca="false">(E40*J108)*0.1</f>
        <v>92.421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484.560514241319</v>
      </c>
      <c r="U188" s="92"/>
      <c r="V188" s="92"/>
      <c r="W188" s="102" t="n">
        <f aca="false">(E40*S108)*0.1</f>
        <v>61.614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371.012361631944</v>
      </c>
      <c r="AD188" s="92"/>
      <c r="AE188" s="92"/>
      <c r="AF188" s="102" t="n">
        <f aca="false">(E40*AB108)*0.1</f>
        <v>61.614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727.319240972222</v>
      </c>
      <c r="C191" s="92"/>
      <c r="D191" s="92"/>
      <c r="E191" s="102" t="n">
        <f aca="false">H148</f>
        <v>9754.17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3553.16186805556</v>
      </c>
      <c r="L191" s="92"/>
      <c r="M191" s="92"/>
      <c r="N191" s="102" t="n">
        <f aca="false">Q148</f>
        <v>-21870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1646.16451424132</v>
      </c>
      <c r="U191" s="92"/>
      <c r="V191" s="92"/>
      <c r="W191" s="102" t="n">
        <f aca="false">Z148</f>
        <v>-140.562510000003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1572.61636163194</v>
      </c>
      <c r="AD191" s="92"/>
      <c r="AE191" s="92"/>
      <c r="AF191" s="102" t="n">
        <f aca="false">AI148</f>
        <v>-14056.251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2309.41638958477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1643.5943870777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2081.67419082098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1611.28620619632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7248.39599999999</v>
      </c>
      <c r="B201" s="185" t="n">
        <f aca="false">E179+A201+B182+A185</f>
        <v>76828.39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2178.93968370241</v>
      </c>
      <c r="B212" s="176" t="n">
        <f aca="false">B167</f>
        <v>130.476705882353</v>
      </c>
      <c r="C212" s="173"/>
      <c r="D212" s="173"/>
      <c r="E212" s="176" t="n">
        <f aca="false">E167</f>
        <v>2309.41638958477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57991.67</v>
      </c>
      <c r="B215" s="102" t="n">
        <f aca="false">B173</f>
        <v>11598.334</v>
      </c>
      <c r="C215" s="185"/>
      <c r="D215" s="112"/>
      <c r="E215" s="181" t="n">
        <f aca="false">E173</f>
        <v>640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70230.004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69330.004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10013.945245882</v>
      </c>
      <c r="B224" s="102" t="str">
        <f aca="false">B182</f>
        <v>239.99</v>
      </c>
      <c r="C224" s="102"/>
      <c r="D224" s="112"/>
      <c r="E224" s="102" t="n">
        <f aca="false">E182</f>
        <v>79593.939245882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2178.93968370241</v>
      </c>
      <c r="B230" s="102" t="n">
        <f aca="false">B167</f>
        <v>130.476705882353</v>
      </c>
      <c r="C230" s="185"/>
      <c r="D230" s="185"/>
      <c r="E230" s="102" t="n">
        <f aca="false">E167</f>
        <v>2309.41638958477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5260</v>
      </c>
      <c r="B233" s="102" t="n">
        <f aca="false">E185</f>
        <v>5270</v>
      </c>
      <c r="C233" s="92"/>
      <c r="D233" s="92"/>
      <c r="E233" s="102" t="n">
        <f aca="false">J18*0.000006*100*1.2</f>
        <v>41.6772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13.8924</v>
      </c>
      <c r="B236" s="102" t="n">
        <f aca="false">E233+A236</f>
        <v>55.5696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9754.17</v>
      </c>
      <c r="B240" s="102" t="n">
        <f aca="false">B68</f>
        <v>565.713574305556</v>
      </c>
      <c r="C240" s="92"/>
      <c r="D240" s="92"/>
      <c r="E240" s="102" t="n">
        <f aca="false">E188</f>
        <v>61.614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10481.4892409722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0.089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2775.54924588204</v>
      </c>
      <c r="C254" s="196"/>
      <c r="D254" s="197" t="s">
        <v>217</v>
      </c>
      <c r="E254" s="197"/>
      <c r="F254" s="199" t="n">
        <f aca="false">F261+F267+F269+B270+B271</f>
        <v>678.856289166667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716.131666666667</v>
      </c>
      <c r="C255" s="196"/>
      <c r="D255" s="197" t="s">
        <v>219</v>
      </c>
      <c r="E255" s="197"/>
      <c r="F255" s="199" t="n">
        <f aca="false">(B254-F254)+B255</f>
        <v>2812.82462338204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0.024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0.089</v>
      </c>
      <c r="C260" s="42"/>
      <c r="D260" s="165" t="s">
        <v>216</v>
      </c>
      <c r="E260" s="165"/>
      <c r="F260" s="145" t="n">
        <f aca="false">B254</f>
        <v>2775.54924588204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678.856289166667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616.14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2812.82462338204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7" colorId="64" zoomScale="85" zoomScaleNormal="85" zoomScalePageLayoutView="100" workbookViewId="0">
      <selection pane="topLeft" activeCell="A201" activeCellId="1" sqref="A210 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46854.17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46854.17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46854.17</v>
      </c>
      <c r="F9" s="151"/>
      <c r="G9" s="135"/>
      <c r="H9" s="439" t="n">
        <f aca="false">B7+D7+F7+H3</f>
        <v>47687.5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550.0</v>
      </c>
      <c r="I10" s="2"/>
      <c r="J10" s="2"/>
      <c r="L10" s="15" t="s">
        <v>1</v>
      </c>
      <c r="M10" s="9" t="n">
        <f aca="false">H15-H11-M8</f>
        <v>48237.5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9647.5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55.0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58525</v>
      </c>
      <c r="I15" s="2"/>
      <c r="J15" s="16" t="n">
        <f aca="false">H15</f>
        <v>58525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57885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391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389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3945.0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1451.72576540392</v>
      </c>
      <c r="F33" s="231"/>
      <c r="G33" s="231"/>
      <c r="H33" s="46"/>
      <c r="I33" s="2"/>
      <c r="J33" s="33" t="s">
        <v>356</v>
      </c>
      <c r="K33" s="47" t="n">
        <f aca="false">H21-H11+(H16*20%)</f>
        <v>48877.5</v>
      </c>
      <c r="L33" s="1" t="n">
        <f aca="false">H21-H11+(H16*20%)</f>
        <v>48877.5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1451.72576540392</v>
      </c>
      <c r="B36" s="231" t="str">
        <f aca="false">IF(B26="YES",K42,"0.00")</f>
        <v>0.00</v>
      </c>
      <c r="C36" s="231"/>
      <c r="D36" s="231"/>
      <c r="E36" s="231" t="n">
        <f aca="false">K31</f>
        <v>3945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48877.5</v>
      </c>
      <c r="L39" s="2" t="n">
        <f aca="false">(L47*K46)+K44</f>
        <v>28149.8696645438</v>
      </c>
      <c r="N39" s="1" t="n">
        <f aca="false">K39-L39</f>
        <v>20727.6303354562</v>
      </c>
      <c r="P39" s="211"/>
    </row>
    <row r="40" customFormat="false" ht="19.5" hidden="false" customHeight="false" outlineLevel="0" collapsed="false">
      <c r="A40" s="312" t="n">
        <f aca="false">E36*A45/100</f>
        <v>0.0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3287.5</v>
      </c>
      <c r="L40" s="2" t="n">
        <f aca="false">K39-L39</f>
        <v>20727.6303354562</v>
      </c>
      <c r="N40" s="1" t="n">
        <f aca="false">N38-N39</f>
        <v>-17815.9503354562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2706.49278947458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46171.0072105254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1451.72576540392</v>
      </c>
      <c r="L47" s="2" t="n">
        <f aca="false">L49-K42</f>
        <v>800</v>
      </c>
      <c r="M47" s="1" t="n">
        <f aca="false">K47-L47</f>
        <v>651.725765403921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1451.72576540392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1451.72576540392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57885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57885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57885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57885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25549.3154642598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403.226571504398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17350.9800642674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618.420587029214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552.65801875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4281.078125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566.790625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445.214833958333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1451.72576540392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1451.72576540392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1451.72576540392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1451.72576540392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67730.004</v>
      </c>
      <c r="C81" s="92"/>
      <c r="D81" s="92"/>
      <c r="E81" s="112"/>
      <c r="F81" s="24" t="s">
        <v>106</v>
      </c>
      <c r="G81" s="26" t="n">
        <f aca="false">G158</f>
        <v>67730.004</v>
      </c>
      <c r="H81" s="32"/>
      <c r="J81" s="24" t="s">
        <v>106</v>
      </c>
      <c r="K81" s="26" t="n">
        <f aca="false">P158</f>
        <v>37655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59384.43749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45468.749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3945</v>
      </c>
      <c r="C82" s="92"/>
      <c r="D82" s="92"/>
      <c r="E82" s="112"/>
      <c r="F82" s="30" t="s">
        <v>107</v>
      </c>
      <c r="G82" s="32" t="n">
        <f aca="false">IF(A111="YES",A40,0)</f>
        <v>3945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3945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3945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2825.34165605089</v>
      </c>
      <c r="C86" s="92"/>
      <c r="D86" s="92"/>
      <c r="E86" s="112"/>
      <c r="F86" s="30" t="s">
        <v>111</v>
      </c>
      <c r="G86" s="32" t="n">
        <f aca="false">(G82/((1+G84)^(G85+1)))</f>
        <v>3265.38355050108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2697.79859233425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2697.79859233425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28.8995114056174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64904.6623439491</v>
      </c>
      <c r="C88" s="92"/>
      <c r="D88" s="92"/>
      <c r="E88" s="112"/>
      <c r="F88" s="30" t="s">
        <v>113</v>
      </c>
      <c r="G88" s="32" t="n">
        <f aca="false">G81-G86</f>
        <v>64464.6204494989</v>
      </c>
      <c r="H88" s="32"/>
      <c r="J88" s="30" t="s">
        <v>113</v>
      </c>
      <c r="K88" s="32" t="n">
        <f aca="false">K81-K86</f>
        <v>37655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56686.6388976657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42770.9504076658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2245.87403686462</v>
      </c>
      <c r="C89" s="92"/>
      <c r="D89" s="92"/>
      <c r="E89" s="112"/>
      <c r="F89" s="30" t="s">
        <v>114</v>
      </c>
      <c r="G89" s="32" t="n">
        <f aca="false">(G88/G87)</f>
        <v>2081.0818854034</v>
      </c>
      <c r="H89" s="32"/>
      <c r="J89" s="30" t="s">
        <v>114</v>
      </c>
      <c r="K89" s="32" t="n">
        <f aca="false">(K88/K87)</f>
        <v>1506.2831870777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2004.74652510014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1512.61242282843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76359.7172533971</v>
      </c>
      <c r="C90" s="92"/>
      <c r="D90" s="92"/>
      <c r="E90" s="112"/>
      <c r="F90" s="30" t="s">
        <v>115</v>
      </c>
      <c r="G90" s="32" t="n">
        <f aca="false">((G89*(G85))+G77)</f>
        <v>70756.7841037154</v>
      </c>
      <c r="H90" s="32"/>
      <c r="J90" s="30" t="s">
        <v>115</v>
      </c>
      <c r="K90" s="32" t="n">
        <f aca="false">((K89*(K85))+K77)</f>
        <v>52719.9115477193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68161.3818534047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51428.8223761665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76359.7172533971</v>
      </c>
      <c r="C92" s="92"/>
      <c r="D92" s="92"/>
      <c r="E92" s="112"/>
      <c r="F92" s="55" t="s">
        <v>117</v>
      </c>
      <c r="G92" s="64" t="n">
        <f aca="false">(G90+G91)</f>
        <v>70756.7841037154</v>
      </c>
      <c r="H92" s="32"/>
      <c r="J92" s="55" t="s">
        <v>117</v>
      </c>
      <c r="K92" s="64" t="n">
        <f aca="false">(K90+K91)</f>
        <v>52719.9115477193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68161.3818534047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51428.8223761665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2245.87403686462</v>
      </c>
      <c r="C95" s="92"/>
      <c r="D95" s="92"/>
      <c r="E95" s="112"/>
      <c r="F95" s="94" t="s">
        <v>119</v>
      </c>
      <c r="G95" s="95" t="n">
        <f aca="false">G92/(G85)</f>
        <v>2081.0818854034</v>
      </c>
      <c r="H95" s="32"/>
      <c r="J95" s="94" t="s">
        <v>119</v>
      </c>
      <c r="K95" s="95" t="n">
        <f aca="false">K92/(K85)</f>
        <v>1506.2831870777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2004.74652510014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1512.61242282843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2245.87403686462</v>
      </c>
      <c r="C96" s="92"/>
      <c r="D96" s="92"/>
      <c r="E96" s="112"/>
      <c r="F96" s="96" t="s">
        <v>120</v>
      </c>
      <c r="G96" s="97" t="n">
        <f aca="false">G94+G95</f>
        <v>2081.0818854034</v>
      </c>
      <c r="H96" s="32"/>
      <c r="J96" s="96" t="s">
        <v>120</v>
      </c>
      <c r="K96" s="97" t="n">
        <f aca="false">(K94+K95)</f>
        <v>1506.2831870777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2004.74652510014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1512.61242282843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391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393</v>
      </c>
      <c r="C108" s="106"/>
      <c r="D108" s="106"/>
      <c r="E108" s="107" t="n">
        <f aca="false">B83</f>
        <v>0.115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388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n">
        <v>0.3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46854.17</v>
      </c>
      <c r="C121" s="120" t="n">
        <f aca="false">B121</f>
        <v>46854.17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46854.17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46854.17</v>
      </c>
      <c r="U121" s="120" t="n">
        <f aca="false">T121</f>
        <v>46854.17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46854.17</v>
      </c>
      <c r="AD121" s="120" t="n">
        <f aca="false">AC121</f>
        <v>46854.17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-1000.0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-9754.17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117.135425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11713.5425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46854.17</v>
      </c>
      <c r="C125" s="132" t="n">
        <f aca="false">C121-C124</f>
        <v>56608.34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46854.17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46854.17</v>
      </c>
      <c r="U125" s="132" t="n">
        <f aca="false">U121-U124</f>
        <v>46737.034575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46854.17</v>
      </c>
      <c r="AD125" s="132" t="n">
        <f aca="false">AD121-AD124</f>
        <v>35140.6275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47687.5</v>
      </c>
      <c r="H135" s="152" t="n">
        <f aca="false">C125+E125+G125+H128</f>
        <v>57441.67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47687.5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47687.5</v>
      </c>
      <c r="Z135" s="152" t="n">
        <f aca="false">U125+W125+Y125+Z128</f>
        <v>47570.364575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47687.5</v>
      </c>
      <c r="AI135" s="152" t="n">
        <f aca="false">AD125+AF125+AH125+AI128</f>
        <v>35973.9575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550</v>
      </c>
      <c r="H136" s="32" t="n">
        <f aca="false">G136</f>
        <v>550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550</v>
      </c>
      <c r="Q136" s="32" t="n">
        <f aca="false">P136</f>
        <v>550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550</v>
      </c>
      <c r="Z136" s="32" t="n">
        <f aca="false">Y136</f>
        <v>550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550</v>
      </c>
      <c r="AI136" s="32" t="n">
        <f aca="false">AH136</f>
        <v>550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9647.5</v>
      </c>
      <c r="H137" s="32" t="n">
        <f aca="false">(H135+H136)*20%</f>
        <v>11598.334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9647.5</v>
      </c>
      <c r="Q137" s="32" t="n">
        <f aca="false">(Q135+Q136)*20%</f>
        <v>6002.5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9647.5</v>
      </c>
      <c r="Z137" s="32" t="n">
        <f aca="false">(Z135+Z136)*20%</f>
        <v>9624.072915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9647.5</v>
      </c>
      <c r="AI137" s="32" t="n">
        <f aca="false">(AI135+AI136)*20%</f>
        <v>7304.7915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55</v>
      </c>
      <c r="H140" s="32" t="n">
        <f aca="false">G140</f>
        <v>55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55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55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55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58525</v>
      </c>
      <c r="H141" s="156" t="n">
        <f aca="false">(H135+H136+H139+H140+H137)-H138</f>
        <v>70230.004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58525</v>
      </c>
      <c r="Q141" s="156" t="n">
        <f aca="false">(Q135+Q136+Q139+Q140+Q137)-Q138</f>
        <v>36655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58525</v>
      </c>
      <c r="Z141" s="156" t="n">
        <f aca="false">(Z135+Z136+Z139+Z140+Z137)-Z138</f>
        <v>58384.43749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58525</v>
      </c>
      <c r="AI141" s="156" t="n">
        <f aca="false">(AI135+AI136+AI139+AI140+AI137)-AI138</f>
        <v>44468.749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58525</v>
      </c>
      <c r="H147" s="163" t="n">
        <f aca="false">H141-((H144*1.2)+(H145*1.2)+(H146*1.2)+(H142*1.2))</f>
        <v>70230.004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58525</v>
      </c>
      <c r="Q147" s="163" t="n">
        <f aca="false">Q141-((Q144*1.2)+(Q145*1.2)+(Q146*1.2)+(Q142*1.2))</f>
        <v>36655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58525</v>
      </c>
      <c r="Z147" s="163" t="n">
        <f aca="false">Z141-((Z144*1.2)+(Z145*1.2)+(Z146*1.2)+(Z142*1.2))</f>
        <v>58384.43749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58525</v>
      </c>
      <c r="AI147" s="163" t="n">
        <f aca="false">AI141-((AI144*1.2)+(AI145*1.2)+(AI146*1.2)+(AI142*1.2))</f>
        <v>44468.749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9754.17</v>
      </c>
      <c r="I148" s="1" t="n">
        <f aca="false">(H148-G81)/1.2</f>
        <v>-48313.195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-21870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-140.562510000003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-14056.251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67730.004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37655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59384.43749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45468.749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2245.87403686462</v>
      </c>
      <c r="B167" s="176" t="str">
        <f aca="false">B94</f>
        <v>0</v>
      </c>
      <c r="C167" s="173"/>
      <c r="D167" s="173"/>
      <c r="E167" s="176" t="n">
        <f aca="false">B96</f>
        <v>2245.87403686462</v>
      </c>
      <c r="F167" s="22"/>
      <c r="G167" s="22" t="n">
        <f aca="false">ROUND(G95,2)</f>
        <v>2081.08</v>
      </c>
      <c r="H167" s="32"/>
      <c r="J167" s="175" t="n">
        <f aca="false">K95</f>
        <v>1506.2831870777</v>
      </c>
      <c r="K167" s="176" t="n">
        <f aca="false">K94</f>
        <v>0</v>
      </c>
      <c r="L167" s="173"/>
      <c r="M167" s="173"/>
      <c r="N167" s="176" t="n">
        <f aca="false">K96</f>
        <v>1506.2831870777</v>
      </c>
      <c r="O167" s="22"/>
      <c r="P167" s="22"/>
      <c r="Q167" s="32"/>
      <c r="S167" s="175" t="n">
        <f aca="false">T95</f>
        <v>2004.74652510014</v>
      </c>
      <c r="T167" s="176" t="n">
        <f aca="false">T94</f>
        <v>0</v>
      </c>
      <c r="U167" s="173"/>
      <c r="V167" s="173"/>
      <c r="W167" s="176" t="n">
        <f aca="false">T96</f>
        <v>2004.74652510014</v>
      </c>
      <c r="X167" s="22"/>
      <c r="Y167" s="22"/>
      <c r="Z167" s="32"/>
      <c r="AB167" s="175" t="n">
        <f aca="false">AC95</f>
        <v>1512.61242282843</v>
      </c>
      <c r="AC167" s="176" t="n">
        <f aca="false">AC94</f>
        <v>0</v>
      </c>
      <c r="AD167" s="173"/>
      <c r="AE167" s="173"/>
      <c r="AF167" s="176" t="n">
        <f aca="false">AC96</f>
        <v>1512.61242282843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3945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3945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3945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3945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57991.67</v>
      </c>
      <c r="B173" s="102" t="n">
        <f aca="false">H137</f>
        <v>11598.334</v>
      </c>
      <c r="C173" s="185"/>
      <c r="D173" s="22"/>
      <c r="E173" s="181" t="n">
        <f aca="false">H139+H140</f>
        <v>640</v>
      </c>
      <c r="F173" s="22"/>
      <c r="G173" s="22"/>
      <c r="H173" s="32"/>
      <c r="J173" s="184" t="n">
        <f aca="false">Q141-Q137-Q139-Q140</f>
        <v>30012.5</v>
      </c>
      <c r="K173" s="102" t="n">
        <f aca="false">Q137</f>
        <v>6002.5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48120.364575</v>
      </c>
      <c r="T173" s="102" t="n">
        <f aca="false">Z137</f>
        <v>9624.072915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36523.9575</v>
      </c>
      <c r="AC173" s="102" t="n">
        <f aca="false">AI137</f>
        <v>7304.7915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70230.004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36655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58384.43749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44468.749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67730.004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37655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59384.43749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45468.749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IF(A40=0 ,(A167*B59)+E185-E179 ,(A167*B59)+E185-E179-A185)</f>
        <v>12574.7132533971</v>
      </c>
      <c r="B182" s="102" t="str">
        <f aca="false">B114</f>
        <v>199.99</v>
      </c>
      <c r="C182" s="102"/>
      <c r="D182" s="22"/>
      <c r="E182" s="102" t="n">
        <f aca="false">E179+A182+(B182*1.2)+A185</f>
        <v>80554.7052533971</v>
      </c>
      <c r="F182" s="22"/>
      <c r="G182" s="22"/>
      <c r="H182" s="104"/>
      <c r="J182" s="110" t="n">
        <f aca="false">(J167*K59)+N185-N179-J185</f>
        <v>17503.6283606416</v>
      </c>
      <c r="K182" s="102" t="n">
        <f aca="false">K114</f>
        <v>239.99</v>
      </c>
      <c r="L182" s="102"/>
      <c r="M182" s="22"/>
      <c r="N182" s="102" t="n">
        <f aca="false">N179+J182+K182+J185</f>
        <v>55418.6183606416</v>
      </c>
      <c r="O182" s="22"/>
      <c r="P182" s="22"/>
      <c r="Q182" s="104"/>
      <c r="S182" s="110" t="n">
        <f aca="false">(S167*T59)+W185-W179-S185</f>
        <v>12721.9443634047</v>
      </c>
      <c r="T182" s="102" t="n">
        <f aca="false">T114</f>
        <v>199.99</v>
      </c>
      <c r="U182" s="102"/>
      <c r="V182" s="22"/>
      <c r="W182" s="102" t="n">
        <f aca="false">W179+S182+T182+S185</f>
        <v>72316.3718534047</v>
      </c>
      <c r="X182" s="22"/>
      <c r="Y182" s="22"/>
      <c r="Z182" s="104"/>
      <c r="AB182" s="110" t="n">
        <f aca="false">(AB167*AC59)+AF185-AF179-AB185</f>
        <v>9905.07337616645</v>
      </c>
      <c r="AC182" s="102" t="n">
        <f aca="false">AC114</f>
        <v>239.99</v>
      </c>
      <c r="AD182" s="102"/>
      <c r="AE182" s="22"/>
      <c r="AF182" s="102" t="n">
        <f aca="false">AF179+AB182+AC182+AB185</f>
        <v>55623.8123761665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IF(A40=0,(E167),(E170+A185))</f>
        <v>3955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3965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3955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3955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0</v>
      </c>
      <c r="B188" s="102" t="n">
        <f aca="false">(G158*B67)/1.2</f>
        <v>552.65801875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0.11705</v>
      </c>
      <c r="K188" s="102" t="n">
        <f aca="false">(P158*K67)/1.2</f>
        <v>2320.75086805556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484.560514241319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371.012361631944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652.64801875</v>
      </c>
      <c r="C191" s="92"/>
      <c r="D191" s="92"/>
      <c r="E191" s="102" t="n">
        <f aca="false">H148</f>
        <v>9754.17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3460.74086805556</v>
      </c>
      <c r="L191" s="92"/>
      <c r="M191" s="92"/>
      <c r="N191" s="102" t="n">
        <f aca="false">Q148</f>
        <v>-21870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1584.55051424132</v>
      </c>
      <c r="U191" s="92"/>
      <c r="V191" s="92"/>
      <c r="W191" s="102" t="n">
        <f aca="false">Z148</f>
        <v>-140.562510000003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1511.00236163194</v>
      </c>
      <c r="AD191" s="92"/>
      <c r="AE191" s="92"/>
      <c r="AF191" s="102" t="n">
        <f aca="false">AI148</f>
        <v>-14056.251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2245.87403686462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1506.2831870777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2004.74652510014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1512.61242282843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6971.716</v>
      </c>
      <c r="B201" s="185" t="n">
        <f aca="false">E179+A201+(B182*1.2)+A185</f>
        <v>74951.708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2245.87403686462</v>
      </c>
      <c r="B212" s="176" t="str">
        <f aca="false">B167</f>
        <v>0</v>
      </c>
      <c r="C212" s="173"/>
      <c r="D212" s="173"/>
      <c r="E212" s="176" t="n">
        <f aca="false">E167</f>
        <v>2245.87403686462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57991.67</v>
      </c>
      <c r="B215" s="102" t="n">
        <f aca="false">B173</f>
        <v>11598.334</v>
      </c>
      <c r="C215" s="185"/>
      <c r="D215" s="112"/>
      <c r="E215" s="181" t="n">
        <f aca="false">E173</f>
        <v>640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70230.004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67730.004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12574.7132533971</v>
      </c>
      <c r="B224" s="102" t="str">
        <f aca="false">B182</f>
        <v>199.99</v>
      </c>
      <c r="C224" s="102"/>
      <c r="D224" s="112"/>
      <c r="E224" s="102" t="n">
        <f aca="false">E182</f>
        <v>80554.7052533971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2245.87403686462</v>
      </c>
      <c r="B230" s="102" t="str">
        <f aca="false">B167</f>
        <v>0</v>
      </c>
      <c r="C230" s="185"/>
      <c r="D230" s="185"/>
      <c r="E230" s="102" t="n">
        <f aca="false">E167</f>
        <v>2245.87403686462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3945</v>
      </c>
      <c r="B233" s="102" t="n">
        <f aca="false">E185</f>
        <v>3955</v>
      </c>
      <c r="C233" s="92"/>
      <c r="D233" s="92"/>
      <c r="E233" s="102" t="n">
        <f aca="false">J18*0.000006*100</f>
        <v>34.731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34.731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9754.17</v>
      </c>
      <c r="B240" s="102" t="n">
        <f aca="false">B68</f>
        <v>552.65801875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10406.81801875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5612.99725339706</v>
      </c>
      <c r="C254" s="196"/>
      <c r="D254" s="197" t="s">
        <v>217</v>
      </c>
      <c r="E254" s="197"/>
      <c r="F254" s="199" t="n">
        <f aca="false">F261+F267+F269+B270+B271</f>
        <v>663.1896225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5049.79763089706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5612.99725339706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663.1896225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5049.79763089706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125" colorId="64" zoomScale="85" zoomScaleNormal="85" zoomScalePageLayoutView="100" workbookViewId="0">
      <selection pane="topLeft" activeCell="B140" activeCellId="1" sqref="A210 B14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 t="s">
        <v>18</v>
      </c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46854.17</v>
      </c>
      <c r="C3" s="495" t="n">
        <v>0.0</v>
      </c>
      <c r="D3" s="262" t="n">
        <v>833.33</v>
      </c>
      <c r="E3" s="496" t="n">
        <v>0</v>
      </c>
      <c r="F3" s="62"/>
      <c r="G3" s="62" t="n">
        <v>25000</v>
      </c>
      <c r="H3" s="62"/>
      <c r="I3" s="62" t="s">
        <v>19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-222.685622218897</v>
      </c>
      <c r="H8" s="62"/>
      <c r="I8" s="13" t="s">
        <v>3</v>
      </c>
      <c r="J8" s="9" t="n">
        <f aca="false">E13+E14</f>
        <v>640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47687.5</v>
      </c>
      <c r="F9" s="62"/>
      <c r="G9" s="450" t="n">
        <f aca="false">E9-G11</f>
        <v>-104337.5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550.0</v>
      </c>
      <c r="F10" s="62"/>
      <c r="G10" s="450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9647.5</v>
      </c>
      <c r="F11" s="62"/>
      <c r="G11" s="450" t="n">
        <f aca="false">G13/1.2</f>
        <v>152025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450" t="n">
        <f aca="false">G15-E14-E13-E12</f>
        <v>182430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58525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56885.004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58345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388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389</v>
      </c>
      <c r="C30" s="171"/>
      <c r="D30" s="214"/>
      <c r="E30" s="215"/>
      <c r="F30" s="62"/>
      <c r="G30" s="217" t="s">
        <v>32</v>
      </c>
      <c r="H30" s="453" t="n">
        <v>35000.0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13150.0</v>
      </c>
      <c r="I31" s="237" t="n">
        <f aca="false">IF(C107="YES",H31,0)</f>
        <v>10575</v>
      </c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6161.75</v>
      </c>
      <c r="J32" s="62"/>
      <c r="K32" s="62" t="n">
        <v>2160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2080.07364298597</v>
      </c>
      <c r="E33" s="215"/>
      <c r="F33" s="62"/>
      <c r="G33" s="218" t="s">
        <v>356</v>
      </c>
      <c r="H33" s="456" t="n">
        <f aca="false">E21-E11+((E16*20%)+(E19*20%)+(E20*20%))</f>
        <v>48727.5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1979.24364298597</v>
      </c>
      <c r="B36" s="102" t="n">
        <f aca="false">IF(B26="YES",H42,"")</f>
        <v>100.83</v>
      </c>
      <c r="C36" s="220"/>
      <c r="D36" s="183" t="n">
        <f aca="false">I31</f>
        <v>10575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48727.5</v>
      </c>
      <c r="I39" s="237" t="n">
        <f aca="false">(I48*H46)+H44</f>
        <v>34658.8077670097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10575</v>
      </c>
      <c r="B40" s="106" t="n">
        <f aca="false">IF(B26="YES",H42,"0")</f>
        <v>100.83</v>
      </c>
      <c r="C40" s="106"/>
      <c r="D40" s="183" t="n">
        <f aca="false">I32</f>
        <v>2218.26</v>
      </c>
      <c r="E40" s="215"/>
      <c r="F40" s="62"/>
      <c r="G40" s="62" t="s">
        <v>107</v>
      </c>
      <c r="H40" s="237" t="n">
        <f aca="false">A40/1.2</f>
        <v>8812.5</v>
      </c>
      <c r="I40" s="237" t="n">
        <f aca="false">H39-I39</f>
        <v>14068.6922329903</v>
      </c>
      <c r="J40" s="62" t="n">
        <v>8812.5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100.83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7782.86120321809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374</v>
      </c>
      <c r="H45" s="237" t="n">
        <f aca="false">(H39-H44)</f>
        <v>40944.6387967819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1979.24364298597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2080.07364298597</v>
      </c>
      <c r="I48" s="237" t="n">
        <f aca="false">I49-H42</f>
        <v>1299.17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2080.07364298597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57885</v>
      </c>
      <c r="C61" s="214"/>
      <c r="D61" s="214"/>
      <c r="E61" s="215"/>
      <c r="F61" s="62"/>
      <c r="G61" s="213" t="s">
        <v>14</v>
      </c>
      <c r="H61" s="290" t="n">
        <f aca="false">G18</f>
        <v>57885</v>
      </c>
      <c r="I61" s="214"/>
      <c r="J61" s="214"/>
      <c r="K61" s="215"/>
      <c r="L61" s="62"/>
      <c r="M61" s="213" t="s">
        <v>14</v>
      </c>
      <c r="N61" s="290" t="n">
        <f aca="false">G18</f>
        <v>57885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0.0845833333333333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4896.10625</v>
      </c>
      <c r="C64" s="214" t="n">
        <v>10000.0</v>
      </c>
      <c r="D64" s="290" t="n">
        <f aca="false">B64-A143</f>
        <v>4896.10625</v>
      </c>
      <c r="E64" s="215"/>
      <c r="F64" s="62"/>
      <c r="G64" s="284" t="s">
        <v>91</v>
      </c>
      <c r="H64" s="132" t="n">
        <f aca="false">H61*H63</f>
        <v>4896.10625</v>
      </c>
      <c r="I64" s="214"/>
      <c r="J64" s="290" t="n">
        <f aca="false">H64-G145</f>
        <v>4896.10625</v>
      </c>
      <c r="K64" s="215"/>
      <c r="L64" s="62"/>
      <c r="M64" s="284" t="s">
        <v>91</v>
      </c>
      <c r="N64" s="132" t="n">
        <f aca="false">N61*N63</f>
        <v>4896.10625</v>
      </c>
      <c r="O64" s="214"/>
      <c r="P64" s="290" t="n">
        <f aca="false">N64-M145</f>
        <v>4896.10625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820.0375</v>
      </c>
      <c r="C67" s="214"/>
      <c r="D67" s="290"/>
      <c r="E67" s="215"/>
      <c r="F67" s="62"/>
      <c r="G67" s="284" t="s">
        <v>94</v>
      </c>
      <c r="H67" s="132" t="n">
        <f aca="false">(H61*H66)/1.2</f>
        <v>683.364583333333</v>
      </c>
      <c r="I67" s="214"/>
      <c r="J67" s="290"/>
      <c r="K67" s="215"/>
      <c r="L67" s="62"/>
      <c r="M67" s="284" t="s">
        <v>94</v>
      </c>
      <c r="N67" s="132" t="n">
        <f aca="false">(N61*N66)/1.2</f>
        <v>683.364583333333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467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427" t="s">
        <v>280</v>
      </c>
      <c r="B74" s="428" t="n">
        <v>0.0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429" t="s">
        <v>281</v>
      </c>
      <c r="B75" s="430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431" t="s">
        <v>282</v>
      </c>
      <c r="B76" s="4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6272.77291666667</v>
      </c>
      <c r="C81" s="214"/>
      <c r="D81" s="214"/>
      <c r="E81" s="215"/>
      <c r="F81" s="62"/>
      <c r="G81" s="302" t="s">
        <v>103</v>
      </c>
      <c r="H81" s="303" t="n">
        <f aca="false">SUM(J64:J80)</f>
        <v>5706.35625</v>
      </c>
      <c r="I81" s="214"/>
      <c r="J81" s="214"/>
      <c r="K81" s="215"/>
      <c r="L81" s="62"/>
      <c r="M81" s="302" t="s">
        <v>103</v>
      </c>
      <c r="N81" s="303" t="n">
        <f aca="false">SUM(P64:P80)</f>
        <v>5555.10625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285.126041666667</v>
      </c>
      <c r="C82" s="214"/>
      <c r="D82" s="214"/>
      <c r="E82" s="215"/>
      <c r="F82" s="62"/>
      <c r="G82" s="213" t="s">
        <v>104</v>
      </c>
      <c r="H82" s="299" t="n">
        <f aca="false">H81/H29</f>
        <v>259.379829545455</v>
      </c>
      <c r="I82" s="214"/>
      <c r="J82" s="214"/>
      <c r="K82" s="215"/>
      <c r="L82" s="62"/>
      <c r="M82" s="213" t="s">
        <v>104</v>
      </c>
      <c r="N82" s="299" t="n">
        <f aca="false">N81/H29</f>
        <v>252.504829545455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1979.24364298597</v>
      </c>
      <c r="C83" s="214"/>
      <c r="D83" s="214"/>
      <c r="E83" s="215"/>
      <c r="F83" s="62"/>
      <c r="G83" s="304" t="s">
        <v>105</v>
      </c>
      <c r="H83" s="305" t="n">
        <f aca="false">H47</f>
        <v>1979.24364298597</v>
      </c>
      <c r="I83" s="214"/>
      <c r="J83" s="214"/>
      <c r="K83" s="215"/>
      <c r="L83" s="62"/>
      <c r="M83" s="304" t="s">
        <v>105</v>
      </c>
      <c r="N83" s="305" t="n">
        <f aca="false">H47</f>
        <v>1979.24364298597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49816.133062358</v>
      </c>
      <c r="C85" s="214"/>
      <c r="D85" s="214"/>
      <c r="E85" s="215"/>
      <c r="F85" s="62"/>
      <c r="G85" s="287" t="s">
        <v>115</v>
      </c>
      <c r="H85" s="130" t="n">
        <f aca="false">((H83*H29)+H81)*1.2</f>
        <v>59099.6596748296</v>
      </c>
      <c r="I85" s="214"/>
      <c r="J85" s="214"/>
      <c r="K85" s="215"/>
      <c r="L85" s="62"/>
      <c r="M85" s="287" t="s">
        <v>115</v>
      </c>
      <c r="N85" s="130" t="n">
        <f aca="false">((N83*H29)+N81)</f>
        <v>49098.4663956913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422.000320415296</v>
      </c>
      <c r="C86" s="214"/>
      <c r="D86" s="214"/>
      <c r="E86" s="215"/>
      <c r="F86" s="62"/>
      <c r="G86" s="213" t="s">
        <v>116</v>
      </c>
      <c r="H86" s="299" t="n">
        <f aca="false">((((H83*H29)+H81))/(1-H70))*H70</f>
        <v>417.202115493956</v>
      </c>
      <c r="I86" s="214"/>
      <c r="J86" s="214"/>
      <c r="K86" s="215"/>
      <c r="L86" s="62"/>
      <c r="M86" s="213" t="s">
        <v>116</v>
      </c>
      <c r="N86" s="299" t="n">
        <f aca="false">(N85/(1-N70))*N70</f>
        <v>415.920852888067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50238.1333827733</v>
      </c>
      <c r="C87" s="214"/>
      <c r="D87" s="214"/>
      <c r="E87" s="215"/>
      <c r="F87" s="62"/>
      <c r="G87" s="284" t="s">
        <v>117</v>
      </c>
      <c r="H87" s="132" t="n">
        <f aca="false">IF(H110="YES",((H85+H86)-K114),(H85+H86))</f>
        <v>59516.8617903236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49514.3872485794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IF(B99=Y98,(D40+(D40*B105))/(B58),(D40+(D40*B105))/(B57+B58))*(C45/100)</f>
        <v>120.996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118.3072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98.5893333333333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2283.55151739879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2204.32821445643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1833.86619439183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2404.54751739879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2322.63541445643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1932.45552772516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342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388</v>
      </c>
      <c r="B105" s="313" t="n">
        <v>0.2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 t="s">
        <v>343</v>
      </c>
      <c r="C107" s="221" t="s">
        <v>388</v>
      </c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391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18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6000.0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2204.32821445643</v>
      </c>
      <c r="H127" s="176" t="n">
        <f aca="false">IF(G105="YES",H89*H57,0)</f>
        <v>709.8432</v>
      </c>
      <c r="I127" s="176"/>
      <c r="J127" s="333" t="n">
        <f aca="false">H91</f>
        <v>2322.63541445643</v>
      </c>
      <c r="K127" s="215"/>
      <c r="L127" s="62"/>
      <c r="M127" s="332" t="n">
        <f aca="false">N90</f>
        <v>1833.86619439183</v>
      </c>
      <c r="N127" s="176" t="n">
        <f aca="false">IF(M105="YES",N89*N57,0)</f>
        <v>591.536</v>
      </c>
      <c r="O127" s="176"/>
      <c r="P127" s="176" t="n">
        <f aca="false">N91</f>
        <v>1932.45552772516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2283.55151739879</v>
      </c>
      <c r="B128" s="320" t="n">
        <f aca="false">IF(A105="YES",B89,0)</f>
        <v>120.996</v>
      </c>
      <c r="C128" s="324"/>
      <c r="D128" s="320" t="n">
        <f aca="false">B91</f>
        <v>2404.54751739879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2283.55151739879</v>
      </c>
      <c r="C131" s="316"/>
      <c r="D131" s="37" t="n">
        <f aca="false">IF(A105="YES",B89*B57,0)</f>
        <v>120.996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13225.9692867386</v>
      </c>
      <c r="H133" s="102" t="n">
        <f aca="false">IF(G105="YES",H89*H57,0)</f>
        <v>709.8432</v>
      </c>
      <c r="I133" s="220"/>
      <c r="J133" s="183" t="n">
        <f aca="false">H91*H57</f>
        <v>13935.8124867386</v>
      </c>
      <c r="K133" s="215"/>
      <c r="L133" s="62"/>
      <c r="M133" s="184" t="n">
        <f aca="false">N90*N57</f>
        <v>11003.197166351</v>
      </c>
      <c r="N133" s="102" t="n">
        <f aca="false">IF(M105="YES",N89*N57,0)</f>
        <v>591.536</v>
      </c>
      <c r="O133" s="220"/>
      <c r="P133" s="183" t="n">
        <f aca="false">N91*N57</f>
        <v>11594.733166351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2404.54751739879</v>
      </c>
      <c r="B134" s="37" t="n">
        <f aca="false">E114</f>
        <v>4000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0.35115</v>
      </c>
      <c r="H136" s="102" t="n">
        <f aca="false">IF(G105="YES",E15*0.000002,0)</f>
        <v>0.11705</v>
      </c>
      <c r="I136" s="102"/>
      <c r="J136" s="102" t="n">
        <f aca="false">G136+H136</f>
        <v>0.4682</v>
      </c>
      <c r="K136" s="104"/>
      <c r="L136" s="62"/>
      <c r="M136" s="110" t="n">
        <f aca="false">E15*0.000006</f>
        <v>0.35115</v>
      </c>
      <c r="N136" s="102" t="n">
        <f aca="false">IF(M105="YES",E15*0.000002,0)</f>
        <v>0.11705</v>
      </c>
      <c r="O136" s="102"/>
      <c r="P136" s="102" t="n">
        <f aca="false">M136+N136</f>
        <v>0.4682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2283.55151739879</v>
      </c>
      <c r="B137" s="37" t="n">
        <f aca="false">IF(A105="YES",B89,0)</f>
        <v>120.996</v>
      </c>
      <c r="C137" s="316"/>
      <c r="D137" s="37" t="n">
        <f aca="false">B91</f>
        <v>2404.54751739879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683.364583333333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683.364583333333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34.731</v>
      </c>
      <c r="B140" s="342" t="n">
        <f aca="false">IF(A105="YES",G18*0.000002,0)*100</f>
        <v>11.577</v>
      </c>
      <c r="C140" s="316"/>
      <c r="D140" s="342" t="n">
        <f aca="false">A140+B140</f>
        <v>46.308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44.3652</v>
      </c>
      <c r="H142" s="102" t="n">
        <f aca="false">G102-100</f>
        <v>99.99</v>
      </c>
      <c r="I142" s="102"/>
      <c r="J142" s="102" t="n">
        <f aca="false">(H139+J139+G142+H142)-H145</f>
        <v>827.719783333333</v>
      </c>
      <c r="K142" s="104"/>
      <c r="L142" s="62"/>
      <c r="M142" s="110" t="n">
        <f aca="false">IF(M105="YES",((B36*N105)*0.1)*(M130),0)</f>
        <v>44.3652</v>
      </c>
      <c r="N142" s="102" t="n">
        <f aca="false">M102-100</f>
        <v>99.99</v>
      </c>
      <c r="O142" s="102"/>
      <c r="P142" s="102" t="n">
        <f aca="false">(N139+P139+M142+N142)-N145</f>
        <v>827.719783333333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820.0375</v>
      </c>
      <c r="B148" s="37" t="n">
        <f aca="false">B102</f>
        <v>400</v>
      </c>
      <c r="C148" s="37"/>
      <c r="D148" s="37" t="n">
        <f aca="false">IF(A105="YES",(B40*B105)*B125,0)*0.1</f>
        <v>44.3652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1364.3927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2322.63541445643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1932.45552772516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2404.54751739879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2283.55151739879</v>
      </c>
      <c r="B177" s="354" t="n">
        <f aca="false">IF(A105="YES",B89,0)</f>
        <v>120.996</v>
      </c>
      <c r="C177" s="356"/>
      <c r="D177" s="354" t="n">
        <f aca="false">B91</f>
        <v>2404.54751739879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2283.55151739879</v>
      </c>
      <c r="C180" s="352"/>
      <c r="D180" s="102" t="n">
        <f aca="false">IF(A105="YES",B89*B57,0)</f>
        <v>120.996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2404.54751739879</v>
      </c>
      <c r="B183" s="102" t="n">
        <f aca="false">E114</f>
        <v>4000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2283.55151739879</v>
      </c>
      <c r="B186" s="102" t="n">
        <f aca="false">IF(A105="YES",B89,0)</f>
        <v>120.996</v>
      </c>
      <c r="C186" s="352"/>
      <c r="D186" s="102" t="n">
        <f aca="false">B91</f>
        <v>2404.54751739879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34.731</v>
      </c>
      <c r="B189" s="364" t="n">
        <f aca="false">IF(A105="YES",G18*0.000002,0)*100</f>
        <v>11.577</v>
      </c>
      <c r="C189" s="352"/>
      <c r="D189" s="364" t="n">
        <f aca="false">A189+B189</f>
        <v>46.308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820.0375</v>
      </c>
      <c r="B197" s="102" t="n">
        <f aca="false">B102</f>
        <v>400</v>
      </c>
      <c r="C197" s="102"/>
      <c r="D197" s="102" t="n">
        <f aca="false">IF(A105="YES",(B40*B105)*B125,0)*0.1</f>
        <v>44.3652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1364.3927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4896.10625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820.0375</v>
      </c>
      <c r="C211" s="319" t="s">
        <v>218</v>
      </c>
      <c r="D211" s="369" t="n">
        <f aca="false">B225+E221+B221+B223</f>
        <v>783.642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4859.71075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4896.10625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820.0375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4859.71075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443.652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422.000320415296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1" sqref="A210 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46854.17</v>
      </c>
      <c r="C3" s="495" t="n">
        <v>0.0</v>
      </c>
      <c r="D3" s="262" t="n">
        <v>833.33</v>
      </c>
      <c r="E3" s="496" t="n">
        <v>0</v>
      </c>
      <c r="F3" s="62"/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-222.685622218897</v>
      </c>
      <c r="H8" s="62"/>
      <c r="I8" s="13" t="s">
        <v>3</v>
      </c>
      <c r="J8" s="9" t="n">
        <f aca="false">E13+E14</f>
        <v>640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47687.5</v>
      </c>
      <c r="F9" s="62"/>
      <c r="G9" s="450" t="n">
        <f aca="false">E9-G11</f>
        <v>-104337.5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550.0</v>
      </c>
      <c r="F10" s="62"/>
      <c r="G10" s="450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9647.5</v>
      </c>
      <c r="F11" s="62"/>
      <c r="G11" s="450" t="n">
        <f aca="false">G13/1.2</f>
        <v>152025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450" t="n">
        <f aca="false">G15-E14-E13-E12</f>
        <v>182430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58525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56885.004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388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389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0.0</v>
      </c>
      <c r="I31" s="62"/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1417.68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1548.57530203721</v>
      </c>
      <c r="E33" s="215"/>
      <c r="F33" s="62"/>
      <c r="G33" s="218" t="s">
        <v>356</v>
      </c>
      <c r="H33" s="456" t="n">
        <f aca="false">E21-E11+((E16*20%)+(E19*20%)+(E20*20%))</f>
        <v>48877.5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1509.19530203721</v>
      </c>
      <c r="B36" s="102" t="n">
        <f aca="false">IF(B26="YES",H42,"")</f>
        <v>39.38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48877.5</v>
      </c>
      <c r="I39" s="237" t="n">
        <f aca="false">(I48*H46)+H44</f>
        <v>44065.6712621812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39.38</v>
      </c>
      <c r="C40" s="106"/>
      <c r="D40" s="183" t="n">
        <f aca="false">I32</f>
        <v>1417.68</v>
      </c>
      <c r="E40" s="215"/>
      <c r="F40" s="62"/>
      <c r="G40" s="62" t="s">
        <v>107</v>
      </c>
      <c r="H40" s="237" t="n">
        <f aca="false">(A40)/1.2</f>
        <v>0</v>
      </c>
      <c r="I40" s="237" t="n">
        <f aca="false">H39-I39</f>
        <v>4811.82873781884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39.38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507" t="n">
        <v>100.0</v>
      </c>
      <c r="D45" s="507"/>
      <c r="E45" s="215"/>
      <c r="F45" s="62"/>
      <c r="G45" s="62" t="s">
        <v>374</v>
      </c>
      <c r="H45" s="237" t="n">
        <f aca="false">(H39-H44)</f>
        <v>48877.5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1509.19530203721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1548.57530203721</v>
      </c>
      <c r="I48" s="237" t="n">
        <f aca="false">I49-H42</f>
        <v>1360.62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1548.57530203721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57885</v>
      </c>
      <c r="C61" s="214"/>
      <c r="D61" s="214"/>
      <c r="E61" s="215"/>
      <c r="F61" s="62"/>
      <c r="G61" s="213" t="s">
        <v>14</v>
      </c>
      <c r="H61" s="290" t="n">
        <f aca="false">G18</f>
        <v>57885</v>
      </c>
      <c r="I61" s="214"/>
      <c r="J61" s="214"/>
      <c r="K61" s="215"/>
      <c r="L61" s="62"/>
      <c r="M61" s="213" t="s">
        <v>14</v>
      </c>
      <c r="N61" s="290" t="n">
        <f aca="false">G18</f>
        <v>57885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6077.925</v>
      </c>
      <c r="C64" s="214" t="n">
        <v>10000.0</v>
      </c>
      <c r="D64" s="290" t="n">
        <f aca="false">B64-A143</f>
        <v>6077.925</v>
      </c>
      <c r="E64" s="462" t="n">
        <f aca="false">D64/(B58+B57)</f>
        <v>168.83125</v>
      </c>
      <c r="F64" s="62"/>
      <c r="G64" s="284" t="s">
        <v>91</v>
      </c>
      <c r="H64" s="132" t="n">
        <f aca="false">H61*H63</f>
        <v>6077.925</v>
      </c>
      <c r="I64" s="214"/>
      <c r="J64" s="290" t="n">
        <f aca="false">H64-G145</f>
        <v>6077.925</v>
      </c>
      <c r="K64" s="215"/>
      <c r="L64" s="62"/>
      <c r="M64" s="284" t="s">
        <v>91</v>
      </c>
      <c r="N64" s="132" t="n">
        <f aca="false">N61*N63</f>
        <v>6077.925</v>
      </c>
      <c r="O64" s="214"/>
      <c r="P64" s="290" t="n">
        <f aca="false">N64-M145</f>
        <v>6077.925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1157.7</v>
      </c>
      <c r="C67" s="214"/>
      <c r="D67" s="290"/>
      <c r="E67" s="215"/>
      <c r="F67" s="62"/>
      <c r="G67" s="284" t="s">
        <v>94</v>
      </c>
      <c r="H67" s="132" t="n">
        <f aca="false">(H61*H66)/1.2</f>
        <v>964.75</v>
      </c>
      <c r="I67" s="214"/>
      <c r="J67" s="290"/>
      <c r="K67" s="215"/>
      <c r="L67" s="62"/>
      <c r="M67" s="284" t="s">
        <v>94</v>
      </c>
      <c r="N67" s="132" t="n">
        <f aca="false">(N61*N66)/1.2</f>
        <v>964.75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290" t="n">
        <f aca="false">B73+B71</f>
        <v>380</v>
      </c>
      <c r="E73" s="215"/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355.0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1083.33333333333</v>
      </c>
      <c r="C76" s="214"/>
      <c r="D76" s="290" t="n">
        <f aca="false">B76</f>
        <v>1083.33333333333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0</v>
      </c>
      <c r="C77" s="214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214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462" t="n">
        <f aca="false">(D73+D76+D79+D80)/(B58+B57)</f>
        <v>51.7592592592593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7941.25833333333</v>
      </c>
      <c r="C81" s="214"/>
      <c r="D81" s="214"/>
      <c r="E81" s="462"/>
      <c r="F81" s="62"/>
      <c r="G81" s="302" t="s">
        <v>103</v>
      </c>
      <c r="H81" s="303" t="n">
        <f aca="false">SUM(J64:J80)</f>
        <v>7143.675</v>
      </c>
      <c r="I81" s="214"/>
      <c r="J81" s="214"/>
      <c r="K81" s="215"/>
      <c r="L81" s="62"/>
      <c r="M81" s="302" t="s">
        <v>103</v>
      </c>
      <c r="N81" s="303" t="n">
        <f aca="false">SUM(P64:P80)</f>
        <v>6799.925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220.590509259259</v>
      </c>
      <c r="C82" s="214"/>
      <c r="D82" s="214"/>
      <c r="E82" s="462"/>
      <c r="F82" s="62"/>
      <c r="G82" s="213" t="s">
        <v>104</v>
      </c>
      <c r="H82" s="299" t="n">
        <f aca="false">H81/H29</f>
        <v>198.435416666667</v>
      </c>
      <c r="I82" s="214"/>
      <c r="J82" s="214"/>
      <c r="K82" s="215"/>
      <c r="L82" s="62"/>
      <c r="M82" s="213" t="s">
        <v>104</v>
      </c>
      <c r="N82" s="299" t="n">
        <f aca="false">N81/H29</f>
        <v>188.886805555556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1509.19530203721</v>
      </c>
      <c r="C83" s="214"/>
      <c r="D83" s="214"/>
      <c r="E83" s="462" t="n">
        <f aca="false">B83+E80+E77+E64</f>
        <v>1729.78581129647</v>
      </c>
      <c r="F83" s="62"/>
      <c r="G83" s="304" t="s">
        <v>105</v>
      </c>
      <c r="H83" s="305" t="n">
        <f aca="false">H47</f>
        <v>1509.19530203721</v>
      </c>
      <c r="I83" s="214"/>
      <c r="J83" s="214"/>
      <c r="K83" s="215"/>
      <c r="L83" s="62"/>
      <c r="M83" s="304" t="s">
        <v>105</v>
      </c>
      <c r="N83" s="305" t="n">
        <f aca="false">H47</f>
        <v>1509.19530203721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74726.7470480076</v>
      </c>
      <c r="C85" s="214"/>
      <c r="D85" s="214"/>
      <c r="E85" s="462" t="n">
        <f aca="false">B85/(B58+B57)</f>
        <v>2075.74297355577</v>
      </c>
      <c r="F85" s="62"/>
      <c r="G85" s="287" t="s">
        <v>115</v>
      </c>
      <c r="H85" s="130" t="n">
        <f aca="false">((H83*H29)+H81)*1.2</f>
        <v>73769.6470480076</v>
      </c>
      <c r="I85" s="214"/>
      <c r="J85" s="214"/>
      <c r="K85" s="215"/>
      <c r="L85" s="62"/>
      <c r="M85" s="287" t="s">
        <v>115</v>
      </c>
      <c r="N85" s="130" t="n">
        <f aca="false">((N83*H29)+N81)</f>
        <v>61130.9558733396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((((B83*H29)+B81))/(1-B70))*B70</f>
        <v>527.518383759634</v>
      </c>
      <c r="C86" s="214"/>
      <c r="D86" s="214"/>
      <c r="E86" s="462" t="n">
        <f aca="false">B86/(B58+B57)</f>
        <v>14.6532884377676</v>
      </c>
      <c r="F86" s="62"/>
      <c r="G86" s="213" t="s">
        <v>116</v>
      </c>
      <c r="H86" s="299" t="n">
        <f aca="false">((((H83*H29)+H81))/(1-H70))*H70</f>
        <v>520.761929544225</v>
      </c>
      <c r="I86" s="214"/>
      <c r="J86" s="214"/>
      <c r="K86" s="215"/>
      <c r="L86" s="62"/>
      <c r="M86" s="213" t="s">
        <v>116</v>
      </c>
      <c r="N86" s="299" t="n">
        <f aca="false">(N85/(1-N70))*N70</f>
        <v>517.849969076294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75254.2654317672</v>
      </c>
      <c r="C87" s="214"/>
      <c r="D87" s="214"/>
      <c r="E87" s="462" t="n">
        <f aca="false">E86+E85</f>
        <v>2090.39626199353</v>
      </c>
      <c r="F87" s="62"/>
      <c r="G87" s="284" t="s">
        <v>117</v>
      </c>
      <c r="H87" s="132" t="n">
        <f aca="false">IF(H110="YES",((H85+H86)-K114),(H85+H86))</f>
        <v>74290.4089775518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61648.8058424159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IF(B99=Y98,(D40+(D40*B105))/(B58),(D40+(D40*B105))/(B57+B58))*1.2*(C45/100)</f>
        <v>56.7072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49.7916878048781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41.4930731707317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2090.39626199353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1811.96119457443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1503.62941079063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2147.10346199353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1861.75288237931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1545.12248396136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0.0</v>
      </c>
      <c r="C102" s="106"/>
      <c r="D102" s="106" t="n">
        <v>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388</v>
      </c>
      <c r="B105" s="313" t="n">
        <v>0.2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391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6000.0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E118+E117-E114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1811.96119457443</v>
      </c>
      <c r="H127" s="176" t="n">
        <f aca="false">IF(G105="YES",H89*H57,0)</f>
        <v>298.750126829268</v>
      </c>
      <c r="I127" s="176"/>
      <c r="J127" s="333" t="n">
        <f aca="false">H91</f>
        <v>1861.75288237931</v>
      </c>
      <c r="K127" s="215"/>
      <c r="L127" s="62"/>
      <c r="M127" s="332" t="n">
        <f aca="false">N90</f>
        <v>1503.62941079063</v>
      </c>
      <c r="N127" s="176" t="n">
        <f aca="false">IF(M105="YES",N89*N57,0)</f>
        <v>248.95843902439</v>
      </c>
      <c r="O127" s="176"/>
      <c r="P127" s="176" t="n">
        <f aca="false">N91</f>
        <v>1545.12248396136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2090.39626199353</v>
      </c>
      <c r="B128" s="320" t="n">
        <f aca="false">IF(A105="YES",B89,0)</f>
        <v>56.7072</v>
      </c>
      <c r="C128" s="324"/>
      <c r="D128" s="320" t="n">
        <f aca="false">B91</f>
        <v>2147.10346199353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2090.39626199353</v>
      </c>
      <c r="C131" s="316"/>
      <c r="D131" s="37" t="n">
        <f aca="false">IF(A105="YES",B89*B57,0)</f>
        <v>56.7072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10871.7671674466</v>
      </c>
      <c r="H133" s="102" t="n">
        <f aca="false">IF(G105="YES",H89*H57,0)</f>
        <v>298.750126829268</v>
      </c>
      <c r="I133" s="220"/>
      <c r="J133" s="183" t="n">
        <f aca="false">H91*H57</f>
        <v>11170.5172942759</v>
      </c>
      <c r="K133" s="215"/>
      <c r="L133" s="62"/>
      <c r="M133" s="184" t="n">
        <f aca="false">N90*N57</f>
        <v>9021.77646474379</v>
      </c>
      <c r="N133" s="102" t="n">
        <f aca="false">IF(M105="YES",N89*N57,0)</f>
        <v>248.95843902439</v>
      </c>
      <c r="O133" s="220"/>
      <c r="P133" s="183" t="n">
        <f aca="false">N91*N57</f>
        <v>9270.73490376819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2147.10346199353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0.35115</v>
      </c>
      <c r="H136" s="102" t="n">
        <f aca="false">IF(G105="YES",E15*0.000002,0)</f>
        <v>0.11705</v>
      </c>
      <c r="I136" s="102"/>
      <c r="J136" s="102" t="n">
        <f aca="false">G136+H136</f>
        <v>0.4682</v>
      </c>
      <c r="K136" s="104"/>
      <c r="L136" s="62"/>
      <c r="M136" s="110" t="n">
        <f aca="false">E15*0.000006</f>
        <v>0.35115</v>
      </c>
      <c r="N136" s="102" t="n">
        <f aca="false">IF(M105="YES",E15*0.000002,0)</f>
        <v>0.11705</v>
      </c>
      <c r="O136" s="102"/>
      <c r="P136" s="102" t="n">
        <f aca="false">M136+N136</f>
        <v>0.4682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2090.39626199353</v>
      </c>
      <c r="B137" s="37" t="n">
        <f aca="false">IF(A105="YES",B89,0)</f>
        <v>56.7072</v>
      </c>
      <c r="C137" s="316"/>
      <c r="D137" s="37" t="n">
        <f aca="false">B91</f>
        <v>2147.10346199353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964.75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964.75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IF(A105="YES",G18*0.000002,0)*1.2*100</f>
        <v>13.8924</v>
      </c>
      <c r="C140" s="316"/>
      <c r="D140" s="342" t="n">
        <f aca="false">A140+B140</f>
        <v>55.5696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28.3536</v>
      </c>
      <c r="H142" s="102" t="n">
        <f aca="false">G102-100</f>
        <v>99.99</v>
      </c>
      <c r="I142" s="102"/>
      <c r="J142" s="102" t="n">
        <f aca="false">(H139+J139+G142+H142)-H145</f>
        <v>1093.0936</v>
      </c>
      <c r="K142" s="104"/>
      <c r="L142" s="62"/>
      <c r="M142" s="110" t="n">
        <f aca="false">IF(M105="YES",((B36*N105)*0.1)*(M130),0)</f>
        <v>28.3536</v>
      </c>
      <c r="N142" s="102" t="n">
        <f aca="false">M102-100</f>
        <v>99.99</v>
      </c>
      <c r="O142" s="102"/>
      <c r="P142" s="102" t="n">
        <f aca="false">(N139+P139+M142+N142)-N145</f>
        <v>1093.0936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1157.7</v>
      </c>
      <c r="B148" s="37" t="n">
        <f aca="false">B102</f>
        <v>0</v>
      </c>
      <c r="C148" s="37"/>
      <c r="D148" s="37" t="n">
        <f aca="false">IF(A105="YES",(B40*B105)*B125,0)*0.1</f>
        <v>28.3536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1286.04526666667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1861.75288237931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1545.12248396136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2147.10346199353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2090.39626199353</v>
      </c>
      <c r="B177" s="354" t="n">
        <f aca="false">IF(A105="YES",B89,0)</f>
        <v>56.7072</v>
      </c>
      <c r="C177" s="356"/>
      <c r="D177" s="354" t="n">
        <f aca="false">B91</f>
        <v>2147.10346199353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2090.39626199353</v>
      </c>
      <c r="C180" s="352"/>
      <c r="D180" s="102" t="n">
        <f aca="false">IF(A105="YES",B89*B57,0)</f>
        <v>56.7072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2147.10346199353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2090.39626199353</v>
      </c>
      <c r="B186" s="102" t="n">
        <f aca="false">IF(A105="YES",B89,0)</f>
        <v>56.7072</v>
      </c>
      <c r="C186" s="352"/>
      <c r="D186" s="102" t="n">
        <f aca="false">B91</f>
        <v>2147.10346199353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IF(A105="YES",G18*0.000002,0)*1.2*100</f>
        <v>13.8924</v>
      </c>
      <c r="C189" s="352"/>
      <c r="D189" s="364" t="n">
        <f aca="false">A189+B189</f>
        <v>55.5696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1157.7</v>
      </c>
      <c r="B197" s="102" t="n">
        <f aca="false">B102</f>
        <v>0</v>
      </c>
      <c r="C197" s="102"/>
      <c r="D197" s="102" t="n">
        <f aca="false">IF(A105="YES",(B40*B105)*B125,0)*0.1</f>
        <v>28.3536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(E118/1.2)-100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1286.04526666667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6077.925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1157.7</v>
      </c>
      <c r="C211" s="319" t="s">
        <v>218</v>
      </c>
      <c r="D211" s="369" t="n">
        <f aca="false">B225+E221+B221+B223</f>
        <v>383.527666666667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5303.75266666667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6077.925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1157.7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5303.75266666667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283.536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527.518383759634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B189" activeCellId="1" sqref="A210 B18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46854.17</v>
      </c>
      <c r="C3" s="495" t="n">
        <v>0.0</v>
      </c>
      <c r="D3" s="262" t="n">
        <v>833.33</v>
      </c>
      <c r="E3" s="496" t="n">
        <v>0</v>
      </c>
      <c r="F3" s="62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13"/>
      <c r="B8" s="214"/>
      <c r="C8" s="214"/>
      <c r="D8" s="214"/>
      <c r="E8" s="215"/>
      <c r="F8" s="62"/>
      <c r="G8" s="451" t="n">
        <f aca="false">G9*100/B3</f>
        <v>-222.685622218897</v>
      </c>
      <c r="H8" s="62"/>
      <c r="I8" s="13" t="s">
        <v>3</v>
      </c>
      <c r="J8" s="9" t="n">
        <f aca="false">E13+E14</f>
        <v>640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505" t="n">
        <f aca="false">(B7+C7+D7+E3)</f>
        <v>47687.5</v>
      </c>
      <c r="F9" s="62"/>
      <c r="G9" s="450" t="n">
        <f aca="false">E9-G11</f>
        <v>-104337.5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550.0</v>
      </c>
      <c r="F10" s="62"/>
      <c r="G10" s="450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(E9+E10)*0.2</f>
        <v>9647.5</v>
      </c>
      <c r="F11" s="62"/>
      <c r="G11" s="450" t="n">
        <f aca="false">G13/1.2</f>
        <v>152025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585.0</v>
      </c>
      <c r="F13" s="62"/>
      <c r="G13" s="450" t="n">
        <f aca="false">G15-E14-E13-E12</f>
        <v>182430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58525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56885.004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388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22.0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389</v>
      </c>
      <c r="C30" s="171"/>
      <c r="D30" s="214"/>
      <c r="E30" s="215"/>
      <c r="F30" s="62"/>
      <c r="G30" s="217" t="s">
        <v>32</v>
      </c>
      <c r="H30" s="453" t="n">
        <v>22000.0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10575.0</v>
      </c>
      <c r="I31" s="62"/>
      <c r="J31" s="62"/>
      <c r="K31" s="62" t="n">
        <v>10000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2218.48</v>
      </c>
      <c r="J32" s="62"/>
      <c r="K32" s="62" t="n">
        <v>14400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1354.49468588456</v>
      </c>
      <c r="E33" s="215"/>
      <c r="F33" s="62"/>
      <c r="G33" s="218" t="s">
        <v>356</v>
      </c>
      <c r="H33" s="456" t="n">
        <f aca="false">E21-E11+((E16*20%)+(E19*20%)+(E20*20%))</f>
        <v>48877.5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1266.47468588456</v>
      </c>
      <c r="B36" s="102" t="n">
        <f aca="false">IF(B26="YES",H42,"")</f>
        <v>88.02</v>
      </c>
      <c r="C36" s="220"/>
      <c r="D36" s="183" t="n">
        <f aca="false">H31</f>
        <v>13150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48877.5</v>
      </c>
      <c r="I39" s="237" t="n">
        <f aca="false">(I48*H46)+H44</f>
        <v>50314.3478352327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13150</v>
      </c>
      <c r="B40" s="106" t="n">
        <f aca="false">IF(B26="YES",H42,"0")</f>
        <v>88.02</v>
      </c>
      <c r="C40" s="106"/>
      <c r="D40" s="183" t="n">
        <f aca="false">I32</f>
        <v>6161.4</v>
      </c>
      <c r="E40" s="215"/>
      <c r="F40" s="62"/>
      <c r="G40" s="62" t="s">
        <v>107</v>
      </c>
      <c r="H40" s="237" t="n">
        <f aca="false">A40/1.2</f>
        <v>10958.3333333333</v>
      </c>
      <c r="I40" s="237" t="n">
        <f aca="false">H39-I39</f>
        <v>-1436.84783523266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88.02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8888.07357446331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50.0</v>
      </c>
      <c r="D45" s="459"/>
      <c r="E45" s="215"/>
      <c r="F45" s="62"/>
      <c r="G45" s="62" t="s">
        <v>374</v>
      </c>
      <c r="H45" s="237" t="n">
        <f aca="false">(H39-H44)</f>
        <v>39989.4264255367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31.5753854942677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1266.47468588456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1354.49468588456</v>
      </c>
      <c r="I48" s="237" t="n">
        <f aca="false">I49-H42</f>
        <v>1311.98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1354.49468588456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57885</v>
      </c>
      <c r="C61" s="214"/>
      <c r="D61" s="214"/>
      <c r="E61" s="215"/>
      <c r="F61" s="62"/>
      <c r="G61" s="213" t="s">
        <v>14</v>
      </c>
      <c r="H61" s="290" t="n">
        <f aca="false">G18</f>
        <v>57885</v>
      </c>
      <c r="I61" s="214"/>
      <c r="J61" s="214"/>
      <c r="K61" s="215"/>
      <c r="L61" s="62"/>
      <c r="M61" s="213" t="s">
        <v>14</v>
      </c>
      <c r="N61" s="290" t="n">
        <f aca="false">G18</f>
        <v>57885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0.103541666666667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10000</v>
      </c>
      <c r="C64" s="461" t="n">
        <v>10000.0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5993.509375</v>
      </c>
      <c r="I64" s="214"/>
      <c r="J64" s="290" t="n">
        <f aca="false">H64-G145</f>
        <v>5993.509375</v>
      </c>
      <c r="K64" s="215"/>
      <c r="L64" s="62"/>
      <c r="M64" s="284" t="s">
        <v>91</v>
      </c>
      <c r="N64" s="132" t="n">
        <f aca="false">N61*N63</f>
        <v>5993.509375</v>
      </c>
      <c r="O64" s="214"/>
      <c r="P64" s="290" t="n">
        <f aca="false">N64-M145</f>
        <v>5993.509375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1133.58125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944.651041666667</v>
      </c>
      <c r="I67" s="214"/>
      <c r="J67" s="290"/>
      <c r="K67" s="215"/>
      <c r="L67" s="62"/>
      <c r="M67" s="284" t="s">
        <v>94</v>
      </c>
      <c r="N67" s="132" t="n">
        <f aca="false">(N61*N66)/1.2</f>
        <v>944.651041666667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355.0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1040</v>
      </c>
      <c r="C76" s="214"/>
      <c r="D76" s="290" t="n">
        <f aca="false">B76</f>
        <v>1040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469"/>
      <c r="D80" s="290" t="n">
        <f aca="false">B80</f>
        <v>200</v>
      </c>
      <c r="E80" s="462" t="n">
        <f aca="false">(D73+D76+D79+D80)/(B58+B57)</f>
        <v>51.8571428571429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12481.6666666667</v>
      </c>
      <c r="C81" s="469"/>
      <c r="D81" s="470"/>
      <c r="E81" s="462"/>
      <c r="F81" s="62"/>
      <c r="G81" s="302" t="s">
        <v>103</v>
      </c>
      <c r="H81" s="303" t="n">
        <f aca="false">SUM(J64:J80)</f>
        <v>7041.009375</v>
      </c>
      <c r="I81" s="214"/>
      <c r="J81" s="214"/>
      <c r="K81" s="215"/>
      <c r="L81" s="62"/>
      <c r="M81" s="302" t="s">
        <v>103</v>
      </c>
      <c r="N81" s="303" t="n">
        <f aca="false">SUM(P64:P80)</f>
        <v>6711.009375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356.619047619048</v>
      </c>
      <c r="C82" s="469"/>
      <c r="D82" s="214"/>
      <c r="E82" s="462"/>
      <c r="F82" s="62"/>
      <c r="G82" s="213" t="s">
        <v>104</v>
      </c>
      <c r="H82" s="299" t="n">
        <f aca="false">H81/H29</f>
        <v>201.171696428571</v>
      </c>
      <c r="I82" s="214"/>
      <c r="J82" s="214"/>
      <c r="K82" s="215"/>
      <c r="L82" s="62"/>
      <c r="M82" s="213" t="s">
        <v>104</v>
      </c>
      <c r="N82" s="299" t="n">
        <f aca="false">N81/H29</f>
        <v>191.743125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1266.47468588456</v>
      </c>
      <c r="C83" s="469"/>
      <c r="D83" s="214"/>
      <c r="E83" s="462" t="n">
        <f aca="false">B83+E80+E77+E64</f>
        <v>1616.7445271544</v>
      </c>
      <c r="F83" s="62"/>
      <c r="G83" s="304" t="s">
        <v>105</v>
      </c>
      <c r="H83" s="305" t="n">
        <f aca="false">H47</f>
        <v>1266.47468588456</v>
      </c>
      <c r="I83" s="214"/>
      <c r="J83" s="214"/>
      <c r="K83" s="215"/>
      <c r="L83" s="62"/>
      <c r="M83" s="304" t="s">
        <v>105</v>
      </c>
      <c r="N83" s="305" t="n">
        <f aca="false">H47</f>
        <v>1266.47468588456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56808.2806726264</v>
      </c>
      <c r="C85" s="469"/>
      <c r="D85" s="469"/>
      <c r="E85" s="462" t="n">
        <f aca="false">B85/(B58+B57)</f>
        <v>1623.09373350361</v>
      </c>
      <c r="F85" s="62"/>
      <c r="G85" s="287" t="s">
        <v>115</v>
      </c>
      <c r="H85" s="130" t="n">
        <f aca="false">((H83*H29)+H81)*1.2</f>
        <v>61641.1480571517</v>
      </c>
      <c r="I85" s="214"/>
      <c r="J85" s="214"/>
      <c r="K85" s="215"/>
      <c r="L85" s="62"/>
      <c r="M85" s="287" t="s">
        <v>115</v>
      </c>
      <c r="N85" s="130" t="n">
        <f aca="false">((N83*H29)+N81)</f>
        <v>51037.6233809597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481.231905657585</v>
      </c>
      <c r="C86" s="469" t="s">
        <v>231</v>
      </c>
      <c r="D86" s="214"/>
      <c r="E86" s="462" t="n">
        <f aca="false">B86/(B58+B57)</f>
        <v>13.7494830187882</v>
      </c>
      <c r="F86" s="62"/>
      <c r="G86" s="213" t="s">
        <v>116</v>
      </c>
      <c r="H86" s="299" t="n">
        <f aca="false">((((H83*H29)+H81))/(1-H70))*H70</f>
        <v>435.143239612809</v>
      </c>
      <c r="I86" s="214"/>
      <c r="J86" s="214"/>
      <c r="K86" s="215"/>
      <c r="L86" s="62"/>
      <c r="M86" s="213" t="s">
        <v>116</v>
      </c>
      <c r="N86" s="299" t="n">
        <f aca="false">(N85/(1-N70))*N70</f>
        <v>432.347757563596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57289.512578284</v>
      </c>
      <c r="C87" s="469"/>
      <c r="D87" s="471"/>
      <c r="E87" s="462" t="n">
        <f aca="false">E86+E85</f>
        <v>1636.8432165224</v>
      </c>
      <c r="F87" s="62"/>
      <c r="G87" s="284" t="s">
        <v>117</v>
      </c>
      <c r="H87" s="132" t="n">
        <f aca="false">IF(H110="YES",((H85+H86)-K114),(H85+H86))</f>
        <v>62076.2912967645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51469.9711385233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114.426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221.8104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184.842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1636.8432165224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1551.90728241911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1286.74927846308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1751.2692165224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1773.71768241911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1471.59127846308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388</v>
      </c>
      <c r="B105" s="313" t="n">
        <v>0.3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391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6000.0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 t="s">
        <v>19</v>
      </c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1551.90728241911</v>
      </c>
      <c r="H127" s="176" t="n">
        <f aca="false">IF(G105="YES",H89*H57,0)</f>
        <v>1330.8624</v>
      </c>
      <c r="I127" s="176"/>
      <c r="J127" s="333" t="n">
        <f aca="false">H91</f>
        <v>1773.71768241911</v>
      </c>
      <c r="K127" s="215"/>
      <c r="L127" s="62"/>
      <c r="M127" s="332" t="n">
        <f aca="false">N90</f>
        <v>1286.74927846308</v>
      </c>
      <c r="N127" s="176" t="n">
        <f aca="false">IF(M105="YES",N89*N57,0)</f>
        <v>1109.052</v>
      </c>
      <c r="O127" s="176"/>
      <c r="P127" s="176" t="n">
        <f aca="false">N91</f>
        <v>1471.59127846308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1636.8432165224</v>
      </c>
      <c r="B128" s="320" t="n">
        <f aca="false">IF(A105="YES",B89,0)</f>
        <v>114.426</v>
      </c>
      <c r="C128" s="324"/>
      <c r="D128" s="320" t="n">
        <f aca="false">B91</f>
        <v>1751.2692165224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1636.8432165224</v>
      </c>
      <c r="C131" s="316"/>
      <c r="D131" s="37" t="n">
        <f aca="false">IF(A105="YES",B89*B57,0)</f>
        <v>114.426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9311.44369451467</v>
      </c>
      <c r="H133" s="102" t="n">
        <f aca="false">IF(G105="YES",H89*H57,0)</f>
        <v>1330.8624</v>
      </c>
      <c r="I133" s="220"/>
      <c r="J133" s="183" t="n">
        <f aca="false">H91*H57</f>
        <v>10642.3060945147</v>
      </c>
      <c r="K133" s="215"/>
      <c r="L133" s="62"/>
      <c r="M133" s="184" t="n">
        <f aca="false">N90*N57</f>
        <v>7720.4956707785</v>
      </c>
      <c r="N133" s="102" t="n">
        <f aca="false">IF(M105="YES",N89*N57,0)</f>
        <v>1109.052</v>
      </c>
      <c r="O133" s="220"/>
      <c r="P133" s="183" t="n">
        <f aca="false">N91*N57</f>
        <v>8829.5476707785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1751.2692165224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0.35115</v>
      </c>
      <c r="H136" s="102" t="n">
        <f aca="false">IF(G105="YES",E15*0.000002,0)</f>
        <v>0.11705</v>
      </c>
      <c r="I136" s="102"/>
      <c r="J136" s="102" t="n">
        <f aca="false">G136+H136</f>
        <v>0.4682</v>
      </c>
      <c r="K136" s="104"/>
      <c r="L136" s="62"/>
      <c r="M136" s="110" t="n">
        <f aca="false">E15*0.000006</f>
        <v>0.35115</v>
      </c>
      <c r="N136" s="102" t="n">
        <f aca="false">IF(M105="YES",E15*0.000002,0)</f>
        <v>0.11705</v>
      </c>
      <c r="O136" s="102"/>
      <c r="P136" s="102" t="n">
        <f aca="false">M136+N136</f>
        <v>0.4682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1636.8432165224</v>
      </c>
      <c r="B137" s="37" t="n">
        <f aca="false">IF(A105="YES",B89,0)</f>
        <v>114.426</v>
      </c>
      <c r="C137" s="316"/>
      <c r="D137" s="37" t="n">
        <f aca="false">B91</f>
        <v>1751.2692165224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944.651041666667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944.651041666667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34.731</v>
      </c>
      <c r="B140" s="342" t="n">
        <f aca="false">IF(A105="YES",G18*0.000002,0)*100</f>
        <v>11.577</v>
      </c>
      <c r="C140" s="316"/>
      <c r="D140" s="342" t="n">
        <f aca="false">A140+B140</f>
        <v>46.308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61.614</v>
      </c>
      <c r="H142" s="102" t="n">
        <f aca="false">G102-100</f>
        <v>99.99</v>
      </c>
      <c r="I142" s="102"/>
      <c r="J142" s="102" t="n">
        <f aca="false">(H139+J139+G142+H142)-H145</f>
        <v>1106.25504166667</v>
      </c>
      <c r="K142" s="104"/>
      <c r="L142" s="62"/>
      <c r="M142" s="110" t="n">
        <f aca="false">IF(M105="YES",((B36*N105)*0.1)*(M130),0)</f>
        <v>61.614</v>
      </c>
      <c r="N142" s="102" t="n">
        <f aca="false">M102-100</f>
        <v>99.99</v>
      </c>
      <c r="O142" s="102"/>
      <c r="P142" s="102" t="n">
        <f aca="false">(N139+P139+M142+N142)-N145</f>
        <v>1106.25504166667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1133.58125</v>
      </c>
      <c r="B148" s="102" t="n">
        <f aca="false">B102</f>
        <v>400</v>
      </c>
      <c r="C148" s="37"/>
      <c r="D148" s="37" t="n">
        <f aca="false">IF(A105="YES",(B40*B105)*B125,0)*0.1</f>
        <v>92.421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1725.99225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1773.71768241911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1471.59127846308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1751.2692165224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1636.8432165224</v>
      </c>
      <c r="B177" s="354" t="n">
        <f aca="false">IF(A105="YES",B89,0)</f>
        <v>114.426</v>
      </c>
      <c r="C177" s="356"/>
      <c r="D177" s="354" t="n">
        <f aca="false">B91</f>
        <v>1751.2692165224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1636.8432165224</v>
      </c>
      <c r="C180" s="352"/>
      <c r="D180" s="102" t="n">
        <f aca="false">IF(A105="YES",B89*B57,0)</f>
        <v>114.426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1751.2692165224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1636.8432165224</v>
      </c>
      <c r="B186" s="102" t="n">
        <f aca="false">IF(A105="YES",B89,0)</f>
        <v>114.426</v>
      </c>
      <c r="C186" s="352"/>
      <c r="D186" s="102" t="n">
        <f aca="false">B91</f>
        <v>1751.2692165224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34.731</v>
      </c>
      <c r="B189" s="364" t="n">
        <f aca="false">IF(A105="YES",G18*0.000002,0)*100</f>
        <v>11.577</v>
      </c>
      <c r="C189" s="352"/>
      <c r="D189" s="364" t="n">
        <f aca="false">A189+B189</f>
        <v>46.308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1133.58125</v>
      </c>
      <c r="B197" s="102" t="n">
        <f aca="false">B102</f>
        <v>400</v>
      </c>
      <c r="C197" s="102"/>
      <c r="D197" s="102" t="n">
        <f aca="false">IF(A105="YES",(B40*B105)*B125,0)*0.1</f>
        <v>92.421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1725.99225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1133.58125</v>
      </c>
      <c r="C211" s="319" t="s">
        <v>218</v>
      </c>
      <c r="D211" s="369" t="n">
        <f aca="false">B225+E221+B221+B223</f>
        <v>1264.2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10130.61875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1133.58125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10130.61875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924.21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481.231905657585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A18:A20 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1" sqref="A210 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</v>
      </c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18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6000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12</v>
      </c>
      <c r="B44" s="103" t="n">
        <v>1</v>
      </c>
      <c r="C44" s="103"/>
      <c r="D44" s="103" t="n">
        <v>1</v>
      </c>
      <c r="E44" s="103"/>
      <c r="F44" s="62"/>
      <c r="G44" s="62" t="s">
        <v>257</v>
      </c>
      <c r="H44" s="237" t="n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n">
        <v>0.01</v>
      </c>
      <c r="C47" s="425"/>
      <c r="D47" s="103" t="n">
        <v>1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 t="s">
        <v>387</v>
      </c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21" t="s">
        <v>19</v>
      </c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275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82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12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/>
      <c r="D70" s="290" t="n">
        <f aca="false">B70-A151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4711.95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392.6625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10723.95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90.8442718838241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10814.7942718838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((H44*B35)+((H44*B35)*B111))/(B63+B64)</f>
        <v>31.304347826087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IF(B105=Y104,(B93-D111)/(B64),B93/(B63+B64))</f>
        <v>470.208446603645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501.512794429732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287</v>
      </c>
      <c r="B105" s="311" t="s">
        <v>268</v>
      </c>
      <c r="C105" s="311"/>
      <c r="D105" s="418" t="n">
        <v>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3" t="n">
        <v>0.2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/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199.99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213"/>
      <c r="B129" s="214"/>
      <c r="C129" s="214"/>
      <c r="D129" s="214"/>
      <c r="E129" s="215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213" t="s">
        <v>182</v>
      </c>
      <c r="B130" s="171" t="n">
        <v>1200</v>
      </c>
      <c r="C130" s="171"/>
      <c r="D130" s="214"/>
      <c r="E130" s="215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213"/>
      <c r="B131" s="214"/>
      <c r="C131" s="214"/>
      <c r="D131" s="214"/>
      <c r="E131" s="215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213" t="s">
        <v>83</v>
      </c>
      <c r="B132" s="214" t="s">
        <v>84</v>
      </c>
      <c r="C132" s="214"/>
      <c r="D132" s="214" t="s">
        <v>86</v>
      </c>
      <c r="E132" s="215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227" t="n">
        <f aca="false">A158</f>
        <v>12</v>
      </c>
      <c r="B133" s="228" t="n">
        <f aca="false">B157</f>
        <v>5000</v>
      </c>
      <c r="C133" s="229"/>
      <c r="D133" s="228" t="n">
        <f aca="false">B64</f>
        <v>11</v>
      </c>
      <c r="E133" s="215"/>
      <c r="F133" s="62"/>
      <c r="G133" s="227" t="n">
        <f aca="false">G158</f>
        <v>12</v>
      </c>
      <c r="H133" s="228" t="n">
        <f aca="false">B157</f>
        <v>5000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5000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213"/>
      <c r="B134" s="214"/>
      <c r="C134" s="214"/>
      <c r="D134" s="214"/>
      <c r="E134" s="215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26" t="s">
        <v>344</v>
      </c>
      <c r="B135" s="327" t="s">
        <v>252</v>
      </c>
      <c r="C135" s="327"/>
      <c r="D135" s="327" t="s">
        <v>120</v>
      </c>
      <c r="E135" s="215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32" t="n">
        <f aca="false">B96</f>
        <v>470.208446603645</v>
      </c>
      <c r="B136" s="176" t="n">
        <f aca="false">IF(A111="YES",B95*B63,0)</f>
        <v>375.652173913043</v>
      </c>
      <c r="C136" s="176"/>
      <c r="D136" s="176" t="n">
        <f aca="false">B97</f>
        <v>501.512794429732</v>
      </c>
      <c r="E136" s="215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213"/>
      <c r="B137" s="214"/>
      <c r="C137" s="214"/>
      <c r="D137" s="214"/>
      <c r="E137" s="215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213" t="s">
        <v>345</v>
      </c>
      <c r="B138" s="214" t="s">
        <v>241</v>
      </c>
      <c r="C138" s="214"/>
      <c r="D138" s="214" t="s">
        <v>245</v>
      </c>
      <c r="E138" s="215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84" t="n">
        <f aca="false">B96*B63</f>
        <v>5642.50135924373</v>
      </c>
      <c r="B139" s="102" t="n">
        <f aca="false">IF(A111="YES",B95*B63,0)</f>
        <v>375.652173913043</v>
      </c>
      <c r="C139" s="220"/>
      <c r="D139" s="183" t="n">
        <f aca="false">B97*B63</f>
        <v>6018.15353315678</v>
      </c>
      <c r="E139" s="215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213"/>
      <c r="B140" s="214"/>
      <c r="C140" s="214"/>
      <c r="D140" s="214"/>
      <c r="E140" s="215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213" t="s">
        <v>254</v>
      </c>
      <c r="B141" s="214" t="s">
        <v>255</v>
      </c>
      <c r="C141" s="214"/>
      <c r="D141" s="214" t="s">
        <v>259</v>
      </c>
      <c r="E141" s="215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110" t="n">
        <f aca="false">E15*0.000006</f>
        <v>0.35115</v>
      </c>
      <c r="B142" s="102" t="n">
        <f aca="false">IF(A111="YES",E15*0.000002,0)</f>
        <v>0.11705</v>
      </c>
      <c r="C142" s="102"/>
      <c r="D142" s="102" t="n">
        <f aca="false">A142+B142</f>
        <v>0.4682</v>
      </c>
      <c r="E142" s="104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213"/>
      <c r="B143" s="214"/>
      <c r="C143" s="214"/>
      <c r="D143" s="214"/>
      <c r="E143" s="215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213" t="s">
        <v>140</v>
      </c>
      <c r="B144" s="214" t="s">
        <v>311</v>
      </c>
      <c r="C144" s="214"/>
      <c r="D144" s="214" t="s">
        <v>312</v>
      </c>
      <c r="E144" s="215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110" t="n">
        <f aca="false">A108</f>
        <v>199.99</v>
      </c>
      <c r="B145" s="102" t="n">
        <f aca="false">B73/1.2</f>
        <v>482.375</v>
      </c>
      <c r="C145" s="102"/>
      <c r="D145" s="102" t="n">
        <f aca="false">B108*0.9</f>
        <v>0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213"/>
      <c r="B146" s="214"/>
      <c r="C146" s="214"/>
      <c r="D146" s="214"/>
      <c r="E146" s="215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213" t="s">
        <v>314</v>
      </c>
      <c r="B147" s="214" t="s">
        <v>315</v>
      </c>
      <c r="C147" s="214"/>
      <c r="D147" s="214" t="s">
        <v>316</v>
      </c>
      <c r="E147" s="215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IF(A111="YES",((A41*B111)*0.1)*(A133),0)</f>
        <v>12</v>
      </c>
      <c r="B148" s="102" t="n">
        <f aca="false">A108-100</f>
        <v>99.99</v>
      </c>
      <c r="C148" s="102"/>
      <c r="D148" s="102" t="n">
        <f aca="false">(B145+D145+A148+B148)-B151</f>
        <v>594.365</v>
      </c>
      <c r="E148" s="104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1473.1755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1433.1775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213"/>
      <c r="B149" s="214"/>
      <c r="C149" s="214"/>
      <c r="D149" s="214"/>
      <c r="E149" s="215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213" t="s">
        <v>318</v>
      </c>
      <c r="B150" s="214" t="s">
        <v>319</v>
      </c>
      <c r="C150" s="214"/>
      <c r="D150" s="214"/>
      <c r="E150" s="215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v>0</v>
      </c>
      <c r="B151" s="102" t="n">
        <f aca="false">(B145+D145+A148+B148)*(A151/B70)</f>
        <v>0</v>
      </c>
      <c r="C151" s="214"/>
      <c r="D151" s="214"/>
      <c r="E151" s="215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213"/>
      <c r="B152" s="214"/>
      <c r="C152" s="214"/>
      <c r="D152" s="214"/>
      <c r="E152" s="215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213"/>
      <c r="B153" s="214"/>
      <c r="C153" s="214"/>
      <c r="D153" s="214"/>
      <c r="E153" s="215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280" t="s">
        <v>324</v>
      </c>
      <c r="B154" s="214"/>
      <c r="C154" s="214"/>
      <c r="D154" s="281"/>
      <c r="E154" s="282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213"/>
      <c r="B155" s="248"/>
      <c r="C155" s="248"/>
      <c r="D155" s="214"/>
      <c r="E155" s="215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249" t="s">
        <v>83</v>
      </c>
      <c r="B156" s="250" t="s">
        <v>84</v>
      </c>
      <c r="C156" s="250"/>
      <c r="D156" s="214"/>
      <c r="E156" s="215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249"/>
      <c r="B157" s="251" t="n">
        <f aca="false">B57</f>
        <v>5000</v>
      </c>
      <c r="C157" s="251"/>
      <c r="D157" s="214"/>
      <c r="E157" s="215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253" t="n">
        <f aca="false">A58</f>
        <v>12</v>
      </c>
      <c r="B158" s="73" t="n">
        <f aca="false">B97</f>
        <v>501.512794429732</v>
      </c>
      <c r="C158" s="73"/>
      <c r="D158" s="214"/>
      <c r="E158" s="215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13"/>
      <c r="B159" s="214"/>
      <c r="C159" s="214"/>
      <c r="D159" s="214"/>
      <c r="E159" s="215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13"/>
      <c r="B160" s="214"/>
      <c r="C160" s="214"/>
      <c r="D160" s="214"/>
      <c r="E160" s="215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13"/>
      <c r="B161" s="214"/>
      <c r="C161" s="214"/>
      <c r="D161" s="214"/>
      <c r="E161" s="215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213"/>
      <c r="B162" s="214"/>
      <c r="C162" s="214"/>
      <c r="D162" s="214"/>
      <c r="E162" s="215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1" sqref="A210 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508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550.0</v>
      </c>
      <c r="F10" s="62"/>
      <c r="G10" s="62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391</v>
      </c>
      <c r="C38" s="222"/>
      <c r="D38" s="103" t="n">
        <v>500.0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n">
        <f aca="false">IF(B38="YES",D38+A41,D38)</f>
        <v>500</v>
      </c>
      <c r="C41" s="240"/>
      <c r="D41" s="103" t="n">
        <v>12.0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1.0</v>
      </c>
      <c r="B44" s="103" t="n">
        <v>0.0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57885</v>
      </c>
      <c r="C61" s="214"/>
      <c r="D61" s="214"/>
      <c r="E61" s="215"/>
      <c r="F61" s="62"/>
      <c r="G61" s="213" t="s">
        <v>14</v>
      </c>
      <c r="H61" s="290" t="n">
        <f aca="false">G18</f>
        <v>57885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4051.95</v>
      </c>
      <c r="C64" s="214" t="n">
        <v>10000</v>
      </c>
      <c r="D64" s="290" t="n">
        <f aca="false">B64</f>
        <v>4051.95</v>
      </c>
      <c r="E64" s="215"/>
      <c r="F64" s="62"/>
      <c r="G64" s="284" t="s">
        <v>91</v>
      </c>
      <c r="H64" s="132" t="n">
        <f aca="false">H61*H63</f>
        <v>4051.95</v>
      </c>
      <c r="I64" s="214"/>
      <c r="J64" s="290" t="n">
        <f aca="false">H64</f>
        <v>4051.95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578.85</v>
      </c>
      <c r="C67" s="214"/>
      <c r="D67" s="290"/>
      <c r="E67" s="215"/>
      <c r="F67" s="62"/>
      <c r="G67" s="284" t="s">
        <v>94</v>
      </c>
      <c r="H67" s="132" t="n">
        <f aca="false">H61*H66</f>
        <v>289.425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0.0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5378.61666666667</v>
      </c>
      <c r="C81" s="214"/>
      <c r="D81" s="214"/>
      <c r="E81" s="215"/>
      <c r="F81" s="62"/>
      <c r="G81" s="302" t="s">
        <v>103</v>
      </c>
      <c r="H81" s="303" t="n">
        <f aca="false">SUM(J64:J80)</f>
        <v>5705.53333333333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448.218055555556</v>
      </c>
      <c r="C82" s="214"/>
      <c r="D82" s="214"/>
      <c r="E82" s="215"/>
      <c r="F82" s="62"/>
      <c r="G82" s="213" t="s">
        <v>104</v>
      </c>
      <c r="H82" s="299" t="n">
        <f aca="false">H81/H29</f>
        <v>475.461111111111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13668.74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14061.04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96.4917103670835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99.2610730133118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13765.2317103671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14060.3110730133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1147.10264253059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1171.69258941778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1147.10264253059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1171.69258941778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239.99</v>
      </c>
      <c r="B102" s="106" t="n">
        <v>400.0</v>
      </c>
      <c r="C102" s="106"/>
      <c r="D102" s="106" t="n">
        <v>200.0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391</v>
      </c>
      <c r="B105" s="311" t="n">
        <v>0.0</v>
      </c>
      <c r="C105" s="311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391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10000.0</v>
      </c>
      <c r="E112" s="106" t="n">
        <v>6000.0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2000.0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1147.10264253059</v>
      </c>
      <c r="B128" s="320" t="n">
        <f aca="false">IF(A105="YES",B89,0)</f>
        <v>0</v>
      </c>
      <c r="C128" s="325"/>
      <c r="D128" s="320" t="n">
        <f aca="false">B91</f>
        <v>1147.10264253059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1171.69258941778</v>
      </c>
      <c r="H130" s="176" t="n">
        <f aca="false">IF(G105="YES",H89*H57,0)</f>
        <v>0</v>
      </c>
      <c r="I130" s="176"/>
      <c r="J130" s="333" t="n">
        <f aca="false">H91</f>
        <v>1171.69258941778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1147.10264253059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1171.69258941778</v>
      </c>
      <c r="H133" s="102" t="n">
        <f aca="false">IF(G105="YES",H89*H57,0)</f>
        <v>0</v>
      </c>
      <c r="I133" s="220"/>
      <c r="J133" s="183" t="n">
        <f aca="false">H91*H57</f>
        <v>1171.69258941778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1147.10264253059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0.35115</v>
      </c>
      <c r="H136" s="102" t="n">
        <f aca="false">IF(G105="YES",E15*0.000002,0)</f>
        <v>0.11705</v>
      </c>
      <c r="I136" s="102"/>
      <c r="J136" s="102" t="n">
        <f aca="false">G136+H136</f>
        <v>0.4682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1147.10264253059</v>
      </c>
      <c r="B137" s="37" t="n">
        <f aca="false">IF(A105="YES",B89,0)</f>
        <v>0</v>
      </c>
      <c r="C137" s="316"/>
      <c r="D137" s="37" t="n">
        <f aca="false">B91</f>
        <v>1147.10264253059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289.425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G18*0.000002*1.2*100</f>
        <v>13.8924</v>
      </c>
      <c r="C140" s="316"/>
      <c r="D140" s="342" t="n">
        <f aca="false">A140+B140</f>
        <v>55.5696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1509.413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578.85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1078.84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1171.69258941778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1147.10264253059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1147.10264253059</v>
      </c>
      <c r="B171" s="354" t="n">
        <f aca="false">IF(A105="YES",B89,0)</f>
        <v>0</v>
      </c>
      <c r="C171" s="357"/>
      <c r="D171" s="354" t="n">
        <f aca="false">B91</f>
        <v>1147.10264253059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1147.10264253059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1147.10264253059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1147.10264253059</v>
      </c>
      <c r="B180" s="102" t="n">
        <f aca="false">IF(A105="YES",B89,0)</f>
        <v>0</v>
      </c>
      <c r="C180" s="352"/>
      <c r="D180" s="102" t="n">
        <f aca="false">B91</f>
        <v>1147.10264253059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G18*0.000002*1.2*100</f>
        <v>13.8924</v>
      </c>
      <c r="C183" s="352"/>
      <c r="D183" s="364" t="n">
        <f aca="false">A183+B183</f>
        <v>55.5696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578.85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1078.84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4051.95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578.85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3813.09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4051.95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578.85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3813.09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96.4917103670835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87" colorId="64" zoomScale="85" zoomScaleNormal="85" zoomScalePageLayoutView="100" workbookViewId="0">
      <selection pane="topLeft" activeCell="B184" activeCellId="1" sqref="A210 B18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550.0</v>
      </c>
      <c r="F10" s="62"/>
      <c r="G10" s="62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45385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388</v>
      </c>
      <c r="C38" s="222"/>
      <c r="D38" s="103" t="n">
        <v>500.0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50.0</v>
      </c>
      <c r="B41" s="240" t="n">
        <f aca="false">IF(B38="YES",D38+A41,D38)</f>
        <v>550</v>
      </c>
      <c r="C41" s="240"/>
      <c r="D41" s="103" t="n">
        <v>12.0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1.0</v>
      </c>
      <c r="B44" s="103" t="n">
        <v>1.0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57885</v>
      </c>
      <c r="C61" s="214"/>
      <c r="D61" s="214"/>
      <c r="E61" s="215"/>
      <c r="F61" s="62"/>
      <c r="G61" s="213" t="s">
        <v>14</v>
      </c>
      <c r="H61" s="290" t="n">
        <f aca="false">G18</f>
        <v>57885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4051.95</v>
      </c>
      <c r="C64" s="214" t="n">
        <v>10000</v>
      </c>
      <c r="D64" s="290" t="n">
        <f aca="false">B64</f>
        <v>4051.95</v>
      </c>
      <c r="E64" s="215"/>
      <c r="F64" s="62"/>
      <c r="G64" s="284" t="s">
        <v>91</v>
      </c>
      <c r="H64" s="132" t="n">
        <f aca="false">H61*H63</f>
        <v>4051.95</v>
      </c>
      <c r="I64" s="214"/>
      <c r="J64" s="290" t="n">
        <f aca="false">H64</f>
        <v>4051.95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578.85</v>
      </c>
      <c r="C67" s="214"/>
      <c r="D67" s="290"/>
      <c r="E67" s="215"/>
      <c r="F67" s="62"/>
      <c r="G67" s="284" t="s">
        <v>94</v>
      </c>
      <c r="H67" s="132" t="n">
        <f aca="false">H61*H66</f>
        <v>289.425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0.0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5378.61666666667</v>
      </c>
      <c r="C81" s="214"/>
      <c r="D81" s="214"/>
      <c r="E81" s="215"/>
      <c r="F81" s="62"/>
      <c r="G81" s="302" t="s">
        <v>103</v>
      </c>
      <c r="H81" s="303" t="n">
        <f aca="false">SUM(J64:J80)</f>
        <v>5705.53333333333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448.218055555556</v>
      </c>
      <c r="C82" s="214"/>
      <c r="D82" s="214"/>
      <c r="E82" s="215"/>
      <c r="F82" s="62"/>
      <c r="G82" s="213" t="s">
        <v>104</v>
      </c>
      <c r="H82" s="299" t="n">
        <f aca="false">H81/H29</f>
        <v>475.461111111111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11390.6166666667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14061.04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96.4917103670835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99.2610730133118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11487.1083770338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14060.3110730133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60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957.259031419479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1171.69258941778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1017.25903141948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1243.69258941778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388</v>
      </c>
      <c r="B105" s="311" t="n">
        <v>20.0</v>
      </c>
      <c r="C105" s="311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391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10000.0</v>
      </c>
      <c r="E112" s="106" t="n">
        <v>6000.0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2000.0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957.259031419479</v>
      </c>
      <c r="B128" s="320" t="n">
        <f aca="false">IF(A105="YES",B89,0)</f>
        <v>60</v>
      </c>
      <c r="C128" s="325"/>
      <c r="D128" s="320" t="n">
        <f aca="false">B91</f>
        <v>1017.25903141948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1171.69258941778</v>
      </c>
      <c r="H130" s="176" t="n">
        <f aca="false">IF(G105="YES",H89*H57,0)</f>
        <v>72</v>
      </c>
      <c r="I130" s="176"/>
      <c r="J130" s="333" t="n">
        <f aca="false">H91</f>
        <v>1243.69258941778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957.259031419479</v>
      </c>
      <c r="C131" s="316"/>
      <c r="D131" s="37" t="n">
        <f aca="false">IF(A105="YES",B89*B57,0)</f>
        <v>60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1171.69258941778</v>
      </c>
      <c r="H133" s="102" t="n">
        <f aca="false">IF(G105="YES",H89*H57,0)</f>
        <v>72</v>
      </c>
      <c r="I133" s="220"/>
      <c r="J133" s="183" t="n">
        <f aca="false">H91*H57</f>
        <v>1243.69258941778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1017.25903141948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0.35115</v>
      </c>
      <c r="H136" s="102" t="n">
        <f aca="false">IF(G105="YES",E15*0.000002,0)</f>
        <v>0.11705</v>
      </c>
      <c r="I136" s="102"/>
      <c r="J136" s="102" t="n">
        <f aca="false">G136+H136</f>
        <v>0.4682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957.259031419479</v>
      </c>
      <c r="B137" s="37" t="n">
        <f aca="false">IF(A105="YES",B89,0)</f>
        <v>60</v>
      </c>
      <c r="C137" s="316"/>
      <c r="D137" s="37" t="n">
        <f aca="false">B91</f>
        <v>1017.25903141948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289.425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34.731</v>
      </c>
      <c r="B140" s="342" t="n">
        <f aca="false">G18*0.000002*100</f>
        <v>11.577</v>
      </c>
      <c r="C140" s="316"/>
      <c r="D140" s="342" t="n">
        <f aca="false">A140+B140</f>
        <v>46.308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1516.613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578.85</v>
      </c>
      <c r="B148" s="37" t="n">
        <f aca="false">B102</f>
        <v>400</v>
      </c>
      <c r="C148" s="37"/>
      <c r="D148" s="37" t="n">
        <f aca="false">IF(A105="YES",(A38/100*B105)*B125,0)*0.001</f>
        <v>12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1090.84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1243.69258941778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1017.25903141948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957.259031419479</v>
      </c>
      <c r="B171" s="354" t="n">
        <f aca="false">IF(A105="YES",B89,0)</f>
        <v>60</v>
      </c>
      <c r="C171" s="357"/>
      <c r="D171" s="354" t="n">
        <f aca="false">B91</f>
        <v>1017.25903141948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957.259031419479</v>
      </c>
      <c r="C174" s="352"/>
      <c r="D174" s="102" t="n">
        <f aca="false">IF(A105="YES",B89*B57,0)</f>
        <v>60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1017.25903141948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957.259031419479</v>
      </c>
      <c r="B180" s="102" t="n">
        <f aca="false">IF(A105="YES",B89,0)</f>
        <v>60</v>
      </c>
      <c r="C180" s="352"/>
      <c r="D180" s="102" t="n">
        <f aca="false">B91</f>
        <v>1017.25903141948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34.731</v>
      </c>
      <c r="B183" s="364" t="n">
        <f aca="false">G18*0.000002*100</f>
        <v>11.577</v>
      </c>
      <c r="C183" s="352"/>
      <c r="D183" s="364" t="n">
        <f aca="false">A183+B183</f>
        <v>46.308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578.85</v>
      </c>
      <c r="B191" s="102" t="n">
        <f aca="false">B102</f>
        <v>400</v>
      </c>
      <c r="C191" s="102"/>
      <c r="D191" s="102" t="n">
        <f aca="false">IF(A105="YES",(A38/100*B105)*B125,0)*0.001</f>
        <v>12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1090.84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4051.95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578.85</v>
      </c>
      <c r="C205" s="319" t="s">
        <v>218</v>
      </c>
      <c r="D205" s="369" t="n">
        <f aca="false">B219+E215+B215+B217</f>
        <v>459.99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3933.09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4051.95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578.85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3933.09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120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96.4917103670835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64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2024-04-02T14:52:52Z</dcterms:modified>
  <cp:revision>928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