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Sheet5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<sst xmlns="http://schemas.openxmlformats.org/spreadsheetml/2006/main" count="1572" uniqueCount="191">
  <si>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</si>
  <si>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</si>
  <si>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</si>
  <si>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</si>
  <si>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</si>
  <si>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</si>
  <si>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</si>
  <si>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</si>
  <si>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</si>
  <si>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</si>
  <si>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</si>
  <si>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</si>
  <si>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</si>
  <si>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</si>
  <si>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</si>
  <si>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600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</si>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</sst>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8D08D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99CC00"/>
      </patternFill>
    </fill>
    <fill>
      <patternFill patternType="solid">
        <fgColor rgb="FFE7E6E6"/>
        <bgColor rgb="FFD8D8D8"/>
      </patternFill>
    </fill>
    <fill>
      <patternFill patternType="solid">
        <fgColor rgb="FFA8D08D"/>
        <bgColor rgb="FFBFBFBF"/>
      </patternFill>
    </fill>
    <fill>
      <patternFill patternType="solid">
        <fgColor rgb="FFFFC000"/>
        <bgColor rgb="FFFF99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8" activeCellId="0" sqref="A28"/>
    </sheetView>
  </sheetViews>
  <sheetFormatPr defaultColWidth="11.9921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-222.658943697007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s">
        <v>15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58540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58540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27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38</v>
      </c>
      <c r="C30" s="37"/>
      <c r="D30" s="14"/>
      <c r="E30" s="15"/>
      <c r="F30" s="2"/>
      <c r="G30" s="33" t="s">
        <v>39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29225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1011.67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887.304528355122</v>
      </c>
      <c r="E33" s="15"/>
      <c r="F33" s="2"/>
      <c r="G33" s="34" t="s">
        <v>45</v>
      </c>
      <c r="H33" s="44" t="n">
        <f aca="false">E21-E11+((E16*20%)+(E19*20%)+(E20*20%))</f>
        <v>48892.5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887.304528355122</v>
      </c>
      <c r="B36" s="48" t="str">
        <f aca="false">IF(B26="YES", H42, "")</f>
        <v/>
      </c>
      <c r="C36" s="49"/>
      <c r="D36" s="50" t="n">
        <f aca="false">H31</f>
        <v>29225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48892.5</v>
      </c>
      <c r="I39" s="53" t="n">
        <f aca="false">(I48*H46)+H44</f>
        <v>64703.5699115708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H31*A45/100</f>
        <v>29225</v>
      </c>
      <c r="B40" s="54" t="str">
        <f aca="false">IF(B26="YES",(H42*A45/100),"0")</f>
        <v>0</v>
      </c>
      <c r="C40" s="54"/>
      <c r="D40" s="50" t="n">
        <f aca="false">I32</f>
        <v>1011.67</v>
      </c>
      <c r="E40" s="15"/>
      <c r="F40" s="2"/>
      <c r="G40" s="2" t="s">
        <v>56</v>
      </c>
      <c r="H40" s="53" t="n">
        <f aca="false">(A40)/1.2</f>
        <v>24354.1666666667</v>
      </c>
      <c r="I40" s="53" t="n">
        <f aca="false">H39-I39</f>
        <v>-15811.0699115708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28.1019444444444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19941.9813834492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63</v>
      </c>
      <c r="B45" s="14"/>
      <c r="C45" s="62" t="s">
        <v>63</v>
      </c>
      <c r="D45" s="62"/>
      <c r="E45" s="15"/>
      <c r="F45" s="2"/>
      <c r="G45" s="2" t="s">
        <v>64</v>
      </c>
      <c r="H45" s="53" t="n">
        <f aca="false">(H39-H44)</f>
        <v>28950.5186165508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887.304528355122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887.304528355122</v>
      </c>
      <c r="I48" s="53" t="n">
        <f aca="false">I49-H42</f>
        <v>1371.89805555556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887.304528355122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1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83</v>
      </c>
      <c r="B74" s="86" t="n">
        <v>0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84</v>
      </c>
      <c r="B75" s="88" t="n">
        <v>0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85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</v>
      </c>
      <c r="C77" s="14"/>
      <c r="D77" s="12" t="n">
        <f aca="false">B77</f>
        <v>0</v>
      </c>
      <c r="E77" s="15"/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</v>
      </c>
      <c r="C80" s="14"/>
      <c r="D80" s="12" t="n">
        <f aca="false">B80</f>
        <v>200</v>
      </c>
      <c r="E80" s="15"/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6857.925</v>
      </c>
      <c r="C81" s="14"/>
      <c r="D81" s="14"/>
      <c r="E81" s="15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190.497916666667</v>
      </c>
      <c r="C82" s="14"/>
      <c r="D82" s="14"/>
      <c r="E82" s="15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887.304528355122</v>
      </c>
      <c r="C83" s="14"/>
      <c r="D83" s="14"/>
      <c r="E83" s="15"/>
      <c r="F83" s="2"/>
      <c r="G83" s="95" t="s">
        <v>92</v>
      </c>
      <c r="H83" s="96" t="n">
        <f aca="false">H47</f>
        <v>887.304528355122</v>
      </c>
      <c r="I83" s="14"/>
      <c r="J83" s="14"/>
      <c r="K83" s="15"/>
      <c r="L83" s="2"/>
      <c r="M83" s="95" t="s">
        <v>92</v>
      </c>
      <c r="N83" s="96" t="n">
        <f aca="false">H47</f>
        <v>887.304528355122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38800.8880207844</v>
      </c>
      <c r="C85" s="14"/>
      <c r="D85" s="14"/>
      <c r="E85" s="15"/>
      <c r="F85" s="2"/>
      <c r="G85" s="56" t="s">
        <v>93</v>
      </c>
      <c r="H85" s="97" t="n">
        <f aca="false">((H83*H29)+H81)*1.2</f>
        <v>46903.9656249413</v>
      </c>
      <c r="I85" s="14"/>
      <c r="J85" s="14"/>
      <c r="K85" s="15"/>
      <c r="L85" s="2"/>
      <c r="M85" s="56" t="s">
        <v>93</v>
      </c>
      <c r="N85" s="97" t="n">
        <f aca="false">((N83*H29)+N81)</f>
        <v>38742.8880207844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328.688442289824</v>
      </c>
      <c r="C86" s="14"/>
      <c r="D86" s="14"/>
      <c r="E86" s="15"/>
      <c r="F86" s="2"/>
      <c r="G86" s="6" t="s">
        <v>94</v>
      </c>
      <c r="H86" s="11" t="n">
        <f aca="false">((((H83*H29)+H81))/(1-H70))*H70</f>
        <v>331.109075609711</v>
      </c>
      <c r="I86" s="14"/>
      <c r="J86" s="14"/>
      <c r="K86" s="15"/>
      <c r="L86" s="2"/>
      <c r="M86" s="6" t="s">
        <v>94</v>
      </c>
      <c r="N86" s="11" t="n">
        <f aca="false">(N85/(1-N70))*N70</f>
        <v>328.19711514178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39129.5764630742</v>
      </c>
      <c r="C87" s="14"/>
      <c r="D87" s="14"/>
      <c r="E87" s="15"/>
      <c r="F87" s="2"/>
      <c r="G87" s="63" t="s">
        <v>95</v>
      </c>
      <c r="H87" s="79" t="n">
        <f aca="false">IF(H110="YES",((H85+H86)-K114),(H85+H86))</f>
        <v>47235.074700551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39071.0851359262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</f>
        <v>33.7223333333333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35.5318243902439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29.6098536585366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1086.93267952984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1152.07499269637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952.9532959982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1120.65501286317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1187.60681708661</v>
      </c>
      <c r="I91" s="14"/>
      <c r="J91" s="14"/>
      <c r="K91" s="15"/>
      <c r="L91" s="2"/>
      <c r="M91" s="100" t="s">
        <v>98</v>
      </c>
      <c r="N91" s="101" t="n">
        <f aca="false">IF(M105="YES", N90+N89, N90)</f>
        <v>982.563149656736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s">
        <v>119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121</v>
      </c>
      <c r="C107" s="32" t="s">
        <v>27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500</v>
      </c>
      <c r="E112" s="54" t="n">
        <v>300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200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999.99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1086.93267952984</v>
      </c>
      <c r="B127" s="112" t="n">
        <f aca="false">IF(A105="YES", B89*B57, 0)</f>
        <v>303.501</v>
      </c>
      <c r="C127" s="112"/>
      <c r="D127" s="112" t="n">
        <f aca="false">B91</f>
        <v>1120.65501286317</v>
      </c>
      <c r="E127" s="15"/>
      <c r="F127" s="2"/>
      <c r="G127" s="111" t="n">
        <f aca="false">H90</f>
        <v>1152.07499269637</v>
      </c>
      <c r="H127" s="112" t="n">
        <f aca="false">IF(G105="YES", H89*H57, 0)</f>
        <v>213.190946341463</v>
      </c>
      <c r="I127" s="112"/>
      <c r="J127" s="113" t="n">
        <f aca="false">H91</f>
        <v>1187.60681708661</v>
      </c>
      <c r="K127" s="15"/>
      <c r="L127" s="2"/>
      <c r="M127" s="111" t="n">
        <f aca="false">N90</f>
        <v>952.9532959982</v>
      </c>
      <c r="N127" s="112" t="n">
        <f aca="false">IF(M105="YES", N89*N57, 0)</f>
        <v>177.65912195122</v>
      </c>
      <c r="O127" s="112"/>
      <c r="P127" s="112" t="n">
        <f aca="false">N91</f>
        <v>982.563149656736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9782.39411576856</v>
      </c>
      <c r="B133" s="48" t="n">
        <f aca="false">IF(A105="YES", B89*B57, 0)</f>
        <v>303.501</v>
      </c>
      <c r="C133" s="49"/>
      <c r="D133" s="50" t="n">
        <f aca="false">B91*B57</f>
        <v>10085.8951157686</v>
      </c>
      <c r="E133" s="15"/>
      <c r="F133" s="2"/>
      <c r="G133" s="47" t="n">
        <f aca="false">H90*H57</f>
        <v>6912.4499561782</v>
      </c>
      <c r="H133" s="48" t="n">
        <f aca="false">IF(G105="YES", H89*H57, 0)</f>
        <v>213.190946341463</v>
      </c>
      <c r="I133" s="49"/>
      <c r="J133" s="50" t="n">
        <f aca="false">H91*H57</f>
        <v>7125.64090251966</v>
      </c>
      <c r="K133" s="15"/>
      <c r="L133" s="2"/>
      <c r="M133" s="47" t="n">
        <f aca="false">N90*N57</f>
        <v>5717.7197759892</v>
      </c>
      <c r="N133" s="48" t="n">
        <f aca="false">IF(M105="YES", N89*N57, 0)</f>
        <v>177.65912195122</v>
      </c>
      <c r="O133" s="49"/>
      <c r="P133" s="50" t="n">
        <f aca="false">N91*N57</f>
        <v>5895.37889794042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0.35124</v>
      </c>
      <c r="B136" s="48" t="n">
        <f aca="false">IF(A105="YES", E15*0.000002, 0)</f>
        <v>0.11708</v>
      </c>
      <c r="C136" s="48"/>
      <c r="D136" s="48" t="n">
        <f aca="false">A136+B136</f>
        <v>0.46832</v>
      </c>
      <c r="E136" s="114"/>
      <c r="F136" s="2"/>
      <c r="G136" s="51" t="n">
        <f aca="false">E15*0.000006</f>
        <v>0.35124</v>
      </c>
      <c r="H136" s="48" t="n">
        <f aca="false">IF(G105="YES", E15*0.000002, 0)</f>
        <v>0.11708</v>
      </c>
      <c r="I136" s="48"/>
      <c r="J136" s="48" t="n">
        <f aca="false">G136+H136</f>
        <v>0.46832</v>
      </c>
      <c r="K136" s="114"/>
      <c r="L136" s="2"/>
      <c r="M136" s="51" t="n">
        <f aca="false">E15*0.000006</f>
        <v>0.35124</v>
      </c>
      <c r="N136" s="48" t="n">
        <f aca="false">IF(M105="YES", E15*0.000002, 0)</f>
        <v>0.11708</v>
      </c>
      <c r="O136" s="48"/>
      <c r="P136" s="48" t="n">
        <f aca="false">M136+N136</f>
        <v>0.46832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e">
        <f aca="false">IF(A105="YES", ((B36*B105)*0.1)*(A130), 0)</f>
        <v>#VALUE!</v>
      </c>
      <c r="B142" s="48" t="n">
        <f aca="false">A102-100</f>
        <v>99.99</v>
      </c>
      <c r="C142" s="48"/>
      <c r="D142" s="48" t="e">
        <f aca="false">(B139+D139+A142+B142)-B145</f>
        <v>#VALUE!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e">
        <f aca="false">(B139+D139+A142+B142)*(A145/B64)</f>
        <v>#VALUE!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158</v>
      </c>
      <c r="B147" s="106" t="s">
        <v>159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160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1187.60681708661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41</v>
      </c>
      <c r="B153" s="73" t="s">
        <v>42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1120.65501286317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982.563149656736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40" activeCellId="0" sqref="B40"/>
    </sheetView>
  </sheetViews>
  <sheetFormatPr defaultColWidth="11.9921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26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38</v>
      </c>
      <c r="C30" s="37"/>
      <c r="D30" s="14"/>
      <c r="E30" s="15"/>
      <c r="F30" s="2"/>
      <c r="G30" s="33" t="s">
        <v>39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1238.2615291066</v>
      </c>
      <c r="E33" s="15"/>
      <c r="F33" s="2"/>
      <c r="G33" s="34" t="s">
        <v>45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1210.48375132882</v>
      </c>
      <c r="B36" s="48" t="n">
        <f aca="false">IF(B26="YES", H42, "")</f>
        <v>27.7777777777778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48877.5</v>
      </c>
      <c r="I39" s="53" t="n">
        <f aca="false">(I48*H46)+H44</f>
        <v>54154.6201577119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H31*A45/100</f>
        <v>13750</v>
      </c>
      <c r="B40" s="54" t="n">
        <f aca="false">IF(B26="YES",(H42*A45/100),"0")</f>
        <v>13.8888888888889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-5277.12015771189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27.7777777777778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n">
        <v>50</v>
      </c>
      <c r="B45" s="14"/>
      <c r="C45" s="61" t="s">
        <v>63</v>
      </c>
      <c r="D45" s="61"/>
      <c r="E45" s="15"/>
      <c r="F45" s="2"/>
      <c r="G45" s="2" t="s">
        <v>64</v>
      </c>
      <c r="H45" s="53" t="n">
        <f aca="false">(H39-H44)</f>
        <v>39495.045114716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1210.48375132882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1238.2615291066</v>
      </c>
      <c r="I48" s="53" t="n">
        <f aca="false">I49-H42</f>
        <v>1372.22222222222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1238.2615291066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57885</v>
      </c>
      <c r="C61" s="14"/>
      <c r="D61" s="14"/>
      <c r="E61" s="15"/>
      <c r="F61" s="2"/>
      <c r="G61" s="6" t="s">
        <v>22</v>
      </c>
      <c r="H61" s="12" t="n">
        <f aca="false">G18</f>
        <v>57885</v>
      </c>
      <c r="I61" s="14"/>
      <c r="J61" s="14"/>
      <c r="K61" s="15"/>
      <c r="L61" s="2"/>
      <c r="M61" s="6" t="s">
        <v>22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6077.925</v>
      </c>
      <c r="C64" s="14"/>
      <c r="D64" s="12" t="n">
        <f aca="false">B64-A145</f>
        <v>6077.925</v>
      </c>
      <c r="E64" s="118" t="n">
        <f aca="false">D64/(B58+B57)</f>
        <v>168.83125</v>
      </c>
      <c r="F64" s="2"/>
      <c r="G64" s="63" t="s">
        <v>73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73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4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4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(B61*B66)/1.2</f>
        <v>964.75</v>
      </c>
      <c r="C67" s="14"/>
      <c r="D67" s="12"/>
      <c r="E67" s="15"/>
      <c r="F67" s="2"/>
      <c r="G67" s="63" t="s">
        <v>76</v>
      </c>
      <c r="H67" s="79" t="n">
        <f aca="false">(H61*H66)/1.2</f>
        <v>964.75</v>
      </c>
      <c r="I67" s="14"/>
      <c r="J67" s="12"/>
      <c r="K67" s="15"/>
      <c r="L67" s="2"/>
      <c r="M67" s="63" t="s">
        <v>76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155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335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1020.83333333333</v>
      </c>
      <c r="C76" s="14"/>
      <c r="D76" s="12" t="n">
        <f aca="false">B76</f>
        <v>1020.83333333333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</v>
      </c>
      <c r="C77" s="1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v>0</v>
      </c>
      <c r="C78" s="1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</v>
      </c>
      <c r="C79" s="1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</v>
      </c>
      <c r="C80" s="14"/>
      <c r="D80" s="12" t="n">
        <f aca="false">B80</f>
        <v>200</v>
      </c>
      <c r="E80" s="118" t="n">
        <f aca="false">(D73+D76+D79+D80)/(B58+B57)</f>
        <v>50.0231481481482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7878.75833333333</v>
      </c>
      <c r="C81" s="14"/>
      <c r="D81" s="14"/>
      <c r="E81" s="118"/>
      <c r="F81" s="2"/>
      <c r="G81" s="93" t="s">
        <v>90</v>
      </c>
      <c r="H81" s="94" t="n">
        <f aca="false">SUM(J64:J80)</f>
        <v>7143.675</v>
      </c>
      <c r="I81" s="14"/>
      <c r="J81" s="14"/>
      <c r="K81" s="15"/>
      <c r="L81" s="2"/>
      <c r="M81" s="93" t="s">
        <v>90</v>
      </c>
      <c r="N81" s="94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218.854398148148</v>
      </c>
      <c r="C82" s="14"/>
      <c r="D82" s="14"/>
      <c r="E82" s="118"/>
      <c r="F82" s="2"/>
      <c r="G82" s="6" t="s">
        <v>91</v>
      </c>
      <c r="H82" s="11" t="n">
        <f aca="false">H81/H29</f>
        <v>198.435416666667</v>
      </c>
      <c r="I82" s="14"/>
      <c r="J82" s="14"/>
      <c r="K82" s="15"/>
      <c r="L82" s="2"/>
      <c r="M82" s="6" t="s">
        <v>91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1210.48375132882</v>
      </c>
      <c r="C83" s="14"/>
      <c r="D83" s="14"/>
      <c r="E83" s="118" t="n">
        <f aca="false">B83+E80+E77+E64</f>
        <v>1429.33814947697</v>
      </c>
      <c r="F83" s="2"/>
      <c r="G83" s="95" t="s">
        <v>92</v>
      </c>
      <c r="H83" s="96" t="n">
        <f aca="false">H47</f>
        <v>1210.48375132882</v>
      </c>
      <c r="I83" s="14"/>
      <c r="J83" s="14"/>
      <c r="K83" s="15"/>
      <c r="L83" s="2"/>
      <c r="M83" s="95" t="s">
        <v>92</v>
      </c>
      <c r="N83" s="96" t="n">
        <f aca="false">H47</f>
        <v>1210.48375132882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((B83*H29)+B81)*1.2</f>
        <v>61747.4080574051</v>
      </c>
      <c r="C85" s="14"/>
      <c r="D85" s="14"/>
      <c r="E85" s="118" t="n">
        <f aca="false">B85/(B58+B57)</f>
        <v>1715.20577937236</v>
      </c>
      <c r="F85" s="2"/>
      <c r="G85" s="56" t="s">
        <v>93</v>
      </c>
      <c r="H85" s="97" t="n">
        <f aca="false">((H83*H29)+H81)*1.2</f>
        <v>60865.3080574051</v>
      </c>
      <c r="I85" s="14"/>
      <c r="J85" s="14"/>
      <c r="K85" s="15"/>
      <c r="L85" s="2"/>
      <c r="M85" s="56" t="s">
        <v>93</v>
      </c>
      <c r="N85" s="97" t="n">
        <f aca="false">((N83*H29)+N81)</f>
        <v>50377.3400478376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((((B83*H29)+B81))/(1-B70))*B70</f>
        <v>435.893360631137</v>
      </c>
      <c r="C86" s="14"/>
      <c r="D86" s="14"/>
      <c r="E86" s="118" t="n">
        <f aca="false">B86/(B58+B57)</f>
        <v>12.1081489064205</v>
      </c>
      <c r="F86" s="2"/>
      <c r="G86" s="6" t="s">
        <v>94</v>
      </c>
      <c r="H86" s="11" t="n">
        <f aca="false">((((H83*H29)+H81))/(1-H70))*H70</f>
        <v>429.666353773533</v>
      </c>
      <c r="I86" s="14"/>
      <c r="J86" s="14"/>
      <c r="K86" s="15"/>
      <c r="L86" s="2"/>
      <c r="M86" s="6" t="s">
        <v>94</v>
      </c>
      <c r="N86" s="11" t="n">
        <f aca="false">(N85/(1-N70))*N70</f>
        <v>426.754393305603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IF(B110="YES",((B85+B86)-E114),(B85+B86))</f>
        <v>62183.3014180362</v>
      </c>
      <c r="C87" s="14"/>
      <c r="D87" s="14"/>
      <c r="E87" s="118" t="n">
        <f aca="false">E86+E85</f>
        <v>1727.31392827878</v>
      </c>
      <c r="F87" s="2"/>
      <c r="G87" s="63" t="s">
        <v>95</v>
      </c>
      <c r="H87" s="79" t="n">
        <f aca="false">IF(H110="YES",((H85+H86)-K114),(H85+H86))</f>
        <v>61294.9744111786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50804.0944411432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(D40+(D40*B105))/(B58), (D40+(D40*B105))/(B57+B58))*1.2</f>
        <v>33.3333333333333</v>
      </c>
      <c r="C89" s="1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1727.31392827878</v>
      </c>
      <c r="C90" s="14"/>
      <c r="D90" s="14"/>
      <c r="E90" s="15"/>
      <c r="F90" s="2"/>
      <c r="G90" s="98" t="s">
        <v>97</v>
      </c>
      <c r="H90" s="99" t="n">
        <f aca="false">IF(H99=Y98, (H87-J105)/(H58), H87/(H57+H58))</f>
        <v>1494.99937588241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1239.12425466203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1727.31392827878</v>
      </c>
      <c r="C91" s="14"/>
      <c r="D91" s="14"/>
      <c r="E91" s="15"/>
      <c r="F91" s="2"/>
      <c r="G91" s="100" t="s">
        <v>98</v>
      </c>
      <c r="H91" s="101" t="n">
        <f aca="false">IF(G105="YES", H90+H89, H90)</f>
        <v>1530.12132710192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1268.39254734496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100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107</v>
      </c>
      <c r="C99" s="103"/>
      <c r="D99" s="54" t="n">
        <v>1000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27</v>
      </c>
      <c r="B105" s="105" t="n">
        <v>0</v>
      </c>
      <c r="C105" s="105"/>
      <c r="D105" s="54" t="s">
        <v>119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134</v>
      </c>
      <c r="B126" s="110" t="s">
        <v>135</v>
      </c>
      <c r="C126" s="110"/>
      <c r="D126" s="110" t="s">
        <v>136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1727.31392827878</v>
      </c>
      <c r="B127" s="112" t="n">
        <f aca="false">IF(A105="YES", B89*B57, 0)</f>
        <v>0</v>
      </c>
      <c r="C127" s="112"/>
      <c r="D127" s="113" t="n">
        <f aca="false">B91</f>
        <v>1727.31392827878</v>
      </c>
      <c r="E127" s="15"/>
      <c r="F127" s="2"/>
      <c r="G127" s="111" t="n">
        <f aca="false">H90</f>
        <v>1494.99937588241</v>
      </c>
      <c r="H127" s="112" t="n">
        <f aca="false">IF(G105="YES", H89*H57, 0)</f>
        <v>210.731707317073</v>
      </c>
      <c r="I127" s="112"/>
      <c r="J127" s="113" t="n">
        <f aca="false">H91</f>
        <v>1530.12132710192</v>
      </c>
      <c r="K127" s="15"/>
      <c r="L127" s="2"/>
      <c r="M127" s="111" t="n">
        <f aca="false">N90</f>
        <v>1239.12425466203</v>
      </c>
      <c r="N127" s="112" t="n">
        <f aca="false">IF(M105="YES", N89*N57, 0)</f>
        <v>175.609756097561</v>
      </c>
      <c r="O127" s="112"/>
      <c r="P127" s="112" t="n">
        <f aca="false">N91</f>
        <v>1268.39254734496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140</v>
      </c>
      <c r="B132" s="14" t="s">
        <v>141</v>
      </c>
      <c r="C132" s="14"/>
      <c r="D132" s="14" t="s">
        <v>142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15545.8253545091</v>
      </c>
      <c r="B133" s="48" t="n">
        <f aca="false">IF(A105="YES", B89*B57, 0)</f>
        <v>0</v>
      </c>
      <c r="C133" s="49"/>
      <c r="D133" s="50" t="n">
        <f aca="false">B91*B57</f>
        <v>15545.8253545091</v>
      </c>
      <c r="E133" s="15"/>
      <c r="F133" s="2"/>
      <c r="G133" s="47" t="n">
        <f aca="false">H90*H57</f>
        <v>8969.99625529443</v>
      </c>
      <c r="H133" s="48" t="n">
        <f aca="false">IF(G105="YES", H89*H57, 0)</f>
        <v>210.731707317073</v>
      </c>
      <c r="I133" s="49"/>
      <c r="J133" s="50" t="n">
        <f aca="false">H91*H57</f>
        <v>9180.72796261151</v>
      </c>
      <c r="K133" s="15"/>
      <c r="L133" s="2"/>
      <c r="M133" s="47" t="n">
        <f aca="false">N90*N57</f>
        <v>7434.74552797217</v>
      </c>
      <c r="N133" s="48" t="n">
        <f aca="false">IF(M105="YES", N89*N57, 0)</f>
        <v>175.609756097561</v>
      </c>
      <c r="O133" s="49"/>
      <c r="P133" s="50" t="n">
        <f aca="false">N91*N57</f>
        <v>7610.35528406973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146</v>
      </c>
      <c r="B135" s="14" t="s">
        <v>147</v>
      </c>
      <c r="C135" s="14"/>
      <c r="D135" s="14" t="s">
        <v>148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</v>
      </c>
      <c r="C136" s="48"/>
      <c r="D136" s="48" t="n">
        <f aca="false">A136+B136</f>
        <v>0.35115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1064.74</v>
      </c>
      <c r="E142" s="114"/>
      <c r="F142" s="2"/>
      <c r="G142" s="51" t="n">
        <f aca="false">IF(G105="YES", ((B36*H105)*0.1)*(G130), 0)</f>
        <v>20</v>
      </c>
      <c r="H142" s="48" t="n">
        <f aca="false">G102-100</f>
        <v>99.99</v>
      </c>
      <c r="I142" s="48"/>
      <c r="J142" s="48" t="n">
        <f aca="false">(H139+J139+G142+H142)-H145</f>
        <v>1084.74</v>
      </c>
      <c r="K142" s="114"/>
      <c r="L142" s="2"/>
      <c r="M142" s="51" t="n">
        <f aca="false">IF(M105="YES", ((B36*N105)*0.1)*(M130), 0)</f>
        <v>20</v>
      </c>
      <c r="N142" s="48" t="n">
        <f aca="false">M102-100</f>
        <v>99.99</v>
      </c>
      <c r="O142" s="48"/>
      <c r="P142" s="48" t="n">
        <f aca="false">(N139+P139+M142+N142)-N145</f>
        <v>1084.74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1727.31392827878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1530.12132710192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1268.39254734496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A39" activeCellId="0" sqref="A39"/>
    </sheetView>
  </sheetViews>
  <sheetFormatPr defaultColWidth="11.99218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6" min="6" style="0" width="11.87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50000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2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2502</v>
      </c>
      <c r="C6" s="12" t="n">
        <f aca="false">(C3*C4/100)+C5</f>
        <v>0</v>
      </c>
      <c r="D6" s="12" t="n">
        <f aca="false">(D3*D4/100)+D5</f>
        <v>41.6665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47498</v>
      </c>
      <c r="C7" s="12" t="n">
        <f aca="false">C3-C6</f>
        <v>0</v>
      </c>
      <c r="D7" s="12" t="n">
        <f aca="false">D3-D6</f>
        <v>791.6635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-207.445673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48289.6635</v>
      </c>
      <c r="F9" s="2"/>
      <c r="G9" s="13" t="n">
        <f aca="false">E9-G11</f>
        <v>-103722.8365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9767.9327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s">
        <v>15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20" t="n">
        <f aca="false">(E9+E10+E13+E14+E11) - E12</f>
        <v>59262.5962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 t="n">
        <v>0</v>
      </c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59262.5962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29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30</v>
      </c>
      <c r="B26" s="32" t="s">
        <v>27</v>
      </c>
      <c r="C26" s="14"/>
      <c r="D26" s="14"/>
      <c r="E26" s="15"/>
      <c r="F26" s="2"/>
      <c r="G26" s="33" t="s">
        <v>31</v>
      </c>
      <c r="H26" s="33" t="s">
        <v>32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33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34</v>
      </c>
      <c r="B28" s="35"/>
      <c r="C28" s="35"/>
      <c r="D28" s="35"/>
      <c r="E28" s="35"/>
      <c r="F28" s="2"/>
      <c r="G28" s="34" t="s">
        <v>35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36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37</v>
      </c>
      <c r="B30" s="37" t="s">
        <v>38</v>
      </c>
      <c r="C30" s="37"/>
      <c r="D30" s="14"/>
      <c r="E30" s="15"/>
      <c r="F30" s="2"/>
      <c r="G30" s="33" t="s">
        <v>39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40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41</v>
      </c>
      <c r="B32" s="14" t="s">
        <v>42</v>
      </c>
      <c r="C32" s="14"/>
      <c r="D32" s="39" t="s">
        <v>43</v>
      </c>
      <c r="E32" s="15"/>
      <c r="F32" s="2"/>
      <c r="G32" s="33" t="s">
        <v>44</v>
      </c>
      <c r="I32" s="38" t="n">
        <v>1000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1229.3991972156</v>
      </c>
      <c r="E33" s="15"/>
      <c r="F33" s="2"/>
      <c r="G33" s="34" t="s">
        <v>45</v>
      </c>
      <c r="H33" s="44" t="n">
        <f aca="false">E21-E11+((E16*20%)+(E19*20%)+(E20*20%))</f>
        <v>49494.6635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46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47</v>
      </c>
      <c r="B35" s="14" t="s">
        <v>48</v>
      </c>
      <c r="C35" s="14"/>
      <c r="D35" s="14" t="s">
        <v>49</v>
      </c>
      <c r="E35" s="15"/>
      <c r="F35" s="2"/>
      <c r="G35" s="45" t="s">
        <v>50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1229.3991972156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51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52</v>
      </c>
      <c r="B39" s="14" t="s">
        <v>53</v>
      </c>
      <c r="C39" s="14"/>
      <c r="D39" s="14" t="s">
        <v>54</v>
      </c>
      <c r="E39" s="15"/>
      <c r="F39" s="2"/>
      <c r="G39" s="2" t="s">
        <v>55</v>
      </c>
      <c r="H39" s="53" t="n">
        <f aca="false">H33</f>
        <v>49494.6635</v>
      </c>
      <c r="I39" s="53" t="n">
        <f aca="false">(I48*H46)+H44</f>
        <v>55056.4076971059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H31*A45/100</f>
        <v>13750</v>
      </c>
      <c r="B40" s="54" t="str">
        <f aca="false">IF(B26="YES",(H42*C45/100),"0")</f>
        <v>0</v>
      </c>
      <c r="C40" s="54"/>
      <c r="D40" s="50" t="n">
        <f aca="false">I32</f>
        <v>1000</v>
      </c>
      <c r="E40" s="15"/>
      <c r="F40" s="2"/>
      <c r="G40" s="2" t="s">
        <v>56</v>
      </c>
      <c r="H40" s="53" t="n">
        <f aca="false">(A40)/1.2</f>
        <v>11458.3333333333</v>
      </c>
      <c r="I40" s="53" t="n">
        <f aca="false">H39-I39</f>
        <v>-5561.74419710594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57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58</v>
      </c>
      <c r="H42" s="53" t="n">
        <f aca="false">(I32/H34)*(C45/100)</f>
        <v>0.138888888888889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59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60</v>
      </c>
      <c r="B44" s="14"/>
      <c r="C44" s="60" t="s">
        <v>61</v>
      </c>
      <c r="D44" s="60"/>
      <c r="E44" s="15"/>
      <c r="F44" s="2"/>
      <c r="G44" s="2" t="s">
        <v>62</v>
      </c>
      <c r="H44" s="53" t="n">
        <f aca="false">(H40/(1+H41)^(H34+1))</f>
        <v>9382.45488528405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n">
        <v>50</v>
      </c>
      <c r="B45" s="14"/>
      <c r="C45" s="62" t="n">
        <v>0.5</v>
      </c>
      <c r="D45" s="62"/>
      <c r="E45" s="15"/>
      <c r="F45" s="2"/>
      <c r="G45" s="2" t="s">
        <v>64</v>
      </c>
      <c r="H45" s="53" t="n">
        <f aca="false">(H39-H44)</f>
        <v>40112.208614716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65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66</v>
      </c>
      <c r="H47" s="53" t="n">
        <f aca="false">H45/H46</f>
        <v>1229.3991972156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69" t="s">
        <v>68</v>
      </c>
      <c r="H48" s="53" t="n">
        <f aca="false">IF(B26="YES", H47+H42, H47)</f>
        <v>1229.3991972156</v>
      </c>
      <c r="I48" s="53" t="n">
        <f aca="false">I49-H42</f>
        <v>1399.86111111111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69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1229.3991972156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IF(B99=Y97,1,IF(B99=Y98,1,IF(B99=Y99,3,IF(B99=Y100,6,IF(B99=Y101,9,IF(B99=Y102,12,IF(B99=Y103,3,IF(B99=Y104,6,IF(B99=Y105,9,0)))))))))</f>
        <v>1</v>
      </c>
      <c r="C57" s="14"/>
      <c r="D57" s="14"/>
      <c r="E57" s="15"/>
      <c r="F57" s="2"/>
      <c r="G57" s="6" t="s">
        <v>55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55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IF(B99=Y97,H29-B57,IF(B99=Y98,H29-B57,IF(B99=Y99,H29-1,IF(B99=Y100,H29-1,IF(B99=Y101,H29-1,IF(B99=Y102,H29-1,IF(B99=Y103,H29-B57,IF(B99=Y104,H29-B57,IF(B99=Y105,H29-B57,0)))))))))</f>
        <v>35</v>
      </c>
      <c r="C58" s="14"/>
      <c r="D58" s="14"/>
      <c r="E58" s="15"/>
      <c r="F58" s="2"/>
      <c r="G58" s="6" t="s">
        <v>70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70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61659.996</v>
      </c>
      <c r="C61" s="14"/>
      <c r="D61" s="14"/>
      <c r="E61" s="15"/>
      <c r="F61" s="2"/>
      <c r="G61" s="6" t="s">
        <v>22</v>
      </c>
      <c r="H61" s="12" t="n">
        <f aca="false">G18</f>
        <v>61659.996</v>
      </c>
      <c r="I61" s="14"/>
      <c r="J61" s="14"/>
      <c r="K61" s="15"/>
      <c r="L61" s="2"/>
      <c r="M61" s="6" t="s">
        <v>22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77" t="s">
        <v>71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B62+(B62*0.25*((H29/12)-1))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6" t="s">
        <v>72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6474.29958</v>
      </c>
      <c r="C64" s="119"/>
      <c r="D64" s="12" t="n">
        <f aca="false">B64</f>
        <v>6474.29958</v>
      </c>
      <c r="E64" s="118" t="n">
        <f aca="false">D64/(B58+B57)</f>
        <v>179.841655</v>
      </c>
      <c r="F64" s="2"/>
      <c r="G64" s="63" t="s">
        <v>73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73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0.01</v>
      </c>
      <c r="C65" s="14"/>
      <c r="D65" s="12"/>
      <c r="E65" s="15"/>
      <c r="F65" s="2"/>
      <c r="G65" s="77" t="s">
        <v>74</v>
      </c>
      <c r="H65" s="78" t="n">
        <v>0.01</v>
      </c>
      <c r="I65" s="14"/>
      <c r="J65" s="14"/>
      <c r="K65" s="15"/>
      <c r="L65" s="2"/>
      <c r="M65" s="77" t="s">
        <v>74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0.02</v>
      </c>
      <c r="C66" s="120"/>
      <c r="D66" s="14"/>
      <c r="E66" s="15"/>
      <c r="F66" s="2"/>
      <c r="G66" s="6" t="s">
        <v>75</v>
      </c>
      <c r="H66" s="10" t="n">
        <f aca="false">H65+(H65*0.5*(H29/12-1))</f>
        <v>0.02</v>
      </c>
      <c r="I66" s="14"/>
      <c r="J66" s="14"/>
      <c r="K66" s="15"/>
      <c r="L66" s="2"/>
      <c r="M66" s="6" t="s">
        <v>75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(B61*B66)</f>
        <v>1233.19992</v>
      </c>
      <c r="C67" s="121"/>
      <c r="D67" s="122"/>
      <c r="E67" s="15"/>
      <c r="F67" s="2"/>
      <c r="G67" s="63" t="s">
        <v>76</v>
      </c>
      <c r="H67" s="79" t="n">
        <f aca="false">(H61*H66)/1.2</f>
        <v>1027.6666</v>
      </c>
      <c r="I67" s="14"/>
      <c r="J67" s="12"/>
      <c r="K67" s="15"/>
      <c r="L67" s="2"/>
      <c r="M67" s="63" t="s">
        <v>76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23"/>
      <c r="D68" s="12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77" t="s">
        <v>77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3" t="s">
        <v>78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63" t="s">
        <v>79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200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77" t="s">
        <v>80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3" t="s">
        <v>81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82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165</v>
      </c>
      <c r="C74" s="14"/>
      <c r="D74" s="14"/>
      <c r="E74" s="15"/>
      <c r="F74" s="2"/>
      <c r="G74" s="77" t="s">
        <v>83</v>
      </c>
      <c r="H74" s="83" t="n">
        <v>165</v>
      </c>
      <c r="I74" s="14"/>
      <c r="J74" s="14"/>
      <c r="K74" s="15"/>
      <c r="L74" s="2"/>
      <c r="M74" s="85" t="s">
        <v>83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v>355</v>
      </c>
      <c r="C75" s="14"/>
      <c r="D75" s="14"/>
      <c r="E75" s="15"/>
      <c r="F75" s="2"/>
      <c r="G75" s="3" t="s">
        <v>84</v>
      </c>
      <c r="H75" s="84" t="n">
        <v>0</v>
      </c>
      <c r="I75" s="14"/>
      <c r="J75" s="14"/>
      <c r="K75" s="15"/>
      <c r="L75" s="2"/>
      <c r="M75" s="87" t="s">
        <v>84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85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85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v>0</v>
      </c>
      <c r="C77" s="124"/>
      <c r="D77" s="12" t="n">
        <f aca="false">B77</f>
        <v>0</v>
      </c>
      <c r="E77" s="118" t="n">
        <f aca="false">D77/(B58+B57)</f>
        <v>0</v>
      </c>
      <c r="F77" s="2"/>
      <c r="G77" s="77" t="s">
        <v>86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86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D102/(1-0.1)</f>
        <v>0</v>
      </c>
      <c r="C78" s="124"/>
      <c r="D78" s="12" t="n">
        <f aca="false">B78</f>
        <v>0</v>
      </c>
      <c r="E78" s="118"/>
      <c r="F78" s="2"/>
      <c r="G78" s="6" t="s">
        <v>87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87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200</v>
      </c>
      <c r="C79" s="124"/>
      <c r="D79" s="12" t="n">
        <f aca="false">B79</f>
        <v>200</v>
      </c>
      <c r="E79" s="118"/>
      <c r="F79" s="2"/>
      <c r="G79" s="3" t="s">
        <v>88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88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200</v>
      </c>
      <c r="C80" s="124"/>
      <c r="D80" s="12" t="n">
        <f aca="false">B80</f>
        <v>200</v>
      </c>
      <c r="E80" s="118" t="n">
        <f aca="false">(D73+D76+D79+D80)/(B58+B57)</f>
        <v>51.7592592592593</v>
      </c>
      <c r="F80" s="2"/>
      <c r="G80" s="91" t="s">
        <v>89</v>
      </c>
      <c r="H80" s="92" t="n">
        <v>200</v>
      </c>
      <c r="I80" s="14"/>
      <c r="J80" s="12" t="n">
        <f aca="false">H80</f>
        <v>200</v>
      </c>
      <c r="K80" s="15"/>
      <c r="L80" s="2"/>
      <c r="M80" s="91" t="s">
        <v>89</v>
      </c>
      <c r="N80" s="92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8337.63291333334</v>
      </c>
      <c r="C81" s="124"/>
      <c r="D81" s="125"/>
      <c r="E81" s="118"/>
      <c r="F81" s="2"/>
      <c r="G81" s="93" t="s">
        <v>90</v>
      </c>
      <c r="H81" s="94" t="n">
        <f aca="false">SUM(J64:J80)</f>
        <v>7540.04958</v>
      </c>
      <c r="I81" s="14"/>
      <c r="J81" s="14"/>
      <c r="K81" s="15"/>
      <c r="L81" s="2"/>
      <c r="M81" s="93" t="s">
        <v>90</v>
      </c>
      <c r="N81" s="94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231.600914259259</v>
      </c>
      <c r="C82" s="124"/>
      <c r="D82" s="14"/>
      <c r="E82" s="118"/>
      <c r="F82" s="2"/>
      <c r="G82" s="6" t="s">
        <v>91</v>
      </c>
      <c r="H82" s="11" t="n">
        <f aca="false">H81/H29</f>
        <v>209.445821666667</v>
      </c>
      <c r="I82" s="14"/>
      <c r="J82" s="14"/>
      <c r="K82" s="15"/>
      <c r="L82" s="2"/>
      <c r="M82" s="6" t="s">
        <v>91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H47</f>
        <v>1229.3991972156</v>
      </c>
      <c r="C83" s="124"/>
      <c r="D83" s="14"/>
      <c r="E83" s="118" t="n">
        <f aca="false">B83+E80+E77+E64</f>
        <v>1461.00011147486</v>
      </c>
      <c r="F83" s="2"/>
      <c r="G83" s="95" t="s">
        <v>92</v>
      </c>
      <c r="H83" s="96" t="n">
        <f aca="false">H47</f>
        <v>1229.3991972156</v>
      </c>
      <c r="I83" s="14"/>
      <c r="J83" s="14"/>
      <c r="K83" s="15"/>
      <c r="L83" s="2"/>
      <c r="M83" s="95" t="s">
        <v>92</v>
      </c>
      <c r="N83" s="96" t="n">
        <f aca="false">H47</f>
        <v>1229.3991972156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4"/>
      <c r="D84" s="124"/>
      <c r="E84" s="118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((B83*H29)+B81)</f>
        <v>52596.0040130949</v>
      </c>
      <c r="C85" s="124"/>
      <c r="D85" s="124"/>
      <c r="E85" s="118" t="n">
        <f aca="false">B85/(B58+B57)</f>
        <v>1461.00011147486</v>
      </c>
      <c r="F85" s="2"/>
      <c r="G85" s="56" t="s">
        <v>93</v>
      </c>
      <c r="H85" s="97" t="n">
        <f aca="false">((H83*H29)+H81)*1.2</f>
        <v>62158.1048157138</v>
      </c>
      <c r="I85" s="14"/>
      <c r="J85" s="14"/>
      <c r="K85" s="15"/>
      <c r="L85" s="2"/>
      <c r="M85" s="56" t="s">
        <v>93</v>
      </c>
      <c r="N85" s="97" t="n">
        <f aca="false">((N83*H29)+N81)</f>
        <v>51454.6706797615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(((B83*H29)+B81)/(1-B70))*B70</f>
        <v>445.549045693825</v>
      </c>
      <c r="C86" s="124"/>
      <c r="D86" s="14"/>
      <c r="E86" s="118" t="n">
        <f aca="false">B86/(B58+B57)</f>
        <v>12.376362380384</v>
      </c>
      <c r="F86" s="2"/>
      <c r="G86" s="6" t="s">
        <v>94</v>
      </c>
      <c r="H86" s="11" t="n">
        <f aca="false">((((H83*H29)+H81))/(1-H70))*H70</f>
        <v>438.792591478416</v>
      </c>
      <c r="I86" s="14"/>
      <c r="J86" s="14"/>
      <c r="K86" s="15"/>
      <c r="L86" s="2"/>
      <c r="M86" s="6" t="s">
        <v>94</v>
      </c>
      <c r="N86" s="11" t="n">
        <f aca="false">(N85/(1-N70))*N70</f>
        <v>435.880631010485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IF(B110="YES",((B85+B86)-E114),((B85+B86)))</f>
        <v>53041.5530587887</v>
      </c>
      <c r="C87" s="124"/>
      <c r="D87" s="126"/>
      <c r="E87" s="118" t="n">
        <f aca="false">E86+E85</f>
        <v>1473.37647385524</v>
      </c>
      <c r="F87" s="2"/>
      <c r="G87" s="63" t="s">
        <v>95</v>
      </c>
      <c r="H87" s="79" t="n">
        <f aca="false">IF(H110="YES",((H85+H86)-K114),(H85+H86))</f>
        <v>62596.8974071923</v>
      </c>
      <c r="I87" s="14"/>
      <c r="J87" s="14"/>
      <c r="K87" s="15"/>
      <c r="L87" s="2"/>
      <c r="M87" s="63" t="s">
        <v>95</v>
      </c>
      <c r="N87" s="79" t="n">
        <f aca="false">IF(N110="YES",((N85+N86)-Q114),(N85+N86))</f>
        <v>51890.551310772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4"/>
      <c r="D88" s="14"/>
      <c r="E88" s="118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IF(B99=Y98, (I32+(I32*B105))/(B58), (I32+(I32*B105))/(B57+B58))</f>
        <v>27.7777777777778</v>
      </c>
      <c r="C89" s="124"/>
      <c r="D89" s="14"/>
      <c r="E89" s="15"/>
      <c r="F89" s="2"/>
      <c r="G89" s="93" t="s">
        <v>96</v>
      </c>
      <c r="H89" s="94" t="n">
        <f aca="false">IF(H99=Y98, (D40+(D40*H105))/(H58), (D40+(D40*H105))/(H57+H58))*1.2</f>
        <v>35.1219512195122</v>
      </c>
      <c r="I89" s="14"/>
      <c r="J89" s="14"/>
      <c r="K89" s="15"/>
      <c r="L89" s="2"/>
      <c r="M89" s="93" t="s">
        <v>96</v>
      </c>
      <c r="N89" s="94" t="n">
        <f aca="false">IF(N99=Y98, (D40+(D40*N105))/(N58), (D40+(D40*N105))/(N57+N58))</f>
        <v>29.2682926829268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IF(B99=Y98, (B87-D105)/(B58), B87/(B57+B58))</f>
        <v>1473.37647385524</v>
      </c>
      <c r="C90" s="124"/>
      <c r="D90" s="14"/>
      <c r="E90" s="127"/>
      <c r="F90" s="2"/>
      <c r="G90" s="98" t="s">
        <v>97</v>
      </c>
      <c r="H90" s="99" t="n">
        <f aca="false">IF(H99=Y98, (H87-J105)/(H58), H87/(H57+H58))</f>
        <v>1526.75359529737</v>
      </c>
      <c r="I90" s="14"/>
      <c r="J90" s="14"/>
      <c r="K90" s="15"/>
      <c r="L90" s="2"/>
      <c r="M90" s="98" t="s">
        <v>97</v>
      </c>
      <c r="N90" s="99" t="n">
        <f aca="false">IF(N99=Y98, (N87-P105)/(N58), N87/(N57+N58))</f>
        <v>1265.62320270176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1473.37647385524</v>
      </c>
      <c r="C91" s="124"/>
      <c r="D91" s="128"/>
      <c r="E91" s="129"/>
      <c r="F91" s="2"/>
      <c r="G91" s="100" t="s">
        <v>98</v>
      </c>
      <c r="H91" s="101" t="n">
        <f aca="false">IF(G105="YES", H90+H89, H90)</f>
        <v>1561.87554651688</v>
      </c>
      <c r="I91" s="14"/>
      <c r="J91" s="14"/>
      <c r="K91" s="15"/>
      <c r="L91" s="2"/>
      <c r="M91" s="100" t="s">
        <v>98</v>
      </c>
      <c r="N91" s="101" t="n">
        <f aca="false">IF(M105="YES", N90+N89, N90)</f>
        <v>1294.89149538468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0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30" t="s">
        <v>99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35" t="s">
        <v>101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1"/>
      <c r="C97" s="131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102</v>
      </c>
      <c r="Z97" s="2"/>
      <c r="AC97" s="10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6" t="s">
        <v>103</v>
      </c>
      <c r="N98" s="14" t="s">
        <v>31</v>
      </c>
      <c r="O98" s="14"/>
      <c r="P98" s="14" t="s">
        <v>104</v>
      </c>
      <c r="Q98" s="15"/>
      <c r="R98" s="2"/>
      <c r="S98" s="2"/>
      <c r="T98" s="2"/>
      <c r="U98" s="2"/>
      <c r="V98" s="2"/>
      <c r="W98" s="2"/>
      <c r="X98" s="2"/>
      <c r="Y98" s="2" t="s">
        <v>105</v>
      </c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1000</v>
      </c>
      <c r="E99" s="54"/>
      <c r="F99" s="2"/>
      <c r="G99" s="31" t="s">
        <v>106</v>
      </c>
      <c r="H99" s="103" t="s">
        <v>108</v>
      </c>
      <c r="I99" s="103"/>
      <c r="J99" s="54" t="n">
        <v>0</v>
      </c>
      <c r="K99" s="54"/>
      <c r="L99" s="2"/>
      <c r="M99" s="31" t="s">
        <v>106</v>
      </c>
      <c r="N99" s="103" t="s">
        <v>108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109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108</v>
      </c>
      <c r="Z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163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6" t="s">
        <v>110</v>
      </c>
      <c r="N101" s="14" t="s">
        <v>111</v>
      </c>
      <c r="O101" s="14"/>
      <c r="P101" s="14" t="s">
        <v>112</v>
      </c>
      <c r="Q101" s="15"/>
      <c r="R101" s="2"/>
      <c r="S101" s="2"/>
      <c r="T101" s="2"/>
      <c r="U101" s="2"/>
      <c r="V101" s="2"/>
      <c r="W101" s="2"/>
      <c r="X101" s="2"/>
      <c r="Y101" s="2" t="s">
        <v>113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114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115</v>
      </c>
      <c r="Z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31" t="s">
        <v>30</v>
      </c>
      <c r="N104" s="2" t="s">
        <v>116</v>
      </c>
      <c r="O104" s="14"/>
      <c r="P104" s="14" t="s">
        <v>117</v>
      </c>
      <c r="Q104" s="15"/>
      <c r="R104" s="2"/>
      <c r="S104" s="2"/>
      <c r="T104" s="2"/>
      <c r="U104" s="2"/>
      <c r="V104" s="2"/>
      <c r="W104" s="2"/>
      <c r="X104" s="2"/>
      <c r="Y104" s="2" t="s">
        <v>118</v>
      </c>
      <c r="Z104" s="2"/>
    </row>
    <row r="105" customFormat="false" ht="18.75" hidden="false" customHeight="true" outlineLevel="0" collapsed="false">
      <c r="A105" s="32" t="s">
        <v>27</v>
      </c>
      <c r="B105" s="105" t="n">
        <v>0</v>
      </c>
      <c r="C105" s="105"/>
      <c r="D105" s="54" t="n">
        <v>200</v>
      </c>
      <c r="E105" s="54"/>
      <c r="F105" s="2"/>
      <c r="G105" s="32" t="s">
        <v>26</v>
      </c>
      <c r="H105" s="105" t="n">
        <v>0.2</v>
      </c>
      <c r="I105" s="105"/>
      <c r="J105" s="54"/>
      <c r="K105" s="54"/>
      <c r="L105" s="2"/>
      <c r="M105" s="32" t="s">
        <v>26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121</v>
      </c>
      <c r="O107" s="32" t="s">
        <v>26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35" t="s">
        <v>122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6" t="s">
        <v>123</v>
      </c>
      <c r="N110" s="32" t="s">
        <v>27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0</v>
      </c>
      <c r="E112" s="54" t="n">
        <v>0</v>
      </c>
      <c r="F112" s="2"/>
      <c r="G112" s="6" t="s">
        <v>124</v>
      </c>
      <c r="H112" s="14"/>
      <c r="I112" s="14"/>
      <c r="J112" s="104" t="n">
        <v>0</v>
      </c>
      <c r="K112" s="54" t="n">
        <v>0</v>
      </c>
      <c r="L112" s="2"/>
      <c r="M112" s="6" t="s">
        <v>124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125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125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126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126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0</v>
      </c>
      <c r="E115" s="15"/>
      <c r="F115" s="2"/>
      <c r="G115" s="6" t="s">
        <v>127</v>
      </c>
      <c r="H115" s="14"/>
      <c r="I115" s="14"/>
      <c r="J115" s="106" t="n">
        <f aca="false">J114-K114</f>
        <v>0</v>
      </c>
      <c r="K115" s="15"/>
      <c r="L115" s="2"/>
      <c r="M115" s="6" t="s">
        <v>127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v>1000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56" t="s">
        <v>128</v>
      </c>
      <c r="N117" s="57"/>
      <c r="O117" s="57"/>
      <c r="P117" s="57"/>
      <c r="Q117" s="97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v>199.99</v>
      </c>
      <c r="F118" s="2"/>
      <c r="G118" s="6" t="s">
        <v>129</v>
      </c>
      <c r="H118" s="14"/>
      <c r="I118" s="14"/>
      <c r="J118" s="14"/>
      <c r="K118" s="11" t="n">
        <f aca="false">G102</f>
        <v>199.99</v>
      </c>
      <c r="L118" s="2"/>
      <c r="M118" s="6" t="s">
        <v>129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130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130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35" t="s">
        <v>131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132" t="n">
        <v>0</v>
      </c>
      <c r="C124" s="132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6" t="s">
        <v>37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132</v>
      </c>
      <c r="B126" s="110" t="s">
        <v>133</v>
      </c>
      <c r="C126" s="110"/>
      <c r="D126" s="110" t="s">
        <v>98</v>
      </c>
      <c r="E126" s="15"/>
      <c r="F126" s="2"/>
      <c r="G126" s="109" t="s">
        <v>134</v>
      </c>
      <c r="H126" s="110" t="s">
        <v>135</v>
      </c>
      <c r="I126" s="110"/>
      <c r="J126" s="110" t="s">
        <v>136</v>
      </c>
      <c r="K126" s="15"/>
      <c r="L126" s="2"/>
      <c r="M126" s="109" t="s">
        <v>132</v>
      </c>
      <c r="N126" s="110" t="s">
        <v>133</v>
      </c>
      <c r="O126" s="110"/>
      <c r="P126" s="110" t="s">
        <v>98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1473.37647385524</v>
      </c>
      <c r="B127" s="112" t="n">
        <f aca="false">IF(A105="YES", B89*B57, 0)</f>
        <v>0</v>
      </c>
      <c r="C127" s="112"/>
      <c r="D127" s="112" t="n">
        <f aca="false">B91</f>
        <v>1473.37647385524</v>
      </c>
      <c r="E127" s="15"/>
      <c r="F127" s="2"/>
      <c r="G127" s="111" t="n">
        <f aca="false">H90</f>
        <v>1526.75359529737</v>
      </c>
      <c r="H127" s="112" t="n">
        <f aca="false">IF(G105="YES", H89*H57, 0)</f>
        <v>210.731707317073</v>
      </c>
      <c r="I127" s="112"/>
      <c r="J127" s="113" t="n">
        <f aca="false">H91</f>
        <v>1561.87554651688</v>
      </c>
      <c r="K127" s="15"/>
      <c r="L127" s="2"/>
      <c r="M127" s="111" t="n">
        <f aca="false">N90</f>
        <v>1265.62320270176</v>
      </c>
      <c r="N127" s="112" t="n">
        <f aca="false">IF(M105="YES", N89*N57, 0)</f>
        <v>175.609756097561</v>
      </c>
      <c r="O127" s="112"/>
      <c r="P127" s="112" t="n">
        <f aca="false">N91</f>
        <v>1294.89149538468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41</v>
      </c>
      <c r="B129" s="14" t="s">
        <v>42</v>
      </c>
      <c r="C129" s="14"/>
      <c r="D129" s="14" t="s">
        <v>70</v>
      </c>
      <c r="E129" s="15"/>
      <c r="F129" s="2"/>
      <c r="G129" s="6" t="s">
        <v>41</v>
      </c>
      <c r="H129" s="14" t="s">
        <v>42</v>
      </c>
      <c r="I129" s="14"/>
      <c r="J129" s="14" t="s">
        <v>70</v>
      </c>
      <c r="K129" s="15"/>
      <c r="L129" s="2"/>
      <c r="M129" s="6" t="s">
        <v>41</v>
      </c>
      <c r="N129" s="14" t="s">
        <v>42</v>
      </c>
      <c r="O129" s="14"/>
      <c r="P129" s="14" t="s">
        <v>70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6" t="s">
        <v>137</v>
      </c>
      <c r="N132" s="14" t="s">
        <v>138</v>
      </c>
      <c r="O132" s="14"/>
      <c r="P132" s="14" t="s">
        <v>139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1473.37647385524</v>
      </c>
      <c r="B133" s="48" t="n">
        <f aca="false">IF(A105="YES", B89*B57, 0)</f>
        <v>0</v>
      </c>
      <c r="C133" s="49"/>
      <c r="D133" s="50" t="n">
        <f aca="false">B91*B57</f>
        <v>1473.37647385524</v>
      </c>
      <c r="E133" s="15"/>
      <c r="F133" s="2"/>
      <c r="G133" s="47" t="n">
        <f aca="false">H90*H57</f>
        <v>9160.52157178423</v>
      </c>
      <c r="H133" s="48" t="n">
        <f aca="false">IF(G105="YES", H89*H57, 0)</f>
        <v>210.731707317073</v>
      </c>
      <c r="I133" s="49"/>
      <c r="J133" s="50" t="n">
        <f aca="false">H91*H57</f>
        <v>9371.25327910131</v>
      </c>
      <c r="K133" s="15"/>
      <c r="L133" s="2"/>
      <c r="M133" s="47" t="n">
        <f aca="false">N90*N57</f>
        <v>7593.73921621054</v>
      </c>
      <c r="N133" s="48" t="n">
        <f aca="false">IF(M105="YES", N89*N57, 0)</f>
        <v>175.609756097561</v>
      </c>
      <c r="O133" s="49"/>
      <c r="P133" s="50" t="n">
        <f aca="false">N91*N57</f>
        <v>7769.3489723081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6" t="s">
        <v>143</v>
      </c>
      <c r="N135" s="14" t="s">
        <v>144</v>
      </c>
      <c r="O135" s="14"/>
      <c r="P135" s="14" t="s">
        <v>145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3" t="n">
        <f aca="false">E15*0.000006</f>
        <v>0.3555755772</v>
      </c>
      <c r="B136" s="134" t="n">
        <f aca="false">IF(A105="YES", E15*0.000002, 0)</f>
        <v>0</v>
      </c>
      <c r="C136" s="48"/>
      <c r="D136" s="134" t="n">
        <f aca="false">A136+B136</f>
        <v>0.3555755772</v>
      </c>
      <c r="E136" s="114"/>
      <c r="F136" s="2"/>
      <c r="G136" s="51" t="n">
        <f aca="false">E15*0.000006</f>
        <v>0.3555755772</v>
      </c>
      <c r="H136" s="48" t="n">
        <f aca="false">IF(G105="YES", E15*0.000002, 0)</f>
        <v>0.1185251924</v>
      </c>
      <c r="I136" s="48"/>
      <c r="J136" s="48" t="n">
        <f aca="false">G136+H136</f>
        <v>0.4741007696</v>
      </c>
      <c r="K136" s="114"/>
      <c r="L136" s="2"/>
      <c r="M136" s="51" t="n">
        <f aca="false">E15*0.000006</f>
        <v>0.3555755772</v>
      </c>
      <c r="N136" s="48" t="n">
        <f aca="false">IF(M105="YES", E15*0.000002, 0)</f>
        <v>0.1185251924</v>
      </c>
      <c r="O136" s="48"/>
      <c r="P136" s="48" t="n">
        <f aca="false">M136+N136</f>
        <v>0.4741007696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6" t="s">
        <v>149</v>
      </c>
      <c r="N138" s="14" t="s">
        <v>150</v>
      </c>
      <c r="O138" s="14"/>
      <c r="P138" s="14" t="s">
        <v>151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1233.19992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6" t="s">
        <v>153</v>
      </c>
      <c r="N141" s="14" t="s">
        <v>154</v>
      </c>
      <c r="O141" s="14"/>
      <c r="P141" s="14" t="s">
        <v>155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1333.18992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6" t="s">
        <v>156</v>
      </c>
      <c r="N144" s="14" t="s">
        <v>157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158</v>
      </c>
      <c r="N147" s="106" t="s">
        <v>159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160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1473.37647385524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1561.87554651688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41</v>
      </c>
      <c r="N153" s="73" t="s">
        <v>42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1294.89149538468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0" activeCellId="0" sqref="G20"/>
    </sheetView>
  </sheetViews>
  <sheetFormatPr defaultColWidth="11.992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102</v>
      </c>
      <c r="B32" s="142" t="n">
        <v>0</v>
      </c>
      <c r="C32" s="142"/>
      <c r="D32" s="142" t="n">
        <v>0</v>
      </c>
      <c r="E32" s="142"/>
      <c r="F32" s="2"/>
      <c r="G32" s="143" t="s">
        <v>172</v>
      </c>
      <c r="H32" s="141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 t="s">
        <v>173</v>
      </c>
      <c r="H33" s="141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0</v>
      </c>
      <c r="B35" s="138" t="n">
        <v>33</v>
      </c>
      <c r="C35" s="138"/>
      <c r="D35" s="138" t="n">
        <v>11000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30250</v>
      </c>
      <c r="B38" s="138" t="s">
        <v>26</v>
      </c>
      <c r="C38" s="138"/>
      <c r="D38" s="148" t="n">
        <v>50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22.73</v>
      </c>
      <c r="B41" s="152" t="n">
        <f aca="false">IF(B38="YES", D38+A41, D38)</f>
        <v>72.73</v>
      </c>
      <c r="C41" s="152"/>
      <c r="D41" s="148" t="n">
        <v>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149</v>
      </c>
      <c r="B43" s="151" t="s">
        <v>143</v>
      </c>
      <c r="C43" s="42"/>
      <c r="D43" s="151" t="s">
        <v>144</v>
      </c>
      <c r="E43" s="153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</v>
      </c>
      <c r="B44" s="148" t="n">
        <v>50</v>
      </c>
      <c r="C44" s="148"/>
      <c r="D44" s="148" t="n">
        <v>0</v>
      </c>
      <c r="E44" s="148"/>
      <c r="F44" s="2"/>
      <c r="G44" s="2" t="s">
        <v>182</v>
      </c>
      <c r="H44" s="53" t="n">
        <f aca="false">H32</f>
        <v>22.73</v>
      </c>
      <c r="I44" s="154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0" t="s">
        <v>145</v>
      </c>
      <c r="B46" s="151" t="s">
        <v>184</v>
      </c>
      <c r="C46" s="42"/>
      <c r="D46" s="151" t="s">
        <v>185</v>
      </c>
      <c r="E46" s="153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6" t="n">
        <v>0</v>
      </c>
      <c r="B47" s="157" t="n">
        <v>0.99</v>
      </c>
      <c r="C47" s="157"/>
      <c r="D47" s="148" t="n">
        <v>0</v>
      </c>
      <c r="E47" s="148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49"/>
      <c r="B48" s="42"/>
      <c r="C48" s="42"/>
      <c r="D48" s="42"/>
      <c r="E48" s="153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49" t="s">
        <v>187</v>
      </c>
      <c r="B49" s="42"/>
      <c r="C49" s="42"/>
      <c r="D49" s="42"/>
      <c r="E49" s="153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27</v>
      </c>
      <c r="B50" s="42"/>
      <c r="C50" s="42"/>
      <c r="D50" s="42"/>
      <c r="E50" s="153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49"/>
      <c r="B51" s="42"/>
      <c r="C51" s="42"/>
      <c r="D51" s="42"/>
      <c r="E51" s="153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8" t="s">
        <v>188</v>
      </c>
      <c r="B52" s="42"/>
      <c r="C52" s="42"/>
      <c r="D52" s="42"/>
      <c r="E52" s="153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49"/>
      <c r="B53" s="42"/>
      <c r="C53" s="42"/>
      <c r="D53" s="42"/>
      <c r="E53" s="153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67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41</v>
      </c>
      <c r="B56" s="73" t="s">
        <v>42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55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55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55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70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70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70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22</v>
      </c>
      <c r="B67" s="12" t="n">
        <f aca="false">G18</f>
        <v>166200</v>
      </c>
      <c r="C67" s="14"/>
      <c r="D67" s="14"/>
      <c r="E67" s="15"/>
      <c r="F67" s="2"/>
      <c r="G67" s="6" t="s">
        <v>22</v>
      </c>
      <c r="H67" s="12" t="n">
        <f aca="false">G18</f>
        <v>166200</v>
      </c>
      <c r="I67" s="14"/>
      <c r="J67" s="14"/>
      <c r="K67" s="15"/>
      <c r="L67" s="2"/>
      <c r="M67" s="6" t="s">
        <v>22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71</v>
      </c>
      <c r="B68" s="78" t="n">
        <v>0.07</v>
      </c>
      <c r="C68" s="14"/>
      <c r="D68" s="14"/>
      <c r="E68" s="15"/>
      <c r="F68" s="2"/>
      <c r="G68" s="77" t="s">
        <v>71</v>
      </c>
      <c r="H68" s="78" t="n">
        <v>0.07</v>
      </c>
      <c r="I68" s="14"/>
      <c r="J68" s="14"/>
      <c r="K68" s="15"/>
      <c r="L68" s="2"/>
      <c r="M68" s="77" t="s">
        <v>71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72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72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72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73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73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73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74</v>
      </c>
      <c r="B71" s="78" t="n">
        <v>0.01</v>
      </c>
      <c r="C71" s="14"/>
      <c r="D71" s="14"/>
      <c r="E71" s="15"/>
      <c r="F71" s="2"/>
      <c r="G71" s="77" t="s">
        <v>74</v>
      </c>
      <c r="H71" s="78" t="n">
        <v>0.005</v>
      </c>
      <c r="I71" s="14"/>
      <c r="J71" s="14"/>
      <c r="K71" s="15"/>
      <c r="L71" s="2"/>
      <c r="M71" s="77" t="s">
        <v>74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75</v>
      </c>
      <c r="B72" s="10" t="n">
        <f aca="false">B71+(B71*0.5*(H29/12-1))</f>
        <v>0.01875</v>
      </c>
      <c r="C72" s="14"/>
      <c r="D72" s="14"/>
      <c r="E72" s="15"/>
      <c r="F72" s="2"/>
      <c r="G72" s="6" t="s">
        <v>75</v>
      </c>
      <c r="H72" s="10" t="n">
        <f aca="false">H71+(H71*0.5*(H29/12-1))</f>
        <v>0.009375</v>
      </c>
      <c r="I72" s="14"/>
      <c r="J72" s="14"/>
      <c r="K72" s="15"/>
      <c r="L72" s="2"/>
      <c r="M72" s="6" t="s">
        <v>75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76</v>
      </c>
      <c r="B73" s="79" t="n">
        <f aca="false">B67*B72</f>
        <v>3116.25</v>
      </c>
      <c r="C73" s="14"/>
      <c r="D73" s="12"/>
      <c r="E73" s="15"/>
      <c r="F73" s="2"/>
      <c r="G73" s="63" t="s">
        <v>76</v>
      </c>
      <c r="H73" s="79" t="n">
        <f aca="false">H67*H72</f>
        <v>1558.125</v>
      </c>
      <c r="I73" s="14"/>
      <c r="J73" s="12"/>
      <c r="K73" s="15"/>
      <c r="L73" s="2"/>
      <c r="M73" s="63" t="s">
        <v>76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77</v>
      </c>
      <c r="B74" s="78" t="n">
        <v>0.0075</v>
      </c>
      <c r="C74" s="14"/>
      <c r="D74" s="14"/>
      <c r="E74" s="15"/>
      <c r="F74" s="2"/>
      <c r="G74" s="77" t="s">
        <v>77</v>
      </c>
      <c r="H74" s="78" t="n">
        <v>0.0075</v>
      </c>
      <c r="I74" s="14"/>
      <c r="J74" s="14"/>
      <c r="K74" s="15"/>
      <c r="L74" s="2"/>
      <c r="M74" s="77" t="s">
        <v>77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78</v>
      </c>
      <c r="B75" s="80" t="n">
        <v>0.12</v>
      </c>
      <c r="C75" s="14"/>
      <c r="D75" s="14"/>
      <c r="E75" s="15"/>
      <c r="F75" s="2"/>
      <c r="G75" s="3" t="s">
        <v>78</v>
      </c>
      <c r="H75" s="80" t="n">
        <v>0.12</v>
      </c>
      <c r="I75" s="14"/>
      <c r="J75" s="14"/>
      <c r="K75" s="15"/>
      <c r="L75" s="2"/>
      <c r="M75" s="3" t="s">
        <v>78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79</v>
      </c>
      <c r="B76" s="82" t="n">
        <f aca="false">B74*(1+B75)</f>
        <v>0.0084</v>
      </c>
      <c r="C76" s="14"/>
      <c r="D76" s="14"/>
      <c r="E76" s="15"/>
      <c r="F76" s="2"/>
      <c r="G76" s="63" t="s">
        <v>79</v>
      </c>
      <c r="H76" s="82" t="n">
        <f aca="false">H74*(1+H75)</f>
        <v>0.0084</v>
      </c>
      <c r="I76" s="14"/>
      <c r="J76" s="14"/>
      <c r="K76" s="15"/>
      <c r="L76" s="2"/>
      <c r="M76" s="63" t="s">
        <v>79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80</v>
      </c>
      <c r="B77" s="83" t="n">
        <v>160</v>
      </c>
      <c r="C77" s="14"/>
      <c r="D77" s="14"/>
      <c r="E77" s="15"/>
      <c r="F77" s="2"/>
      <c r="G77" s="77" t="s">
        <v>80</v>
      </c>
      <c r="H77" s="83" t="n">
        <v>160</v>
      </c>
      <c r="I77" s="14"/>
      <c r="J77" s="14"/>
      <c r="K77" s="15"/>
      <c r="L77" s="2"/>
      <c r="M77" s="77" t="s">
        <v>80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81</v>
      </c>
      <c r="B78" s="84" t="n">
        <v>4.5</v>
      </c>
      <c r="C78" s="14"/>
      <c r="D78" s="14"/>
      <c r="E78" s="15"/>
      <c r="F78" s="2"/>
      <c r="G78" s="3" t="s">
        <v>81</v>
      </c>
      <c r="H78" s="84" t="n">
        <v>4.5</v>
      </c>
      <c r="I78" s="14"/>
      <c r="J78" s="14"/>
      <c r="K78" s="15"/>
      <c r="L78" s="2"/>
      <c r="M78" s="3" t="s">
        <v>81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82</v>
      </c>
      <c r="B79" s="79" t="n">
        <f aca="false">B78*H29</f>
        <v>148.5</v>
      </c>
      <c r="C79" s="14"/>
      <c r="D79" s="12" t="n">
        <f aca="false">B79+B77</f>
        <v>308.5</v>
      </c>
      <c r="E79" s="129" t="n">
        <f aca="false">D79+D85+D86</f>
        <v>508.5</v>
      </c>
      <c r="F79" s="2"/>
      <c r="G79" s="63" t="s">
        <v>82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82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83</v>
      </c>
      <c r="B80" s="83" t="n">
        <v>155</v>
      </c>
      <c r="C80" s="14"/>
      <c r="D80" s="14"/>
      <c r="E80" s="129" t="n">
        <f aca="false">E79+D82</f>
        <v>1406.83333333333</v>
      </c>
      <c r="F80" s="2"/>
      <c r="G80" s="77" t="s">
        <v>83</v>
      </c>
      <c r="H80" s="83" t="n">
        <v>150</v>
      </c>
      <c r="I80" s="14"/>
      <c r="J80" s="14"/>
      <c r="K80" s="15"/>
      <c r="L80" s="2"/>
      <c r="M80" s="85" t="s">
        <v>83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84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84</v>
      </c>
      <c r="H81" s="84" t="n">
        <f aca="false">IF(G18&gt;40000, 325, 0)</f>
        <v>325</v>
      </c>
      <c r="I81" s="14"/>
      <c r="J81" s="14"/>
      <c r="K81" s="15"/>
      <c r="L81" s="2"/>
      <c r="M81" s="87" t="s">
        <v>84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85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85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85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86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86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86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87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87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88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88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88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1" t="s">
        <v>89</v>
      </c>
      <c r="B86" s="92" t="n">
        <v>100</v>
      </c>
      <c r="C86" s="14"/>
      <c r="D86" s="12" t="n">
        <f aca="false">B86</f>
        <v>100</v>
      </c>
      <c r="E86" s="15"/>
      <c r="F86" s="2"/>
      <c r="G86" s="91" t="s">
        <v>89</v>
      </c>
      <c r="H86" s="92" t="n">
        <v>100</v>
      </c>
      <c r="I86" s="14"/>
      <c r="J86" s="12" t="n">
        <f aca="false">H86</f>
        <v>100</v>
      </c>
      <c r="K86" s="15"/>
      <c r="L86" s="2"/>
      <c r="M86" s="91" t="s">
        <v>89</v>
      </c>
      <c r="N86" s="92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3" t="s">
        <v>90</v>
      </c>
      <c r="B87" s="94" t="n">
        <f aca="false">SUM(D70:D86)</f>
        <v>18130.7083333333</v>
      </c>
      <c r="C87" s="14"/>
      <c r="D87" s="14"/>
      <c r="E87" s="15"/>
      <c r="F87" s="2"/>
      <c r="G87" s="93" t="s">
        <v>90</v>
      </c>
      <c r="H87" s="94" t="n">
        <f aca="false">SUM(J70:J86)</f>
        <v>20803.2083333333</v>
      </c>
      <c r="I87" s="14"/>
      <c r="J87" s="14"/>
      <c r="K87" s="15"/>
      <c r="L87" s="2"/>
      <c r="M87" s="93" t="s">
        <v>90</v>
      </c>
      <c r="N87" s="94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91</v>
      </c>
      <c r="B88" s="11" t="n">
        <f aca="false">B87/H29</f>
        <v>549.415404040404</v>
      </c>
      <c r="C88" s="14"/>
      <c r="D88" s="14"/>
      <c r="E88" s="15"/>
      <c r="F88" s="2"/>
      <c r="G88" s="6" t="s">
        <v>91</v>
      </c>
      <c r="H88" s="11" t="n">
        <f aca="false">H87/H29</f>
        <v>630.400252525253</v>
      </c>
      <c r="I88" s="14"/>
      <c r="J88" s="14"/>
      <c r="K88" s="15"/>
      <c r="L88" s="2"/>
      <c r="M88" s="6" t="s">
        <v>91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5" t="s">
        <v>92</v>
      </c>
      <c r="B89" s="96" t="n">
        <f aca="false">H46</f>
        <v>51.5151515151515</v>
      </c>
      <c r="C89" s="14"/>
      <c r="D89" s="14"/>
      <c r="E89" s="15"/>
      <c r="F89" s="2"/>
      <c r="G89" s="95" t="s">
        <v>92</v>
      </c>
      <c r="H89" s="96" t="n">
        <f aca="false">H46</f>
        <v>51.5151515151515</v>
      </c>
      <c r="I89" s="14"/>
      <c r="J89" s="14"/>
      <c r="K89" s="15"/>
      <c r="L89" s="2"/>
      <c r="M89" s="95" t="s">
        <v>92</v>
      </c>
      <c r="N89" s="96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93</v>
      </c>
      <c r="B91" s="97" t="n">
        <f aca="false">((B89*H29)+B87)</f>
        <v>19830.7083333333</v>
      </c>
      <c r="C91" s="14"/>
      <c r="D91" s="14"/>
      <c r="E91" s="15"/>
      <c r="F91" s="2"/>
      <c r="G91" s="56" t="s">
        <v>93</v>
      </c>
      <c r="H91" s="97" t="n">
        <f aca="false">((H89*H29)+H87)*1.2</f>
        <v>27003.85</v>
      </c>
      <c r="I91" s="14"/>
      <c r="J91" s="14"/>
      <c r="K91" s="15"/>
      <c r="L91" s="2"/>
      <c r="M91" s="56" t="s">
        <v>93</v>
      </c>
      <c r="N91" s="97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94</v>
      </c>
      <c r="B92" s="11" t="n">
        <f aca="false">(((B89*H29)+B87)/(1-B76))*B76</f>
        <v>167.989058087939</v>
      </c>
      <c r="C92" s="14"/>
      <c r="D92" s="14"/>
      <c r="E92" s="159"/>
      <c r="F92" s="2"/>
      <c r="G92" s="6" t="s">
        <v>94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94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95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95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95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3" t="s">
        <v>96</v>
      </c>
      <c r="B95" s="94" t="n">
        <f aca="false">((H44*B35)+((H44*B35)*B111))/(B63+B64)</f>
        <v>27.276</v>
      </c>
      <c r="C95" s="14"/>
      <c r="D95" s="14"/>
      <c r="E95" s="15"/>
      <c r="F95" s="2"/>
      <c r="G95" s="93" t="s">
        <v>96</v>
      </c>
      <c r="H95" s="94" t="n">
        <f aca="false">(((H44*B35)+((H44*B35)*H111))/(H63+H64))*1.2</f>
        <v>32.7312</v>
      </c>
      <c r="I95" s="14"/>
      <c r="J95" s="14"/>
      <c r="K95" s="15"/>
      <c r="L95" s="2"/>
      <c r="M95" s="93" t="s">
        <v>96</v>
      </c>
      <c r="N95" s="94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97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97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97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98</v>
      </c>
      <c r="B97" s="101" t="n">
        <f aca="false">IF(A111="YES", B96+B95, B96)</f>
        <v>633.297133073372</v>
      </c>
      <c r="C97" s="14"/>
      <c r="D97" s="160"/>
      <c r="E97" s="15"/>
      <c r="F97" s="2"/>
      <c r="G97" s="100" t="s">
        <v>98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98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100</v>
      </c>
      <c r="H100" s="30"/>
      <c r="I100" s="30"/>
      <c r="J100" s="30"/>
      <c r="K100" s="30"/>
      <c r="L100" s="2"/>
      <c r="M100" s="30" t="s">
        <v>99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101</v>
      </c>
      <c r="B102" s="35"/>
      <c r="C102" s="35"/>
      <c r="D102" s="35"/>
      <c r="E102" s="35"/>
      <c r="F102" s="2"/>
      <c r="G102" s="35" t="s">
        <v>101</v>
      </c>
      <c r="H102" s="35"/>
      <c r="I102" s="35"/>
      <c r="J102" s="35"/>
      <c r="K102" s="35"/>
      <c r="L102" s="2"/>
      <c r="M102" s="35" t="s">
        <v>101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102</v>
      </c>
      <c r="Z103" s="2"/>
    </row>
    <row r="104" customFormat="false" ht="18.75" hidden="false" customHeight="true" outlineLevel="0" collapsed="false">
      <c r="A104" s="6" t="s">
        <v>103</v>
      </c>
      <c r="B104" s="14" t="s">
        <v>31</v>
      </c>
      <c r="C104" s="14"/>
      <c r="D104" s="14" t="s">
        <v>104</v>
      </c>
      <c r="E104" s="15"/>
      <c r="F104" s="2"/>
      <c r="G104" s="6" t="s">
        <v>103</v>
      </c>
      <c r="H104" s="14" t="s">
        <v>31</v>
      </c>
      <c r="I104" s="14"/>
      <c r="J104" s="14" t="s">
        <v>104</v>
      </c>
      <c r="K104" s="15"/>
      <c r="L104" s="2"/>
      <c r="M104" s="6" t="s">
        <v>103</v>
      </c>
      <c r="N104" s="14" t="s">
        <v>31</v>
      </c>
      <c r="O104" s="14"/>
      <c r="P104" s="14" t="s">
        <v>104</v>
      </c>
      <c r="Q104" s="15"/>
      <c r="R104" s="2"/>
      <c r="S104" s="2"/>
      <c r="T104" s="2"/>
      <c r="U104" s="2"/>
      <c r="V104" s="2"/>
      <c r="W104" s="2"/>
      <c r="X104" s="2"/>
      <c r="Y104" s="2" t="s">
        <v>105</v>
      </c>
      <c r="Z104" s="2"/>
    </row>
    <row r="105" customFormat="false" ht="18.75" hidden="false" customHeight="true" outlineLevel="0" collapsed="false">
      <c r="A105" s="31" t="s">
        <v>106</v>
      </c>
      <c r="B105" s="103" t="s">
        <v>102</v>
      </c>
      <c r="C105" s="103"/>
      <c r="D105" s="161" t="n">
        <v>0</v>
      </c>
      <c r="E105" s="161"/>
      <c r="F105" s="2"/>
      <c r="G105" s="31" t="s">
        <v>106</v>
      </c>
      <c r="H105" s="103" t="s">
        <v>115</v>
      </c>
      <c r="I105" s="103"/>
      <c r="J105" s="161" t="n">
        <v>5000</v>
      </c>
      <c r="K105" s="161"/>
      <c r="L105" s="2"/>
      <c r="M105" s="31" t="s">
        <v>106</v>
      </c>
      <c r="N105" s="103" t="s">
        <v>114</v>
      </c>
      <c r="O105" s="103"/>
      <c r="P105" s="161" t="n">
        <v>0</v>
      </c>
      <c r="Q105" s="161"/>
      <c r="R105" s="2"/>
      <c r="S105" s="2"/>
      <c r="T105" s="2"/>
      <c r="U105" s="2"/>
      <c r="V105" s="2"/>
      <c r="W105" s="2"/>
      <c r="X105" s="2"/>
      <c r="Y105" s="2" t="s">
        <v>109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108</v>
      </c>
      <c r="Z106" s="2"/>
    </row>
    <row r="107" customFormat="false" ht="18.75" hidden="false" customHeight="true" outlineLevel="0" collapsed="false">
      <c r="A107" s="6" t="s">
        <v>110</v>
      </c>
      <c r="B107" s="14" t="s">
        <v>111</v>
      </c>
      <c r="C107" s="14"/>
      <c r="D107" s="14" t="s">
        <v>112</v>
      </c>
      <c r="E107" s="15"/>
      <c r="F107" s="2"/>
      <c r="G107" s="6" t="s">
        <v>110</v>
      </c>
      <c r="H107" s="14" t="s">
        <v>111</v>
      </c>
      <c r="I107" s="14"/>
      <c r="J107" s="14" t="s">
        <v>112</v>
      </c>
      <c r="K107" s="15"/>
      <c r="L107" s="2"/>
      <c r="M107" s="6" t="s">
        <v>110</v>
      </c>
      <c r="N107" s="14" t="s">
        <v>111</v>
      </c>
      <c r="O107" s="14"/>
      <c r="P107" s="14" t="s">
        <v>112</v>
      </c>
      <c r="Q107" s="15"/>
      <c r="R107" s="2"/>
      <c r="S107" s="2"/>
      <c r="T107" s="2"/>
      <c r="U107" s="2"/>
      <c r="V107" s="2"/>
      <c r="W107" s="2"/>
      <c r="X107" s="2"/>
      <c r="Y107" s="2" t="s">
        <v>113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114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31" t="s">
        <v>30</v>
      </c>
      <c r="B110" s="2" t="s">
        <v>116</v>
      </c>
      <c r="C110" s="14"/>
      <c r="D110" s="14" t="s">
        <v>117</v>
      </c>
      <c r="E110" s="15"/>
      <c r="F110" s="2"/>
      <c r="G110" s="31" t="s">
        <v>30</v>
      </c>
      <c r="H110" s="2" t="s">
        <v>116</v>
      </c>
      <c r="I110" s="14"/>
      <c r="J110" s="14" t="s">
        <v>117</v>
      </c>
      <c r="K110" s="15"/>
      <c r="L110" s="2"/>
      <c r="M110" s="31" t="s">
        <v>30</v>
      </c>
      <c r="N110" s="2" t="s">
        <v>116</v>
      </c>
      <c r="O110" s="14"/>
      <c r="P110" s="14" t="s">
        <v>117</v>
      </c>
      <c r="Q110" s="15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32" t="s">
        <v>26</v>
      </c>
      <c r="B111" s="105" t="n">
        <v>0.2</v>
      </c>
      <c r="C111" s="105"/>
      <c r="D111" s="54" t="n">
        <v>5000</v>
      </c>
      <c r="E111" s="54"/>
      <c r="F111" s="2"/>
      <c r="G111" s="32" t="s">
        <v>26</v>
      </c>
      <c r="H111" s="105" t="n">
        <v>0.2</v>
      </c>
      <c r="I111" s="105"/>
      <c r="J111" s="54" t="n">
        <v>5000</v>
      </c>
      <c r="K111" s="54"/>
      <c r="L111" s="2"/>
      <c r="M111" s="32" t="s">
        <v>26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121</v>
      </c>
      <c r="O113" s="32" t="s">
        <v>26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122</v>
      </c>
      <c r="B114" s="35"/>
      <c r="C114" s="35"/>
      <c r="D114" s="35"/>
      <c r="E114" s="35"/>
      <c r="F114" s="2"/>
      <c r="G114" s="35" t="s">
        <v>122</v>
      </c>
      <c r="H114" s="35"/>
      <c r="I114" s="35"/>
      <c r="J114" s="35"/>
      <c r="K114" s="35"/>
      <c r="L114" s="2"/>
      <c r="M114" s="35" t="s">
        <v>122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123</v>
      </c>
      <c r="B116" s="32" t="s">
        <v>27</v>
      </c>
      <c r="C116" s="14"/>
      <c r="D116" s="14"/>
      <c r="E116" s="15"/>
      <c r="F116" s="2"/>
      <c r="G116" s="6" t="s">
        <v>123</v>
      </c>
      <c r="H116" s="32" t="s">
        <v>26</v>
      </c>
      <c r="I116" s="14"/>
      <c r="J116" s="14"/>
      <c r="K116" s="15"/>
      <c r="L116" s="2"/>
      <c r="M116" s="6" t="s">
        <v>123</v>
      </c>
      <c r="N116" s="32" t="s">
        <v>26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124</v>
      </c>
      <c r="B118" s="14"/>
      <c r="C118" s="14"/>
      <c r="D118" s="104" t="n">
        <v>0</v>
      </c>
      <c r="E118" s="54" t="n">
        <v>0</v>
      </c>
      <c r="F118" s="2"/>
      <c r="G118" s="6" t="s">
        <v>124</v>
      </c>
      <c r="H118" s="14"/>
      <c r="I118" s="14"/>
      <c r="J118" s="104" t="n">
        <v>10000</v>
      </c>
      <c r="K118" s="54" t="n">
        <v>5000</v>
      </c>
      <c r="L118" s="2"/>
      <c r="M118" s="6" t="s">
        <v>124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125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125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125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126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126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126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127</v>
      </c>
      <c r="B121" s="14"/>
      <c r="C121" s="14"/>
      <c r="D121" s="106" t="n">
        <f aca="false">D120-E120</f>
        <v>0</v>
      </c>
      <c r="E121" s="15"/>
      <c r="F121" s="2"/>
      <c r="G121" s="6" t="s">
        <v>127</v>
      </c>
      <c r="H121" s="14"/>
      <c r="I121" s="14"/>
      <c r="J121" s="106" t="n">
        <f aca="false">J120-K120</f>
        <v>5000</v>
      </c>
      <c r="K121" s="15"/>
      <c r="L121" s="2"/>
      <c r="M121" s="6" t="s">
        <v>127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128</v>
      </c>
      <c r="B123" s="57"/>
      <c r="C123" s="57"/>
      <c r="D123" s="57"/>
      <c r="E123" s="97" t="n">
        <f aca="false">D105</f>
        <v>0</v>
      </c>
      <c r="F123" s="2"/>
      <c r="G123" s="56" t="s">
        <v>128</v>
      </c>
      <c r="H123" s="57"/>
      <c r="I123" s="57"/>
      <c r="J123" s="57"/>
      <c r="K123" s="97" t="n">
        <f aca="false">J105</f>
        <v>5000</v>
      </c>
      <c r="L123" s="2"/>
      <c r="M123" s="56" t="s">
        <v>128</v>
      </c>
      <c r="N123" s="57"/>
      <c r="O123" s="57"/>
      <c r="P123" s="57"/>
      <c r="Q123" s="97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129</v>
      </c>
      <c r="B124" s="14"/>
      <c r="C124" s="14"/>
      <c r="D124" s="14"/>
      <c r="E124" s="11" t="n">
        <f aca="false">A108</f>
        <v>199.99</v>
      </c>
      <c r="F124" s="2"/>
      <c r="G124" s="6" t="s">
        <v>129</v>
      </c>
      <c r="H124" s="14"/>
      <c r="I124" s="14"/>
      <c r="J124" s="14"/>
      <c r="K124" s="11" t="n">
        <f aca="false">G108</f>
        <v>239.988</v>
      </c>
      <c r="L124" s="2"/>
      <c r="M124" s="6" t="s">
        <v>129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130</v>
      </c>
      <c r="B125" s="64"/>
      <c r="C125" s="64"/>
      <c r="D125" s="64"/>
      <c r="E125" s="79" t="n">
        <f aca="false">(E124+E123)-E120</f>
        <v>199.99</v>
      </c>
      <c r="F125" s="2"/>
      <c r="G125" s="108" t="s">
        <v>130</v>
      </c>
      <c r="H125" s="64"/>
      <c r="I125" s="64"/>
      <c r="J125" s="64"/>
      <c r="K125" s="79" t="n">
        <f aca="false">(K124+K123)-K120</f>
        <v>7239.988</v>
      </c>
      <c r="L125" s="2"/>
      <c r="M125" s="108" t="s">
        <v>130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131</v>
      </c>
      <c r="B128" s="35"/>
      <c r="C128" s="35"/>
      <c r="D128" s="35"/>
      <c r="E128" s="35"/>
      <c r="F128" s="2"/>
      <c r="G128" s="35" t="s">
        <v>131</v>
      </c>
      <c r="H128" s="35"/>
      <c r="I128" s="35"/>
      <c r="J128" s="35"/>
      <c r="K128" s="35"/>
      <c r="L128" s="2"/>
      <c r="M128" s="35" t="s">
        <v>131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37</v>
      </c>
      <c r="B130" s="37" t="n">
        <v>1200</v>
      </c>
      <c r="C130" s="37"/>
      <c r="D130" s="14"/>
      <c r="E130" s="15"/>
      <c r="F130" s="2"/>
      <c r="G130" s="6" t="s">
        <v>37</v>
      </c>
      <c r="H130" s="37" t="n">
        <v>0</v>
      </c>
      <c r="I130" s="37"/>
      <c r="J130" s="14"/>
      <c r="K130" s="15"/>
      <c r="L130" s="2"/>
      <c r="M130" s="6" t="s">
        <v>37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41</v>
      </c>
      <c r="B132" s="14" t="s">
        <v>42</v>
      </c>
      <c r="C132" s="14"/>
      <c r="D132" s="14" t="s">
        <v>70</v>
      </c>
      <c r="E132" s="15"/>
      <c r="F132" s="2"/>
      <c r="G132" s="6" t="s">
        <v>41</v>
      </c>
      <c r="H132" s="14" t="s">
        <v>42</v>
      </c>
      <c r="I132" s="14"/>
      <c r="J132" s="14" t="s">
        <v>70</v>
      </c>
      <c r="K132" s="15"/>
      <c r="L132" s="2"/>
      <c r="M132" s="6" t="s">
        <v>41</v>
      </c>
      <c r="N132" s="14" t="s">
        <v>42</v>
      </c>
      <c r="O132" s="14"/>
      <c r="P132" s="14" t="s">
        <v>70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132</v>
      </c>
      <c r="B135" s="110" t="s">
        <v>133</v>
      </c>
      <c r="C135" s="110"/>
      <c r="D135" s="110" t="s">
        <v>98</v>
      </c>
      <c r="E135" s="15"/>
      <c r="F135" s="2"/>
      <c r="G135" s="109" t="s">
        <v>134</v>
      </c>
      <c r="H135" s="110" t="s">
        <v>135</v>
      </c>
      <c r="I135" s="110"/>
      <c r="J135" s="110" t="s">
        <v>136</v>
      </c>
      <c r="K135" s="15"/>
      <c r="L135" s="2"/>
      <c r="M135" s="109" t="s">
        <v>132</v>
      </c>
      <c r="N135" s="110" t="s">
        <v>133</v>
      </c>
      <c r="O135" s="110"/>
      <c r="P135" s="110" t="s">
        <v>98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137</v>
      </c>
      <c r="B138" s="14" t="s">
        <v>138</v>
      </c>
      <c r="C138" s="14"/>
      <c r="D138" s="14" t="s">
        <v>139</v>
      </c>
      <c r="E138" s="15"/>
      <c r="F138" s="2"/>
      <c r="G138" s="6" t="s">
        <v>140</v>
      </c>
      <c r="H138" s="14" t="s">
        <v>141</v>
      </c>
      <c r="I138" s="14"/>
      <c r="J138" s="14" t="s">
        <v>142</v>
      </c>
      <c r="K138" s="15"/>
      <c r="L138" s="2"/>
      <c r="M138" s="6" t="s">
        <v>137</v>
      </c>
      <c r="N138" s="14" t="s">
        <v>138</v>
      </c>
      <c r="O138" s="14"/>
      <c r="P138" s="14" t="s">
        <v>139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143</v>
      </c>
      <c r="B141" s="14" t="s">
        <v>144</v>
      </c>
      <c r="C141" s="14"/>
      <c r="D141" s="14" t="s">
        <v>145</v>
      </c>
      <c r="E141" s="15"/>
      <c r="F141" s="2"/>
      <c r="G141" s="6" t="s">
        <v>146</v>
      </c>
      <c r="H141" s="14" t="s">
        <v>147</v>
      </c>
      <c r="I141" s="14"/>
      <c r="J141" s="14" t="s">
        <v>148</v>
      </c>
      <c r="K141" s="15"/>
      <c r="L141" s="2"/>
      <c r="M141" s="6" t="s">
        <v>143</v>
      </c>
      <c r="N141" s="14" t="s">
        <v>144</v>
      </c>
      <c r="O141" s="14"/>
      <c r="P141" s="14" t="s">
        <v>145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149</v>
      </c>
      <c r="B144" s="14" t="s">
        <v>150</v>
      </c>
      <c r="C144" s="14"/>
      <c r="D144" s="14" t="s">
        <v>151</v>
      </c>
      <c r="E144" s="15"/>
      <c r="F144" s="2"/>
      <c r="G144" s="6" t="s">
        <v>152</v>
      </c>
      <c r="H144" s="14" t="s">
        <v>150</v>
      </c>
      <c r="I144" s="14"/>
      <c r="J144" s="14" t="s">
        <v>151</v>
      </c>
      <c r="K144" s="15"/>
      <c r="L144" s="2"/>
      <c r="M144" s="6" t="s">
        <v>149</v>
      </c>
      <c r="N144" s="14" t="s">
        <v>150</v>
      </c>
      <c r="O144" s="14"/>
      <c r="P144" s="14" t="s">
        <v>151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4" t="s">
        <v>154</v>
      </c>
      <c r="C147" s="14"/>
      <c r="D147" s="14" t="s">
        <v>155</v>
      </c>
      <c r="E147" s="15"/>
      <c r="F147" s="2"/>
      <c r="G147" s="6" t="s">
        <v>153</v>
      </c>
      <c r="H147" s="14" t="s">
        <v>154</v>
      </c>
      <c r="I147" s="14"/>
      <c r="J147" s="14" t="s">
        <v>155</v>
      </c>
      <c r="K147" s="15"/>
      <c r="L147" s="2"/>
      <c r="M147" s="6" t="s">
        <v>153</v>
      </c>
      <c r="N147" s="14" t="s">
        <v>154</v>
      </c>
      <c r="O147" s="14"/>
      <c r="P147" s="14" t="s">
        <v>155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4" t="s">
        <v>157</v>
      </c>
      <c r="C150" s="14"/>
      <c r="D150" s="14"/>
      <c r="E150" s="15"/>
      <c r="F150" s="2"/>
      <c r="G150" s="6" t="s">
        <v>156</v>
      </c>
      <c r="H150" s="14" t="s">
        <v>157</v>
      </c>
      <c r="I150" s="14"/>
      <c r="J150" s="14"/>
      <c r="K150" s="15"/>
      <c r="L150" s="2"/>
      <c r="M150" s="6" t="s">
        <v>156</v>
      </c>
      <c r="N150" s="14" t="s">
        <v>157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158</v>
      </c>
      <c r="N153" s="106" t="s">
        <v>159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160</v>
      </c>
      <c r="B154" s="14"/>
      <c r="C154" s="14"/>
      <c r="D154" s="67"/>
      <c r="E154" s="68"/>
      <c r="F154" s="2"/>
      <c r="G154" s="66" t="s">
        <v>160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41</v>
      </c>
      <c r="B156" s="73" t="s">
        <v>42</v>
      </c>
      <c r="C156" s="73"/>
      <c r="D156" s="14"/>
      <c r="E156" s="15"/>
      <c r="F156" s="2"/>
      <c r="G156" s="72" t="s">
        <v>41</v>
      </c>
      <c r="H156" s="73" t="s">
        <v>42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160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41</v>
      </c>
      <c r="N159" s="73" t="s">
        <v>42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99218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6" min="6" style="0" width="11.87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5" t="n">
        <v>0</v>
      </c>
      <c r="C4" s="135" t="n">
        <v>0</v>
      </c>
      <c r="D4" s="135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6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16</v>
      </c>
      <c r="B14" s="19"/>
      <c r="C14" s="19"/>
      <c r="D14" s="19"/>
      <c r="E14" s="9" t="n">
        <v>55</v>
      </c>
      <c r="F14" s="2"/>
      <c r="G14" s="2" t="s">
        <v>17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18</v>
      </c>
      <c r="B15" s="19"/>
      <c r="C15" s="19"/>
      <c r="D15" s="19"/>
      <c r="E15" s="137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19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20</v>
      </c>
      <c r="Z16" s="2"/>
    </row>
    <row r="17" customFormat="false" ht="18.75" hidden="false" customHeight="true" outlineLevel="0" collapsed="false">
      <c r="A17" s="24" t="s">
        <v>21</v>
      </c>
      <c r="B17" s="24"/>
      <c r="C17" s="24"/>
      <c r="D17" s="24"/>
      <c r="E17" s="15"/>
      <c r="F17" s="2"/>
      <c r="G17" s="2" t="s">
        <v>22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23</v>
      </c>
      <c r="Z17" s="2"/>
    </row>
    <row r="18" customFormat="false" ht="18.75" hidden="false" customHeight="true" outlineLevel="0" collapsed="false">
      <c r="A18" s="25" t="s">
        <v>20</v>
      </c>
      <c r="B18" s="26" t="s">
        <v>24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25</v>
      </c>
      <c r="Z18" s="2"/>
    </row>
    <row r="19" customFormat="false" ht="18.75" hidden="false" customHeight="true" outlineLevel="0" collapsed="false">
      <c r="A19" s="25" t="s">
        <v>23</v>
      </c>
      <c r="B19" s="26" t="s">
        <v>24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26</v>
      </c>
    </row>
    <row r="20" customFormat="false" ht="18.75" hidden="false" customHeight="true" outlineLevel="0" collapsed="false">
      <c r="A20" s="25" t="s">
        <v>25</v>
      </c>
      <c r="B20" s="26" t="s">
        <v>24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27</v>
      </c>
    </row>
    <row r="21" customFormat="false" ht="18.75" hidden="false" customHeight="true" outlineLevel="0" collapsed="false">
      <c r="A21" s="28" t="s">
        <v>28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55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70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8" t="n">
        <v>12345</v>
      </c>
      <c r="C29" s="138"/>
      <c r="D29" s="139" t="n">
        <f aca="true">TODAY()+1</f>
        <v>44874</v>
      </c>
      <c r="E29" s="139"/>
      <c r="F29" s="2"/>
      <c r="G29" s="33" t="s">
        <v>36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0"/>
      <c r="C30" s="140"/>
      <c r="D30" s="14"/>
      <c r="E30" s="15"/>
      <c r="F30" s="2"/>
      <c r="G30" s="33" t="s">
        <v>39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31</v>
      </c>
      <c r="B31" s="49" t="s">
        <v>170</v>
      </c>
      <c r="C31" s="14"/>
      <c r="D31" s="49" t="s">
        <v>138</v>
      </c>
      <c r="E31" s="15"/>
      <c r="F31" s="2"/>
      <c r="G31" s="33" t="s">
        <v>171</v>
      </c>
      <c r="H31" s="141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113</v>
      </c>
      <c r="B32" s="142" t="n">
        <f aca="false">IF(A32=Y103,D38,IF(A32=Y104,D38,IF(A32=Y105,(D38*3),IF(A32=Y106,(D38*6),IF(A32=Y107,(D38*9),IF(A32=Y108,(D38*12),IF(A32=Y109,D38,IF(A32=Y110,D38,IF(A32=Y111,D38,0)))))))))</f>
        <v>25608.42</v>
      </c>
      <c r="C32" s="142"/>
      <c r="D32" s="142" t="n">
        <f aca="false">IF(A32=Y103,A41,IF(A32=Y104,A41,IF(A32=Y105,(A41*3),IF(A32=Y106,(A41*6),IF(A32=Y107,(A41*9),IF(A32=Y108,(A41*12),IF(A32=Y109,A41,IF(A32=Y110,A41,IF(A32=Y111,A41,0)))))))))</f>
        <v>1035.81</v>
      </c>
      <c r="E32" s="142"/>
      <c r="F32" s="2"/>
      <c r="G32" s="143" t="s">
        <v>172</v>
      </c>
      <c r="H32" s="141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4"/>
      <c r="E33" s="15"/>
      <c r="F33" s="2"/>
      <c r="G33" s="143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139</v>
      </c>
      <c r="B34" s="145" t="s">
        <v>174</v>
      </c>
      <c r="C34" s="42"/>
      <c r="D34" s="146" t="s">
        <v>175</v>
      </c>
      <c r="E34" s="15"/>
      <c r="F34" s="2"/>
      <c r="G34" s="143" t="s">
        <v>176</v>
      </c>
      <c r="H34" s="141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2" t="n">
        <f aca="false">B32+D32</f>
        <v>26644.23</v>
      </c>
      <c r="B35" s="138" t="n">
        <v>36</v>
      </c>
      <c r="C35" s="138"/>
      <c r="D35" s="138" t="n">
        <v>10000</v>
      </c>
      <c r="E35" s="138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7" t="n">
        <f aca="false">(B35/12)*D35</f>
        <v>30000</v>
      </c>
      <c r="B38" s="138" t="s">
        <v>26</v>
      </c>
      <c r="C38" s="138"/>
      <c r="D38" s="148" t="n">
        <v>2845.38</v>
      </c>
      <c r="E38" s="148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49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0" t="s">
        <v>133</v>
      </c>
      <c r="B40" s="151" t="s">
        <v>98</v>
      </c>
      <c r="C40" s="42"/>
      <c r="D40" s="50" t="s">
        <v>149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8" t="n">
        <v>115.09</v>
      </c>
      <c r="B41" s="152" t="n">
        <f aca="false">IF(B38="YES", D38+A41, D38)</f>
        <v>2960.47</v>
      </c>
      <c r="C41" s="152"/>
      <c r="D41" s="148" t="n">
        <v>100</v>
      </c>
      <c r="E41" s="148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49"/>
      <c r="B42" s="42"/>
      <c r="C42" s="42"/>
      <c r="D42" s="42"/>
      <c r="E42" s="153"/>
      <c r="F42" s="2"/>
      <c r="G42" s="52" t="s">
        <v>51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0" t="s">
        <v>143</v>
      </c>
      <c r="B43" s="151" t="s">
        <v>144</v>
      </c>
      <c r="C43" s="42"/>
      <c r="D43" s="151" t="s">
        <v>145</v>
      </c>
      <c r="E43" s="153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8" t="n">
        <v>500</v>
      </c>
      <c r="B44" s="148" t="n">
        <v>500</v>
      </c>
      <c r="C44" s="148"/>
      <c r="D44" s="162" t="n">
        <f aca="false">A44+B44</f>
        <v>1000</v>
      </c>
      <c r="E44" s="162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49"/>
      <c r="B45" s="42"/>
      <c r="C45" s="42"/>
      <c r="D45" s="42"/>
      <c r="E45" s="153"/>
      <c r="F45" s="2"/>
      <c r="G45" s="2" t="s">
        <v>183</v>
      </c>
      <c r="H45" s="155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8" t="s">
        <v>188</v>
      </c>
      <c r="B46" s="42"/>
      <c r="C46" s="42"/>
      <c r="D46" s="42"/>
      <c r="E46" s="153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49"/>
      <c r="B47" s="42"/>
      <c r="C47" s="42"/>
      <c r="D47" s="42"/>
      <c r="E47" s="153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67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41</v>
      </c>
      <c r="B50" s="73" t="s">
        <v>42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55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55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70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70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22</v>
      </c>
      <c r="B61" s="12" t="n">
        <f aca="false">G18</f>
        <v>162900</v>
      </c>
      <c r="C61" s="14"/>
      <c r="D61" s="14"/>
      <c r="E61" s="15"/>
      <c r="F61" s="2"/>
      <c r="G61" s="6" t="s">
        <v>22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71</v>
      </c>
      <c r="B62" s="78" t="n">
        <v>0.07</v>
      </c>
      <c r="C62" s="14"/>
      <c r="D62" s="14"/>
      <c r="E62" s="15"/>
      <c r="F62" s="2"/>
      <c r="G62" s="77" t="s">
        <v>71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72</v>
      </c>
      <c r="B63" s="10" t="n">
        <f aca="false">B62+(B62*0.25*(H29/12-1))</f>
        <v>0.105</v>
      </c>
      <c r="C63" s="14"/>
      <c r="D63" s="14"/>
      <c r="E63" s="15"/>
      <c r="F63" s="2"/>
      <c r="G63" s="6" t="s">
        <v>72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73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73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74</v>
      </c>
      <c r="B65" s="78" t="n">
        <v>0.005</v>
      </c>
      <c r="C65" s="14"/>
      <c r="D65" s="14"/>
      <c r="E65" s="15"/>
      <c r="F65" s="2"/>
      <c r="G65" s="77" t="s">
        <v>74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75</v>
      </c>
      <c r="B66" s="10" t="n">
        <f aca="false">B65+(B65*0.5*(H29/12-1))</f>
        <v>0.01</v>
      </c>
      <c r="C66" s="14"/>
      <c r="D66" s="14"/>
      <c r="E66" s="15"/>
      <c r="F66" s="2"/>
      <c r="G66" s="6" t="s">
        <v>75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76</v>
      </c>
      <c r="B67" s="79" t="n">
        <f aca="false">B61*B66</f>
        <v>1629</v>
      </c>
      <c r="C67" s="14"/>
      <c r="D67" s="12"/>
      <c r="E67" s="15"/>
      <c r="F67" s="2"/>
      <c r="G67" s="63" t="s">
        <v>76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77</v>
      </c>
      <c r="B68" s="78" t="n">
        <v>0.0075</v>
      </c>
      <c r="C68" s="14"/>
      <c r="D68" s="14"/>
      <c r="E68" s="15"/>
      <c r="F68" s="2"/>
      <c r="G68" s="77" t="s">
        <v>77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78</v>
      </c>
      <c r="B69" s="80" t="n">
        <v>0.12</v>
      </c>
      <c r="C69" s="14"/>
      <c r="D69" s="14"/>
      <c r="E69" s="15"/>
      <c r="F69" s="2"/>
      <c r="G69" s="3" t="s">
        <v>78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79</v>
      </c>
      <c r="B70" s="82" t="n">
        <f aca="false">B68*(1+B69)</f>
        <v>0.0084</v>
      </c>
      <c r="C70" s="14"/>
      <c r="D70" s="14"/>
      <c r="E70" s="15"/>
      <c r="F70" s="2"/>
      <c r="G70" s="63" t="s">
        <v>79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80</v>
      </c>
      <c r="B71" s="83" t="n">
        <v>160</v>
      </c>
      <c r="C71" s="14"/>
      <c r="D71" s="14"/>
      <c r="E71" s="15"/>
      <c r="F71" s="2"/>
      <c r="G71" s="77" t="s">
        <v>80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81</v>
      </c>
      <c r="B72" s="84" t="n">
        <v>4.5</v>
      </c>
      <c r="C72" s="14"/>
      <c r="D72" s="14"/>
      <c r="E72" s="15"/>
      <c r="F72" s="2"/>
      <c r="G72" s="3" t="s">
        <v>81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82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82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83</v>
      </c>
      <c r="B74" s="83" t="n">
        <v>150</v>
      </c>
      <c r="C74" s="14"/>
      <c r="D74" s="14"/>
      <c r="E74" s="15"/>
      <c r="F74" s="2"/>
      <c r="G74" s="77" t="s">
        <v>83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84</v>
      </c>
      <c r="B75" s="84" t="n">
        <f aca="false">IF(G18&gt;40000, 325, 0)</f>
        <v>325</v>
      </c>
      <c r="C75" s="14"/>
      <c r="D75" s="14"/>
      <c r="E75" s="15"/>
      <c r="F75" s="2"/>
      <c r="G75" s="3" t="s">
        <v>84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85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85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86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86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87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87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88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88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1" t="s">
        <v>89</v>
      </c>
      <c r="B80" s="92" t="n">
        <v>100</v>
      </c>
      <c r="C80" s="14"/>
      <c r="D80" s="12" t="n">
        <f aca="false">B80</f>
        <v>100</v>
      </c>
      <c r="E80" s="15"/>
      <c r="F80" s="2"/>
      <c r="G80" s="91" t="s">
        <v>89</v>
      </c>
      <c r="H80" s="92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3" t="s">
        <v>90</v>
      </c>
      <c r="B81" s="94" t="n">
        <f aca="false">SUM(D64:D80)</f>
        <v>19816.0833333333</v>
      </c>
      <c r="C81" s="14"/>
      <c r="D81" s="14"/>
      <c r="E81" s="15"/>
      <c r="F81" s="2"/>
      <c r="G81" s="93" t="s">
        <v>90</v>
      </c>
      <c r="H81" s="94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91</v>
      </c>
      <c r="B82" s="11" t="n">
        <f aca="false">B81/H29</f>
        <v>550.446759259259</v>
      </c>
      <c r="C82" s="14"/>
      <c r="D82" s="14"/>
      <c r="E82" s="15"/>
      <c r="F82" s="2"/>
      <c r="G82" s="6" t="s">
        <v>91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5" t="s">
        <v>92</v>
      </c>
      <c r="B83" s="96" t="n">
        <f aca="false">H46</f>
        <v>3480.46444444444</v>
      </c>
      <c r="C83" s="14"/>
      <c r="D83" s="14"/>
      <c r="E83" s="15"/>
      <c r="F83" s="2"/>
      <c r="G83" s="95" t="s">
        <v>92</v>
      </c>
      <c r="H83" s="96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93</v>
      </c>
      <c r="B85" s="97" t="n">
        <f aca="false">((B83*(H27+H28)+B81))</f>
        <v>172956.518888889</v>
      </c>
      <c r="C85" s="14"/>
      <c r="D85" s="14"/>
      <c r="E85" s="15"/>
      <c r="F85" s="2"/>
      <c r="G85" s="56" t="s">
        <v>93</v>
      </c>
      <c r="H85" s="97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94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94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95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95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3" t="s">
        <v>96</v>
      </c>
      <c r="B89" s="94" t="n">
        <f aca="false">(A41+(A41*B105))</f>
        <v>138.108</v>
      </c>
      <c r="C89" s="14"/>
      <c r="D89" s="14"/>
      <c r="E89" s="15"/>
      <c r="F89" s="2"/>
      <c r="G89" s="93" t="s">
        <v>96</v>
      </c>
      <c r="H89" s="94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97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97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98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98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100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101</v>
      </c>
      <c r="B96" s="35"/>
      <c r="C96" s="35"/>
      <c r="D96" s="35"/>
      <c r="E96" s="35"/>
      <c r="F96" s="2"/>
      <c r="G96" s="35" t="s">
        <v>101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103</v>
      </c>
      <c r="B98" s="14" t="s">
        <v>31</v>
      </c>
      <c r="C98" s="14"/>
      <c r="D98" s="14" t="s">
        <v>104</v>
      </c>
      <c r="E98" s="15"/>
      <c r="F98" s="2"/>
      <c r="G98" s="6" t="s">
        <v>103</v>
      </c>
      <c r="H98" s="14" t="s">
        <v>31</v>
      </c>
      <c r="I98" s="14"/>
      <c r="J98" s="14" t="s">
        <v>104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106</v>
      </c>
      <c r="B99" s="103" t="s">
        <v>102</v>
      </c>
      <c r="C99" s="103"/>
      <c r="D99" s="54" t="n">
        <v>0</v>
      </c>
      <c r="E99" s="54"/>
      <c r="F99" s="2"/>
      <c r="G99" s="31" t="s">
        <v>106</v>
      </c>
      <c r="H99" s="103" t="s">
        <v>102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110</v>
      </c>
      <c r="B101" s="14" t="s">
        <v>111</v>
      </c>
      <c r="C101" s="14"/>
      <c r="D101" s="14" t="s">
        <v>112</v>
      </c>
      <c r="E101" s="15"/>
      <c r="F101" s="2"/>
      <c r="G101" s="6" t="s">
        <v>110</v>
      </c>
      <c r="H101" s="14" t="s">
        <v>111</v>
      </c>
      <c r="I101" s="14"/>
      <c r="J101" s="14" t="s">
        <v>112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102</v>
      </c>
      <c r="Z103" s="2"/>
      <c r="AA103" s="2"/>
    </row>
    <row r="104" customFormat="false" ht="18.75" hidden="false" customHeight="true" outlineLevel="0" collapsed="false">
      <c r="A104" s="31" t="s">
        <v>30</v>
      </c>
      <c r="B104" s="2" t="s">
        <v>116</v>
      </c>
      <c r="C104" s="14"/>
      <c r="D104" s="14" t="s">
        <v>117</v>
      </c>
      <c r="E104" s="15"/>
      <c r="F104" s="2"/>
      <c r="G104" s="31" t="s">
        <v>30</v>
      </c>
      <c r="H104" s="2" t="s">
        <v>116</v>
      </c>
      <c r="I104" s="14"/>
      <c r="J104" s="14" t="s">
        <v>117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105</v>
      </c>
      <c r="Z104" s="2"/>
      <c r="AA104" s="2"/>
    </row>
    <row r="105" customFormat="false" ht="18.75" hidden="false" customHeight="true" outlineLevel="0" collapsed="false">
      <c r="A105" s="32" t="s">
        <v>26</v>
      </c>
      <c r="B105" s="105" t="n">
        <v>0.2</v>
      </c>
      <c r="C105" s="105"/>
      <c r="D105" s="54" t="n">
        <v>0</v>
      </c>
      <c r="E105" s="54"/>
      <c r="F105" s="2"/>
      <c r="G105" s="32" t="s">
        <v>26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109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108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113</v>
      </c>
      <c r="Z107" s="2"/>
      <c r="AA107" s="2"/>
    </row>
    <row r="108" customFormat="false" ht="18.75" hidden="false" customHeight="true" outlineLevel="0" collapsed="false">
      <c r="A108" s="35" t="s">
        <v>122</v>
      </c>
      <c r="B108" s="35"/>
      <c r="C108" s="35"/>
      <c r="D108" s="35"/>
      <c r="E108" s="35"/>
      <c r="F108" s="2"/>
      <c r="G108" s="35" t="s">
        <v>122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114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115</v>
      </c>
      <c r="Z109" s="2"/>
    </row>
    <row r="110" customFormat="false" ht="18.75" hidden="false" customHeight="true" outlineLevel="0" collapsed="false">
      <c r="A110" s="6" t="s">
        <v>123</v>
      </c>
      <c r="B110" s="32" t="s">
        <v>27</v>
      </c>
      <c r="C110" s="14"/>
      <c r="D110" s="14"/>
      <c r="E110" s="15"/>
      <c r="F110" s="2"/>
      <c r="G110" s="6" t="s">
        <v>123</v>
      </c>
      <c r="H110" s="32" t="s">
        <v>27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118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120</v>
      </c>
      <c r="Z111" s="2"/>
    </row>
    <row r="112" customFormat="false" ht="18.75" hidden="false" customHeight="true" outlineLevel="0" collapsed="false">
      <c r="A112" s="6" t="s">
        <v>124</v>
      </c>
      <c r="B112" s="14"/>
      <c r="C112" s="14"/>
      <c r="D112" s="104" t="n">
        <v>10000</v>
      </c>
      <c r="E112" s="54" t="n">
        <v>5000</v>
      </c>
      <c r="F112" s="2"/>
      <c r="G112" s="6" t="s">
        <v>124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125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125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126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126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127</v>
      </c>
      <c r="B115" s="14"/>
      <c r="C115" s="14"/>
      <c r="D115" s="106" t="n">
        <f aca="false">D114-E114</f>
        <v>5000</v>
      </c>
      <c r="E115" s="15"/>
      <c r="F115" s="2"/>
      <c r="G115" s="6" t="s">
        <v>127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128</v>
      </c>
      <c r="B117" s="57"/>
      <c r="C117" s="57"/>
      <c r="D117" s="57"/>
      <c r="E117" s="97" t="n">
        <f aca="false">D99</f>
        <v>0</v>
      </c>
      <c r="F117" s="2"/>
      <c r="G117" s="56" t="s">
        <v>128</v>
      </c>
      <c r="H117" s="57"/>
      <c r="I117" s="57"/>
      <c r="J117" s="57"/>
      <c r="K117" s="97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129</v>
      </c>
      <c r="B118" s="14"/>
      <c r="C118" s="14"/>
      <c r="D118" s="14"/>
      <c r="E118" s="11" t="n">
        <f aca="false">A102</f>
        <v>199.99</v>
      </c>
      <c r="F118" s="2"/>
      <c r="G118" s="6" t="s">
        <v>129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130</v>
      </c>
      <c r="B119" s="64"/>
      <c r="C119" s="64"/>
      <c r="D119" s="64"/>
      <c r="E119" s="79" t="n">
        <f aca="false">(E118+E117)-D115</f>
        <v>-4800.01</v>
      </c>
      <c r="F119" s="2"/>
      <c r="G119" s="108" t="s">
        <v>130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131</v>
      </c>
      <c r="B122" s="35"/>
      <c r="C122" s="35"/>
      <c r="D122" s="35"/>
      <c r="E122" s="35"/>
      <c r="F122" s="2"/>
      <c r="G122" s="35" t="s">
        <v>131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37</v>
      </c>
      <c r="B124" s="37" t="n">
        <v>1300</v>
      </c>
      <c r="C124" s="37"/>
      <c r="D124" s="14"/>
      <c r="E124" s="15"/>
      <c r="F124" s="2"/>
      <c r="G124" s="6" t="s">
        <v>37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41</v>
      </c>
      <c r="B126" s="14" t="s">
        <v>42</v>
      </c>
      <c r="C126" s="14"/>
      <c r="D126" s="14" t="s">
        <v>70</v>
      </c>
      <c r="E126" s="15"/>
      <c r="F126" s="2"/>
      <c r="G126" s="6" t="s">
        <v>41</v>
      </c>
      <c r="H126" s="14" t="s">
        <v>42</v>
      </c>
      <c r="I126" s="14"/>
      <c r="J126" s="14" t="s">
        <v>70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132</v>
      </c>
      <c r="B129" s="110" t="s">
        <v>133</v>
      </c>
      <c r="C129" s="110"/>
      <c r="D129" s="110" t="s">
        <v>98</v>
      </c>
      <c r="E129" s="15"/>
      <c r="F129" s="2"/>
      <c r="G129" s="109" t="s">
        <v>134</v>
      </c>
      <c r="H129" s="110" t="s">
        <v>135</v>
      </c>
      <c r="I129" s="110"/>
      <c r="J129" s="110" t="s">
        <v>136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3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3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3"/>
    </row>
    <row r="132" customFormat="false" ht="18.75" hidden="false" customHeight="true" outlineLevel="0" collapsed="false">
      <c r="A132" s="6" t="s">
        <v>137</v>
      </c>
      <c r="B132" s="14" t="s">
        <v>138</v>
      </c>
      <c r="C132" s="14"/>
      <c r="D132" s="14" t="s">
        <v>139</v>
      </c>
      <c r="E132" s="15"/>
      <c r="F132" s="2"/>
      <c r="G132" s="6" t="s">
        <v>140</v>
      </c>
      <c r="H132" s="14" t="s">
        <v>141</v>
      </c>
      <c r="I132" s="14"/>
      <c r="J132" s="14" t="s">
        <v>142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143</v>
      </c>
      <c r="B135" s="14" t="s">
        <v>144</v>
      </c>
      <c r="C135" s="14"/>
      <c r="D135" s="14" t="s">
        <v>145</v>
      </c>
      <c r="E135" s="15"/>
      <c r="F135" s="2"/>
      <c r="G135" s="6" t="s">
        <v>146</v>
      </c>
      <c r="H135" s="14" t="s">
        <v>147</v>
      </c>
      <c r="I135" s="14"/>
      <c r="J135" s="14" t="s">
        <v>148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149</v>
      </c>
      <c r="B138" s="14" t="s">
        <v>150</v>
      </c>
      <c r="C138" s="14"/>
      <c r="D138" s="14" t="s">
        <v>151</v>
      </c>
      <c r="E138" s="15"/>
      <c r="F138" s="2"/>
      <c r="G138" s="6" t="s">
        <v>152</v>
      </c>
      <c r="H138" s="14" t="s">
        <v>150</v>
      </c>
      <c r="I138" s="14"/>
      <c r="J138" s="14" t="s">
        <v>151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4" t="s">
        <v>154</v>
      </c>
      <c r="C141" s="14"/>
      <c r="D141" s="14" t="s">
        <v>155</v>
      </c>
      <c r="E141" s="15"/>
      <c r="F141" s="2"/>
      <c r="G141" s="6" t="s">
        <v>153</v>
      </c>
      <c r="H141" s="14" t="s">
        <v>154</v>
      </c>
      <c r="I141" s="14"/>
      <c r="J141" s="14" t="s">
        <v>155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4" t="s">
        <v>157</v>
      </c>
      <c r="C144" s="14"/>
      <c r="D144" s="14"/>
      <c r="E144" s="15"/>
      <c r="F144" s="2"/>
      <c r="G144" s="6" t="s">
        <v>156</v>
      </c>
      <c r="H144" s="14" t="s">
        <v>157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160</v>
      </c>
      <c r="B148" s="14"/>
      <c r="C148" s="14"/>
      <c r="D148" s="67"/>
      <c r="E148" s="68"/>
      <c r="F148" s="2"/>
      <c r="G148" s="66" t="s">
        <v>160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41</v>
      </c>
      <c r="B150" s="73" t="s">
        <v>42</v>
      </c>
      <c r="C150" s="73"/>
      <c r="D150" s="14"/>
      <c r="E150" s="15"/>
      <c r="F150" s="2"/>
      <c r="G150" s="72" t="s">
        <v>41</v>
      </c>
      <c r="H150" s="73" t="s">
        <v>42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E30" activeCellId="0" sqref="E30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2022-11-08T17:03:13Z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