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Formula1-FL" sheetId="1" state="visible" r:id="rId2"/>
    <sheet name="Formula1-PCH" sheetId="2" state="visible" r:id="rId3"/>
    <sheet name="Formula1-BCH" sheetId="3" state="visible" r:id="rId4"/>
    <sheet name="FL (Formula 2) - BCH, PCH, FL" sheetId="4" state="visible" r:id="rId5"/>
    <sheet name="BCH (Formula 3) - BCH, PCH" sheetId="5" state="visible" r:id="rId6"/>
    <sheet name="Sheet5" sheetId="6" state="visible" r:id="rId7"/>
    <sheet name="Sheet6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<sst xmlns="http://schemas.openxmlformats.org/spreadsheetml/2006/main" count="1616" uniqueCount="192">
  <si>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</si>
  <si>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</si>
  <si>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</si>
  <si>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</si>
  <si>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</si>
  <si>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</si>
  <si>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</si>
  <si>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</si>
  <si>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</si>
  <si>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</si>
  <si>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</si>
  <si>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</si>
  <si>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</si>
  <si>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</si>
  <si>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</si>
  <si>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</si>
  <si>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</si>
  <si>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</si>
  <si>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</si>
  <si>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</si>
  <si>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</si>
  <si>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</si>
  <si>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</si>
  <si>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</si>
  <si>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</si>
  <si>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</si>
  <si>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</si>
  <si>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</si>
  <si>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</si>
  <si>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</si>
  <si>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</si>
  <si>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</si>
  <si>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</si>
  <si>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Summary</t>
  </si>
  <si>
    <t xml:space="preserve">Advance payment in Value</t>
  </si>
  <si>
    <t xml:space="preserve">Duration</t>
  </si>
  <si>
    <t xml:space="preserve">Target rental</t>
  </si>
  <si>
    <t xml:space="preserve">0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</si>
  <si>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</si>
  <si>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</si>
  <si>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</si>
  <si>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</si>
  <si>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</si>
  <si>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</si>
  <si>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</si>
  <si>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</si>
  <si>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</si>
  <si>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</si>
  <si>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</si>
  <si>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</si>
  <si>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</si>
  <si>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</si>
  <si>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</si>
  <si>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</si>
  <si>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</si>
  <si>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</si>
  <si>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</si>
  <si>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</si>
  <si>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</si>
  <si>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</si>
  <si>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</si>
  <si>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</si>
  <si>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</si>
  <si>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</si>
  <si>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</si>
  <si>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</si>
  <si>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</si>
  <si>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</si>
  <si>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</si>
  <si>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</si>
  <si>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</si>
  <si>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</si>
  <si>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</si>
  <si>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</si>
  <si>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</si>
  <si>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</si>
  <si>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</si>
  <si>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</si>
  <si>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</si>
  <si>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</si>
  <si>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</si>
  <si>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</si>
  <si>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</si>
  <si>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</si>
  <si>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</si>
  <si>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</si>
  <si>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</si>
  <si>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</si>
  <si>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</si>
  <si>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</si>
  <si>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</si>
  <si>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</si>
  <si>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</si>
  <si>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</si>
  <si>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</si>
  <si>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</si>
  <si>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</si>
  <si>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</si>
  <si>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Customer Quote - Finance Lease</t>
  </si>
  <si>
    <t xml:space="preserve">Customer Quote - Personal Contract Hire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</si>
  <si>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</si>
  <si>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</si>
  <si>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</si>
  <si>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</si>
  <si>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</si>
  <si>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</si>
  <si>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9 down 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</si>
  <si>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</si>
  <si>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</si>
  <si>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</si>
  <si>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</si>
  <si>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</si>
  <si>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</si>
  <si>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</si>
  <si>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</si>
  <si>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</si>
  <si>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</si>
  <si>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</si>
  <si>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</si>
  <si>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</si>
  <si>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</si>
  <si>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</si>
  <si>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</si>
  <si>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</si>
  <si>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</si>
  <si>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</si>
  <si>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</si>
  <si>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</si>
  <si>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Document fee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</si>
  <si>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</si>
  <si>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</si>
  <si>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</si>
  <si>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</si>
  <si>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</si>
  <si>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</si>
  <si>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</si>
  <si>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</si>
  <si>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</si>
  <si>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</si>
  <si>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</si>
  <si>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</si>
  <si>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</si>
  <si>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</si>
  <si>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</si>
  <si>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</si>
  <si>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</si>
  <si>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</si>
  <si>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</si>
  <si>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(Ex.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</si>
  <si>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</si>
  <si>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</si>
  <si>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</si>
  <si>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</si>
  <si>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</si>
  <si>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</si>
  <si>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</si>
  <si>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</si>
  <si>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</si>
  <si>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</si>
  <si>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</si>
  <si>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</si>
  <si>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</si>
  <si>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</si>
  <si>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</si>
  <si>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</si>
  <si>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</si>
  <si>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</si>
  <si>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</si>
  <si>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</si>
  <si>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</si>
  <si>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</si>
  <si>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</si>
  <si>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</si>
  <si>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</si>
  <si>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</si>
  <si>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</si>
  <si>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</si>
  <si>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</si>
  <si>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</si>
  <si>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</si>
  <si>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</si>
  <si>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</si>
  <si>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</si>
  <si>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</si>
  <si>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</si>
  <si>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</si>
  <si>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</si>
  <si>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</si>
  <si>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</si>
  <si>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</si>
  <si>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>600</t>
  </si>
  <si>
    <t>NO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</si>
</sst>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#,##0.00"/>
    <numFmt numFmtId="168" formatCode="#,##0.000000000"/>
    <numFmt numFmtId="169" formatCode="0.00"/>
    <numFmt numFmtId="170" formatCode="#,##0.0"/>
    <numFmt numFmtId="171" formatCode="General"/>
    <numFmt numFmtId="172" formatCode="0%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7E3794"/>
      <name val="Inconsolat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8D08D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BFBFBF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99CC00"/>
      </patternFill>
    </fill>
    <fill>
      <patternFill patternType="solid">
        <fgColor rgb="FFE7E6E6"/>
        <bgColor rgb="FFD8D8D8"/>
      </patternFill>
    </fill>
    <fill>
      <patternFill patternType="solid">
        <fgColor rgb="FFA8D08D"/>
        <bgColor rgb="FFBFBFBF"/>
      </patternFill>
    </fill>
    <fill>
      <patternFill patternType="solid">
        <fgColor rgb="FFFFC000"/>
        <bgColor rgb="FFFF99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5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8D08D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07" activeCellId="0" sqref="C107"/>
    </sheetView>
  </sheetViews>
  <sheetFormatPr defaultColWidth="12.003906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1.87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0.0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0.0</v>
      </c>
      <c r="C4" s="0" t="n">
        <v>0.0</v>
      </c>
      <c r="D4" s="0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0.0</v>
      </c>
      <c r="C5" s="8" t="n">
        <v>0.0</v>
      </c>
      <c r="D5" s="8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7028.1255</v>
      </c>
      <c r="C6" s="12" t="n">
        <f aca="false">(C3*C4/100)+C5</f>
        <v>0</v>
      </c>
      <c r="D6" s="12" t="n">
        <f aca="false">(D3*D4/100)+D5</f>
        <v>124.9995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39826.0445</v>
      </c>
      <c r="C7" s="12" t="n">
        <f aca="false">C3-C6</f>
        <v>0</v>
      </c>
      <c r="D7" s="12" t="n">
        <f aca="false">D3-D6</f>
        <v>708.3305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-238.005763414441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40534.375</v>
      </c>
      <c r="F9" s="2"/>
      <c r="G9" s="13" t="n">
        <f aca="false">E9-G11</f>
        <v>-111515.625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550.0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8216.875</v>
      </c>
      <c r="F11" s="2"/>
      <c r="G11" s="13" t="n">
        <f aca="false">G13/1.2</f>
        <v>152050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s">
        <v>190</v>
      </c>
      <c r="F13" s="2"/>
      <c r="G13" s="13" t="n">
        <f aca="false">G15-E14-E13-E12</f>
        <v>182460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55.0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49911.25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0.0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49911.25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25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37</v>
      </c>
      <c r="C30" s="37"/>
      <c r="D30" s="14"/>
      <c r="E30" s="15"/>
      <c r="F30" s="2"/>
      <c r="G30" s="33" t="s">
        <v>38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29225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1011.67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702.765245773695</v>
      </c>
      <c r="E33" s="15"/>
      <c r="F33" s="2"/>
      <c r="G33" s="34" t="s">
        <v>44</v>
      </c>
      <c r="H33" s="44" t="n">
        <f aca="false">E21-E11+((E16*20%)+(E19*20%)+(E20*20%))</f>
        <v>41694.375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702.765245773695</v>
      </c>
      <c r="B36" s="48" t="n">
        <f aca="false">IF(B26="YES", H42, "")</f>
        <v>0</v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41694.375</v>
      </c>
      <c r="I39" s="53" t="n">
        <f aca="false">(I48*H46)+H44</f>
        <v>64443.3941780653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</v>
      </c>
      <c r="B40" s="54" t="str">
        <f aca="false">IF(B26="YES",H42,"0")</f>
        <v>0</v>
      </c>
      <c r="C40" s="54"/>
      <c r="D40" s="50" t="n">
        <f aca="false">I32</f>
        <v>0</v>
      </c>
      <c r="E40" s="15"/>
      <c r="F40" s="2"/>
      <c r="G40" s="2" t="s">
        <v>55</v>
      </c>
      <c r="H40" s="53" t="n">
        <f aca="false">(A40)/1.2</f>
        <v>22916.6666666667</v>
      </c>
      <c r="I40" s="53" t="n">
        <f aca="false">H39-I39</f>
        <v>-22749.0191780653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18764.9097705681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62</v>
      </c>
      <c r="B45" s="14"/>
      <c r="C45" s="62" t="s">
        <v>62</v>
      </c>
      <c r="D45" s="62"/>
      <c r="E45" s="15"/>
      <c r="F45" s="2"/>
      <c r="G45" s="2" t="s">
        <v>63</v>
      </c>
      <c r="H45" s="53" t="n">
        <f aca="false">(H39-H44)</f>
        <v>22929.4652294319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702.765245773695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702.765245773695</v>
      </c>
      <c r="I48" s="53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702.765245773695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1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35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4"/>
      <c r="D61" s="14"/>
      <c r="E61" s="15"/>
      <c r="F61" s="2"/>
      <c r="G61" s="6" t="s">
        <v>21</v>
      </c>
      <c r="H61" s="12" t="n">
        <f aca="false">G18</f>
        <v>57885</v>
      </c>
      <c r="I61" s="14"/>
      <c r="J61" s="14"/>
      <c r="K61" s="15"/>
      <c r="L61" s="2"/>
      <c r="M61" s="6" t="s">
        <v>21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6077.925</v>
      </c>
      <c r="C64" s="14"/>
      <c r="D64" s="12" t="n">
        <f aca="false">B64-A145</f>
        <v>6077.925</v>
      </c>
      <c r="E64" s="15"/>
      <c r="F64" s="2"/>
      <c r="G64" s="63" t="s">
        <v>72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72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4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4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(B61*B66)/1.2</f>
        <v>964.75</v>
      </c>
      <c r="C67" s="14"/>
      <c r="D67" s="12"/>
      <c r="E67" s="15"/>
      <c r="F67" s="2"/>
      <c r="G67" s="63" t="s">
        <v>75</v>
      </c>
      <c r="H67" s="79" t="n">
        <f aca="false">(H61*H66)/1.2</f>
        <v>964.75</v>
      </c>
      <c r="I67" s="14"/>
      <c r="J67" s="12"/>
      <c r="K67" s="15"/>
      <c r="L67" s="2"/>
      <c r="M67" s="63" t="s">
        <v>75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1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5" t="s">
        <v>82</v>
      </c>
      <c r="B74" s="86" t="n">
        <v>0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87" t="s">
        <v>83</v>
      </c>
      <c r="B75" s="88" t="n">
        <v>0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89" t="s">
        <v>84</v>
      </c>
      <c r="B76" s="90" t="n">
        <f aca="false">((B74+B75)/12)*(H29-11)</f>
        <v>1020.83333333333</v>
      </c>
      <c r="C76" s="14"/>
      <c r="D76" s="12" t="n">
        <f aca="false">B76</f>
        <v>1020.83333333333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83" t="n">
        <v>0</v>
      </c>
      <c r="C77" s="14"/>
      <c r="D77" s="12" t="n">
        <f aca="false">B77</f>
        <v>0</v>
      </c>
      <c r="E77" s="15"/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v>0</v>
      </c>
      <c r="C78" s="14"/>
      <c r="D78" s="12" t="n">
        <f aca="false">B78</f>
        <v>0</v>
      </c>
      <c r="E78" s="15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</v>
      </c>
      <c r="C79" s="14"/>
      <c r="D79" s="12" t="n">
        <f aca="false">B79</f>
        <v>200</v>
      </c>
      <c r="E79" s="15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88</v>
      </c>
      <c r="B80" s="92" t="n">
        <v>200</v>
      </c>
      <c r="C80" s="14"/>
      <c r="D80" s="12" t="n">
        <f aca="false">B80</f>
        <v>200</v>
      </c>
      <c r="E80" s="15"/>
      <c r="F80" s="2"/>
      <c r="G80" s="91" t="s">
        <v>88</v>
      </c>
      <c r="H80" s="92" t="n">
        <v>200</v>
      </c>
      <c r="I80" s="14"/>
      <c r="J80" s="12" t="n">
        <f aca="false">H80</f>
        <v>200</v>
      </c>
      <c r="K80" s="15"/>
      <c r="L80" s="2"/>
      <c r="M80" s="91" t="s">
        <v>88</v>
      </c>
      <c r="N80" s="92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89</v>
      </c>
      <c r="B81" s="94" t="n">
        <f aca="false">SUM(D64:D80)</f>
        <v>7878.75833333333</v>
      </c>
      <c r="C81" s="14"/>
      <c r="D81" s="14"/>
      <c r="E81" s="15"/>
      <c r="F81" s="2"/>
      <c r="G81" s="93" t="s">
        <v>89</v>
      </c>
      <c r="H81" s="94" t="n">
        <f aca="false">SUM(J64:J80)</f>
        <v>7143.675</v>
      </c>
      <c r="I81" s="14"/>
      <c r="J81" s="14"/>
      <c r="K81" s="15"/>
      <c r="L81" s="2"/>
      <c r="M81" s="93" t="s">
        <v>89</v>
      </c>
      <c r="N81" s="94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218.854398148148</v>
      </c>
      <c r="C82" s="14"/>
      <c r="D82" s="14"/>
      <c r="E82" s="15"/>
      <c r="F82" s="2"/>
      <c r="G82" s="6" t="s">
        <v>90</v>
      </c>
      <c r="H82" s="11" t="n">
        <f aca="false">H81/H29</f>
        <v>198.435416666667</v>
      </c>
      <c r="I82" s="14"/>
      <c r="J82" s="14"/>
      <c r="K82" s="15"/>
      <c r="L82" s="2"/>
      <c r="M82" s="6" t="s">
        <v>90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91</v>
      </c>
      <c r="B83" s="96" t="n">
        <f aca="false">H47</f>
        <v>702.765245773695</v>
      </c>
      <c r="C83" s="14"/>
      <c r="D83" s="14"/>
      <c r="E83" s="15"/>
      <c r="F83" s="2"/>
      <c r="G83" s="95" t="s">
        <v>91</v>
      </c>
      <c r="H83" s="96" t="n">
        <f aca="false">H47</f>
        <v>702.765245773695</v>
      </c>
      <c r="I83" s="14"/>
      <c r="J83" s="14"/>
      <c r="K83" s="15"/>
      <c r="L83" s="2"/>
      <c r="M83" s="95" t="s">
        <v>91</v>
      </c>
      <c r="N83" s="96" t="n">
        <f aca="false">H47</f>
        <v>702.765245773695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7" t="n">
        <f aca="false">((B83*H29)+B81)</f>
        <v>33178.3071811863</v>
      </c>
      <c r="C85" s="14"/>
      <c r="D85" s="14"/>
      <c r="E85" s="15"/>
      <c r="F85" s="2"/>
      <c r="G85" s="56" t="s">
        <v>92</v>
      </c>
      <c r="H85" s="97" t="n">
        <f aca="false">((H83*H29)+H81)*1.2</f>
        <v>38931.8686174236</v>
      </c>
      <c r="I85" s="14"/>
      <c r="J85" s="14"/>
      <c r="K85" s="15"/>
      <c r="L85" s="2"/>
      <c r="M85" s="56" t="s">
        <v>92</v>
      </c>
      <c r="N85" s="97" t="n">
        <f aca="false">((N83*H29)+N81)</f>
        <v>32099.473847853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(B85/(1-B70))*B70</f>
        <v>281.058673176649</v>
      </c>
      <c r="C86" s="14"/>
      <c r="D86" s="14"/>
      <c r="E86" s="15"/>
      <c r="F86" s="2"/>
      <c r="G86" s="6" t="s">
        <v>93</v>
      </c>
      <c r="H86" s="11" t="n">
        <f aca="false">((((H83*H29)+H81))/(1-H70))*H70</f>
        <v>274.831666319045</v>
      </c>
      <c r="I86" s="14"/>
      <c r="J86" s="14"/>
      <c r="K86" s="15"/>
      <c r="L86" s="2"/>
      <c r="M86" s="6" t="s">
        <v>93</v>
      </c>
      <c r="N86" s="11" t="n">
        <f aca="false">(N85/(1-N70))*N70</f>
        <v>271.919705851115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IF(B110="YES",((B85+B86)-E114),(B85+B86))</f>
        <v>33459.365854363</v>
      </c>
      <c r="C87" s="14"/>
      <c r="D87" s="14"/>
      <c r="E87" s="15"/>
      <c r="F87" s="2"/>
      <c r="G87" s="63" t="s">
        <v>94</v>
      </c>
      <c r="H87" s="79" t="n">
        <f aca="false">IF(H110="YES",((H85+H86)-K114),(H85+H86))</f>
        <v>39206.7002837426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32371.3935537041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95</v>
      </c>
      <c r="B89" s="94" t="n">
        <f aca="false">IF(B99=Y98, (D40+(D40*B105))/(B58), (D40+(D40*B105))/(B57+B58))</f>
        <v>0</v>
      </c>
      <c r="C89" s="14"/>
      <c r="D89" s="14"/>
      <c r="E89" s="15"/>
      <c r="F89" s="2"/>
      <c r="G89" s="93" t="s">
        <v>95</v>
      </c>
      <c r="H89" s="94" t="n">
        <f aca="false">IF(H99=Y98, (D40+(D40*H105))/(H58), (D40+(D40*H105))/(H57+H58))*1.2</f>
        <v>0</v>
      </c>
      <c r="I89" s="14"/>
      <c r="J89" s="14"/>
      <c r="K89" s="15"/>
      <c r="L89" s="2"/>
      <c r="M89" s="93" t="s">
        <v>95</v>
      </c>
      <c r="N89" s="94" t="n">
        <f aca="false">IF(N99=Y98, (D40+(D40*N105))/(N58), (D40+(D40*N105))/(N57+N58))</f>
        <v>0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929.426829287861</v>
      </c>
      <c r="C90" s="14"/>
      <c r="D90" s="14"/>
      <c r="E90" s="15"/>
      <c r="F90" s="2"/>
      <c r="G90" s="98" t="s">
        <v>96</v>
      </c>
      <c r="H90" s="99" t="n">
        <f aca="false">IF(H99=Y98, (H87-J105)/(H58), H87/(H57+H58))</f>
        <v>956.260982530309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789.546184236686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929.426829287861</v>
      </c>
      <c r="C91" s="14"/>
      <c r="D91" s="14"/>
      <c r="E91" s="15"/>
      <c r="F91" s="2"/>
      <c r="G91" s="100" t="s">
        <v>97</v>
      </c>
      <c r="H91" s="101" t="n">
        <f aca="false">IF(G105="YES", H90+H89, H90)</f>
        <v>956.260982530309</v>
      </c>
      <c r="I91" s="14"/>
      <c r="J91" s="14"/>
      <c r="K91" s="15"/>
      <c r="L91" s="2"/>
      <c r="M91" s="100" t="s">
        <v>97</v>
      </c>
      <c r="N91" s="101" t="n">
        <f aca="false">IF(M105="YES", N90+N89, N90)</f>
        <v>789.546184236686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98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106</v>
      </c>
      <c r="C99" s="103"/>
      <c r="D99" s="54" t="n">
        <v>1000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25</v>
      </c>
      <c r="B105" s="105" t="n">
        <v>0.2</v>
      </c>
      <c r="C105" s="105"/>
      <c r="D105" s="54" t="s">
        <v>118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 t="s">
        <v>120</v>
      </c>
      <c r="C107" s="32" t="s">
        <v>26</v>
      </c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500</v>
      </c>
      <c r="E112" s="54" t="n">
        <v>300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100</v>
      </c>
      <c r="E113" s="54" t="n">
        <v>100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400</v>
      </c>
      <c r="E114" s="107" t="n">
        <f aca="false">E112-E113</f>
        <v>200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200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7" t="n">
        <f aca="false">D99</f>
        <v>1000</v>
      </c>
      <c r="F117" s="2"/>
      <c r="G117" s="56" t="s">
        <v>127</v>
      </c>
      <c r="H117" s="57"/>
      <c r="I117" s="57"/>
      <c r="J117" s="57"/>
      <c r="K117" s="97" t="n">
        <f aca="false">J99</f>
        <v>0</v>
      </c>
      <c r="L117" s="2"/>
      <c r="M117" s="56" t="s">
        <v>127</v>
      </c>
      <c r="N117" s="57"/>
      <c r="O117" s="57"/>
      <c r="P117" s="57"/>
      <c r="Q117" s="97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(E118+E117)-D115</f>
        <v>999.99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131</v>
      </c>
      <c r="B126" s="110" t="s">
        <v>132</v>
      </c>
      <c r="C126" s="110"/>
      <c r="D126" s="110" t="s">
        <v>97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929.426829287861</v>
      </c>
      <c r="B127" s="112" t="n">
        <f aca="false">IF(A105="YES", B89*B57, 0)</f>
        <v>0</v>
      </c>
      <c r="C127" s="112"/>
      <c r="D127" s="112" t="n">
        <f aca="false">B91</f>
        <v>929.426829287861</v>
      </c>
      <c r="E127" s="15"/>
      <c r="F127" s="2"/>
      <c r="G127" s="111" t="n">
        <f aca="false">H90</f>
        <v>956.260982530309</v>
      </c>
      <c r="H127" s="112" t="n">
        <f aca="false">IF(G105="YES", H89*H57, 0)</f>
        <v>0</v>
      </c>
      <c r="I127" s="112"/>
      <c r="J127" s="113" t="n">
        <f aca="false">H91</f>
        <v>956.260982530309</v>
      </c>
      <c r="K127" s="15"/>
      <c r="L127" s="2"/>
      <c r="M127" s="111" t="n">
        <f aca="false">N90</f>
        <v>789.546184236686</v>
      </c>
      <c r="N127" s="112" t="n">
        <f aca="false">IF(M105="YES", N89*N57, 0)</f>
        <v>0</v>
      </c>
      <c r="O127" s="112"/>
      <c r="P127" s="112" t="n">
        <f aca="false">N91</f>
        <v>789.546184236686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A155</f>
        <v>36</v>
      </c>
      <c r="B130" s="41" t="n">
        <f aca="false">B151</f>
        <v>0</v>
      </c>
      <c r="C130" s="42"/>
      <c r="D130" s="41" t="n">
        <f aca="false">B58</f>
        <v>35</v>
      </c>
      <c r="E130" s="15"/>
      <c r="F130" s="2"/>
      <c r="G130" s="40" t="n">
        <f aca="false">G152</f>
        <v>36</v>
      </c>
      <c r="H130" s="41" t="n">
        <f aca="false">B151</f>
        <v>0</v>
      </c>
      <c r="I130" s="42"/>
      <c r="J130" s="41" t="n">
        <f aca="false">B58</f>
        <v>35</v>
      </c>
      <c r="K130" s="15"/>
      <c r="L130" s="2"/>
      <c r="M130" s="40" t="n">
        <f aca="false">M155</f>
        <v>36</v>
      </c>
      <c r="N130" s="41" t="n">
        <f aca="false">B151</f>
        <v>0</v>
      </c>
      <c r="O130" s="42"/>
      <c r="P130" s="41" t="n">
        <f aca="false">B58</f>
        <v>35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929.426829287861</v>
      </c>
      <c r="B133" s="48" t="n">
        <f aca="false">IF(A105="YES", B89*B57, 0)</f>
        <v>0</v>
      </c>
      <c r="C133" s="49"/>
      <c r="D133" s="50" t="n">
        <f aca="false">B91*B57</f>
        <v>929.426829287861</v>
      </c>
      <c r="E133" s="15"/>
      <c r="F133" s="2"/>
      <c r="G133" s="47" t="n">
        <f aca="false">H90*H57</f>
        <v>5737.56589518185</v>
      </c>
      <c r="H133" s="48" t="n">
        <f aca="false">IF(G105="YES", H89*H57, 0)</f>
        <v>0</v>
      </c>
      <c r="I133" s="49"/>
      <c r="J133" s="50" t="n">
        <f aca="false">H91*H57</f>
        <v>5737.56589518185</v>
      </c>
      <c r="K133" s="15"/>
      <c r="L133" s="2"/>
      <c r="M133" s="47" t="n">
        <f aca="false">N90*N57</f>
        <v>4737.27710542012</v>
      </c>
      <c r="N133" s="48" t="n">
        <f aca="false">IF(M105="YES", N89*N57, 0)</f>
        <v>0</v>
      </c>
      <c r="O133" s="49"/>
      <c r="P133" s="50" t="n">
        <f aca="false">N91*N57</f>
        <v>4737.27710542012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0.2994675</v>
      </c>
      <c r="B136" s="48" t="n">
        <f aca="false">IF(A105="YES", E15*0.000002, 0)</f>
        <v>0</v>
      </c>
      <c r="C136" s="48"/>
      <c r="D136" s="48" t="n">
        <f aca="false">A136+B136</f>
        <v>0.2994675</v>
      </c>
      <c r="E136" s="114"/>
      <c r="F136" s="2"/>
      <c r="G136" s="51" t="n">
        <f aca="false">E15*0.000006</f>
        <v>0.2994675</v>
      </c>
      <c r="H136" s="48" t="n">
        <f aca="false">IF(G105="YES", E15*0.000002, 0)</f>
        <v>0.0998225</v>
      </c>
      <c r="I136" s="48"/>
      <c r="J136" s="48" t="n">
        <f aca="false">G136+H136</f>
        <v>0.39929</v>
      </c>
      <c r="K136" s="114"/>
      <c r="L136" s="2"/>
      <c r="M136" s="51" t="n">
        <f aca="false">E15*0.000006</f>
        <v>0.2994675</v>
      </c>
      <c r="N136" s="48" t="n">
        <f aca="false">IF(M105="YES", E15*0.000002, 0)</f>
        <v>0.0998225</v>
      </c>
      <c r="O136" s="48"/>
      <c r="P136" s="48" t="n">
        <f aca="false">M136+N136</f>
        <v>0.39929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1064.74</v>
      </c>
      <c r="E142" s="114"/>
      <c r="F142" s="2"/>
      <c r="G142" s="51" t="n">
        <f aca="false">IF(G105="YES", ((B36*H105)*0.1)*(G130), 0)</f>
        <v>0</v>
      </c>
      <c r="H142" s="48" t="n">
        <f aca="false">G102-100</f>
        <v>99.99</v>
      </c>
      <c r="I142" s="48"/>
      <c r="J142" s="48" t="n">
        <f aca="false">(H139+J139+G142+H142)-H145</f>
        <v>1064.74</v>
      </c>
      <c r="K142" s="114"/>
      <c r="L142" s="2"/>
      <c r="M142" s="51" t="n">
        <f aca="false">IF(M105="YES", ((B36*N105)*0.1)*(M130), 0)</f>
        <v>0</v>
      </c>
      <c r="N142" s="48" t="n">
        <f aca="false">M102-100</f>
        <v>99.99</v>
      </c>
      <c r="O142" s="48"/>
      <c r="P142" s="48" t="n">
        <f aca="false">(N139+P139+M142+N142)-N145</f>
        <v>1064.74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n">
        <f aca="false">(H139+J139+G142+H142)*(G145/H64)</f>
        <v>0</v>
      </c>
      <c r="I145" s="14"/>
      <c r="J145" s="14"/>
      <c r="K145" s="15"/>
      <c r="L145" s="2"/>
      <c r="M145" s="51" t="n">
        <v>0</v>
      </c>
      <c r="N145" s="48" t="n">
        <f aca="false">(N139+P139+M142+N142)*(M145/N64)</f>
        <v>0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51"/>
      <c r="B146" s="48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15" t="s">
        <v>157</v>
      </c>
      <c r="B147" s="106" t="s">
        <v>158</v>
      </c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16" t="n">
        <v>18000</v>
      </c>
      <c r="B148" s="117" t="n">
        <v>0.99</v>
      </c>
      <c r="C148" s="117"/>
      <c r="D148" s="14"/>
      <c r="E148" s="15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/>
      <c r="B150" s="14"/>
      <c r="C150" s="14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6" t="s">
        <v>159</v>
      </c>
      <c r="B151" s="14"/>
      <c r="C151" s="14"/>
      <c r="D151" s="67"/>
      <c r="E151" s="68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70"/>
      <c r="C152" s="70"/>
      <c r="D152" s="14"/>
      <c r="E152" s="15"/>
      <c r="F152" s="2"/>
      <c r="G152" s="75" t="n">
        <f aca="false">A52</f>
        <v>36</v>
      </c>
      <c r="H152" s="76" t="n">
        <f aca="false">H91</f>
        <v>956.260982530309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72" t="s">
        <v>40</v>
      </c>
      <c r="B153" s="73" t="s">
        <v>41</v>
      </c>
      <c r="C153" s="73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72"/>
      <c r="B154" s="74" t="n">
        <f aca="false">A51</f>
        <v>0</v>
      </c>
      <c r="C154" s="7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75" t="n">
        <f aca="false">A52</f>
        <v>36</v>
      </c>
      <c r="B155" s="76" t="n">
        <f aca="false">B91</f>
        <v>929.426829287861</v>
      </c>
      <c r="C155" s="76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789.546184236686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5" colorId="64" zoomScale="75" zoomScaleNormal="75" zoomScalePageLayoutView="100" workbookViewId="0">
      <selection pane="topLeft" activeCell="B84" activeCellId="0" sqref="B84"/>
    </sheetView>
  </sheetViews>
  <sheetFormatPr defaultColWidth="12.003906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1.87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0.0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0.0</v>
      </c>
      <c r="C4" s="0" t="n">
        <v>0.0</v>
      </c>
      <c r="D4" s="0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0.0</v>
      </c>
      <c r="C5" s="8" t="n">
        <v>0.0</v>
      </c>
      <c r="D5" s="8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7028.1255</v>
      </c>
      <c r="C6" s="12" t="n">
        <f aca="false">(C3*C4/100)+C5</f>
        <v>0</v>
      </c>
      <c r="D6" s="12" t="n">
        <f aca="false">(D3*D4/100)+D5</f>
        <v>124.9995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39826.0445</v>
      </c>
      <c r="C7" s="12" t="n">
        <f aca="false">C3-C6</f>
        <v>0</v>
      </c>
      <c r="D7" s="12" t="n">
        <f aca="false">D3-D6</f>
        <v>708.3305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-238.005763414441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40534.375</v>
      </c>
      <c r="F9" s="2"/>
      <c r="G9" s="13" t="n">
        <f aca="false">E9-G11</f>
        <v>-111515.625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550.0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8216.875</v>
      </c>
      <c r="F11" s="2"/>
      <c r="G11" s="13" t="n">
        <f aca="false">G13/1.2</f>
        <v>152050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585.0</v>
      </c>
      <c r="F13" s="2"/>
      <c r="G13" s="13" t="n">
        <f aca="false">G15-E14-E13-E12</f>
        <v>182460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55.0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49911.25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0.0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49911.25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26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37</v>
      </c>
      <c r="C30" s="37"/>
      <c r="D30" s="14"/>
      <c r="E30" s="15"/>
      <c r="F30" s="2"/>
      <c r="G30" s="33" t="s">
        <v>38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702.765245773695</v>
      </c>
      <c r="E33" s="15"/>
      <c r="F33" s="2"/>
      <c r="G33" s="34" t="s">
        <v>44</v>
      </c>
      <c r="H33" s="44" t="n">
        <f aca="false">E21-E11+((E16*20%)+(E19*20%)+(E20*20%))</f>
        <v>41694.375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702.765245773695</v>
      </c>
      <c r="B36" s="48" t="str">
        <f aca="false">IF(B26="YES", H42, "")</f>
        <v/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41694.375</v>
      </c>
      <c r="I39" s="53" t="n">
        <f aca="false">(I48*H46)+H44</f>
        <v>64443.3941780653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</v>
      </c>
      <c r="B40" s="54" t="str">
        <f aca="false">IF(B26="YES",H42,"0")</f>
        <v>0</v>
      </c>
      <c r="C40" s="54"/>
      <c r="D40" s="50" t="n">
        <f aca="false">I32</f>
        <v>0</v>
      </c>
      <c r="E40" s="15"/>
      <c r="F40" s="2"/>
      <c r="G40" s="2" t="s">
        <v>55</v>
      </c>
      <c r="H40" s="53" t="n">
        <f aca="false">(A40)/1.2</f>
        <v>22916.6666666667</v>
      </c>
      <c r="I40" s="53" t="n">
        <f aca="false">H39-I39</f>
        <v>-22749.0191780653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18764.9097705681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62</v>
      </c>
      <c r="B45" s="14"/>
      <c r="C45" s="62" t="s">
        <v>62</v>
      </c>
      <c r="D45" s="62"/>
      <c r="E45" s="15"/>
      <c r="F45" s="2"/>
      <c r="G45" s="2" t="s">
        <v>63</v>
      </c>
      <c r="H45" s="53" t="n">
        <f aca="false">(H39-H44)</f>
        <v>22929.4652294319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702.765245773695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702.765245773695</v>
      </c>
      <c r="I48" s="53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702.765245773695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4"/>
      <c r="D61" s="14"/>
      <c r="E61" s="15"/>
      <c r="F61" s="2"/>
      <c r="G61" s="6" t="s">
        <v>21</v>
      </c>
      <c r="H61" s="12" t="n">
        <f aca="false">G18</f>
        <v>57885</v>
      </c>
      <c r="I61" s="14"/>
      <c r="J61" s="14"/>
      <c r="K61" s="15"/>
      <c r="L61" s="2"/>
      <c r="M61" s="6" t="s">
        <v>21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6077.925</v>
      </c>
      <c r="C64" s="14"/>
      <c r="D64" s="12" t="n">
        <f aca="false">B64-A145</f>
        <v>6077.925</v>
      </c>
      <c r="E64" s="118" t="n">
        <f aca="false">D64/(B58+B57)</f>
        <v>168.83125</v>
      </c>
      <c r="F64" s="2"/>
      <c r="G64" s="63" t="s">
        <v>72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72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4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4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(B61*B66)/1.2</f>
        <v>964.75</v>
      </c>
      <c r="C67" s="14"/>
      <c r="D67" s="12"/>
      <c r="E67" s="15"/>
      <c r="F67" s="2"/>
      <c r="G67" s="63" t="s">
        <v>75</v>
      </c>
      <c r="H67" s="79" t="n">
        <f aca="false">(H61*H66)/1.2</f>
        <v>964.75</v>
      </c>
      <c r="I67" s="14"/>
      <c r="J67" s="12"/>
      <c r="K67" s="15"/>
      <c r="L67" s="2"/>
      <c r="M67" s="63" t="s">
        <v>75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155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v>335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1020.83333333333</v>
      </c>
      <c r="C76" s="14"/>
      <c r="D76" s="12" t="n">
        <f aca="false">B76</f>
        <v>1020.83333333333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83" t="n">
        <v>0</v>
      </c>
      <c r="C77" s="14"/>
      <c r="D77" s="12" t="n">
        <f aca="false">B77</f>
        <v>0</v>
      </c>
      <c r="E77" s="118" t="n">
        <f aca="false">D77/(B58+B57)</f>
        <v>0</v>
      </c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v>0</v>
      </c>
      <c r="C78" s="14"/>
      <c r="D78" s="12" t="n">
        <f aca="false">B78</f>
        <v>0</v>
      </c>
      <c r="E78" s="118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</v>
      </c>
      <c r="C79" s="14"/>
      <c r="D79" s="12" t="n">
        <f aca="false">B79</f>
        <v>200</v>
      </c>
      <c r="E79" s="118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88</v>
      </c>
      <c r="B80" s="92" t="n">
        <v>200</v>
      </c>
      <c r="C80" s="14"/>
      <c r="D80" s="12" t="n">
        <f aca="false">B80</f>
        <v>200</v>
      </c>
      <c r="E80" s="118" t="n">
        <f aca="false">(D73+D76+D79+D80)/(B58+B57)</f>
        <v>50.0231481481482</v>
      </c>
      <c r="F80" s="2"/>
      <c r="G80" s="91" t="s">
        <v>88</v>
      </c>
      <c r="H80" s="92" t="n">
        <v>200</v>
      </c>
      <c r="I80" s="14"/>
      <c r="J80" s="12" t="n">
        <f aca="false">H80</f>
        <v>200</v>
      </c>
      <c r="K80" s="15"/>
      <c r="L80" s="2"/>
      <c r="M80" s="91" t="s">
        <v>88</v>
      </c>
      <c r="N80" s="92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89</v>
      </c>
      <c r="B81" s="94" t="n">
        <f aca="false">SUM(D64:D80)</f>
        <v>7878.75833333333</v>
      </c>
      <c r="C81" s="14"/>
      <c r="D81" s="14"/>
      <c r="E81" s="118"/>
      <c r="F81" s="2"/>
      <c r="G81" s="93" t="s">
        <v>89</v>
      </c>
      <c r="H81" s="94" t="n">
        <f aca="false">SUM(J64:J80)</f>
        <v>7143.675</v>
      </c>
      <c r="I81" s="14"/>
      <c r="J81" s="14"/>
      <c r="K81" s="15"/>
      <c r="L81" s="2"/>
      <c r="M81" s="93" t="s">
        <v>89</v>
      </c>
      <c r="N81" s="94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218.854398148148</v>
      </c>
      <c r="C82" s="14"/>
      <c r="D82" s="14"/>
      <c r="E82" s="118"/>
      <c r="F82" s="2"/>
      <c r="G82" s="6" t="s">
        <v>90</v>
      </c>
      <c r="H82" s="11" t="n">
        <f aca="false">H81/H29</f>
        <v>198.435416666667</v>
      </c>
      <c r="I82" s="14"/>
      <c r="J82" s="14"/>
      <c r="K82" s="15"/>
      <c r="L82" s="2"/>
      <c r="M82" s="6" t="s">
        <v>90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91</v>
      </c>
      <c r="B83" s="96" t="n">
        <f aca="false">H47</f>
        <v>702.765245773695</v>
      </c>
      <c r="C83" s="14"/>
      <c r="D83" s="14"/>
      <c r="E83" s="118" t="n">
        <f aca="false">B83+E80+E77+E64</f>
        <v>921.619643921843</v>
      </c>
      <c r="F83" s="2"/>
      <c r="G83" s="95" t="s">
        <v>91</v>
      </c>
      <c r="H83" s="96" t="n">
        <f aca="false">H47</f>
        <v>702.765245773695</v>
      </c>
      <c r="I83" s="14"/>
      <c r="J83" s="14"/>
      <c r="K83" s="15"/>
      <c r="L83" s="2"/>
      <c r="M83" s="95" t="s">
        <v>91</v>
      </c>
      <c r="N83" s="96" t="n">
        <f aca="false">H47</f>
        <v>702.765245773695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18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7" t="n">
        <f aca="false">((B83*H29)+B81)*1.2</f>
        <v>39813.9686174236</v>
      </c>
      <c r="C85" s="14"/>
      <c r="D85" s="14"/>
      <c r="E85" s="118" t="n">
        <f aca="false">B85/(B58+B57)</f>
        <v>1105.94357270621</v>
      </c>
      <c r="F85" s="2"/>
      <c r="G85" s="56" t="s">
        <v>92</v>
      </c>
      <c r="H85" s="97" t="n">
        <f aca="false">((H83*H29)+H81)*1.2</f>
        <v>38931.8686174236</v>
      </c>
      <c r="I85" s="14"/>
      <c r="J85" s="14"/>
      <c r="K85" s="15"/>
      <c r="L85" s="2"/>
      <c r="M85" s="56" t="s">
        <v>92</v>
      </c>
      <c r="N85" s="97" t="n">
        <f aca="false">((N83*H29)+N81)</f>
        <v>32099.473847853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((((B83*H29)+B81))/(1-B70))*B70</f>
        <v>281.058673176649</v>
      </c>
      <c r="C86" s="14"/>
      <c r="D86" s="14"/>
      <c r="E86" s="118" t="n">
        <f aca="false">B86/(B58+B57)</f>
        <v>7.80718536601803</v>
      </c>
      <c r="F86" s="2"/>
      <c r="G86" s="6" t="s">
        <v>93</v>
      </c>
      <c r="H86" s="11" t="n">
        <f aca="false">((((H83*H29)+H81))/(1-H70))*H70</f>
        <v>274.831666319045</v>
      </c>
      <c r="I86" s="14"/>
      <c r="J86" s="14"/>
      <c r="K86" s="15"/>
      <c r="L86" s="2"/>
      <c r="M86" s="6" t="s">
        <v>93</v>
      </c>
      <c r="N86" s="11" t="n">
        <f aca="false">(N85/(1-N70))*N70</f>
        <v>271.919705851115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IF(B110="YES",((B85+B86)-E114),(B85+B86))</f>
        <v>40095.0272906003</v>
      </c>
      <c r="C87" s="14"/>
      <c r="D87" s="14"/>
      <c r="E87" s="118" t="n">
        <f aca="false">E86+E85</f>
        <v>1113.75075807223</v>
      </c>
      <c r="F87" s="2"/>
      <c r="G87" s="63" t="s">
        <v>94</v>
      </c>
      <c r="H87" s="79" t="n">
        <f aca="false">IF(H110="YES",((H85+H86)-K114),(H85+H86))</f>
        <v>39206.7002837426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32371.3935537041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95</v>
      </c>
      <c r="B89" s="94" t="n">
        <f aca="false">IF(B99=Y98, (D40+(D40*B105))/(B58), (D40+(D40*B105))/(B57+B58))*1.2</f>
        <v>0</v>
      </c>
      <c r="C89" s="14"/>
      <c r="D89" s="14"/>
      <c r="E89" s="15"/>
      <c r="F89" s="2"/>
      <c r="G89" s="93" t="s">
        <v>95</v>
      </c>
      <c r="H89" s="94" t="n">
        <f aca="false">IF(H99=Y98, (D40+(D40*H105))/(H58), (D40+(D40*H105))/(H57+H58))*1.2</f>
        <v>0</v>
      </c>
      <c r="I89" s="14"/>
      <c r="J89" s="14"/>
      <c r="K89" s="15"/>
      <c r="L89" s="2"/>
      <c r="M89" s="93" t="s">
        <v>95</v>
      </c>
      <c r="N89" s="94" t="n">
        <f aca="false">IF(N99=Y98, (D40+(D40*N105))/(N58), (D40+(D40*N105))/(N57+N58))</f>
        <v>0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1113.75075807223</v>
      </c>
      <c r="C90" s="14"/>
      <c r="D90" s="14"/>
      <c r="E90" s="15"/>
      <c r="F90" s="2"/>
      <c r="G90" s="98" t="s">
        <v>96</v>
      </c>
      <c r="H90" s="99" t="n">
        <f aca="false">IF(H99=Y98, (H87-J105)/(H58), H87/(H57+H58))</f>
        <v>956.260982530309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789.546184236686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1113.75075807223</v>
      </c>
      <c r="C91" s="14"/>
      <c r="D91" s="14"/>
      <c r="E91" s="15"/>
      <c r="F91" s="2"/>
      <c r="G91" s="100" t="s">
        <v>97</v>
      </c>
      <c r="H91" s="101" t="n">
        <f aca="false">IF(G105="YES", H90+H89, H90)</f>
        <v>956.260982530309</v>
      </c>
      <c r="I91" s="14"/>
      <c r="J91" s="14"/>
      <c r="K91" s="15"/>
      <c r="L91" s="2"/>
      <c r="M91" s="100" t="s">
        <v>97</v>
      </c>
      <c r="N91" s="101" t="n">
        <f aca="false">IF(M105="YES", N90+N89, N90)</f>
        <v>789.546184236686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99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106</v>
      </c>
      <c r="C99" s="103"/>
      <c r="D99" s="54" t="n">
        <v>1000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26</v>
      </c>
      <c r="B105" s="105" t="n">
        <v>0</v>
      </c>
      <c r="C105" s="105"/>
      <c r="D105" s="54" t="s">
        <v>118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0</v>
      </c>
      <c r="E112" s="54" t="n">
        <v>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7" t="n">
        <f aca="false">D99</f>
        <v>1000</v>
      </c>
      <c r="F117" s="2"/>
      <c r="G117" s="56" t="s">
        <v>127</v>
      </c>
      <c r="H117" s="57"/>
      <c r="I117" s="57"/>
      <c r="J117" s="57"/>
      <c r="K117" s="97" t="n">
        <f aca="false">J99</f>
        <v>0</v>
      </c>
      <c r="L117" s="2"/>
      <c r="M117" s="56" t="s">
        <v>127</v>
      </c>
      <c r="N117" s="57"/>
      <c r="O117" s="57"/>
      <c r="P117" s="57"/>
      <c r="Q117" s="97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((E118/1.2)+E117)-(D115-E113)</f>
        <v>1166.65833333333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133</v>
      </c>
      <c r="B126" s="110" t="s">
        <v>134</v>
      </c>
      <c r="C126" s="110"/>
      <c r="D126" s="110" t="s">
        <v>135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1113.75075807223</v>
      </c>
      <c r="B127" s="112" t="n">
        <f aca="false">IF(A105="YES", B89*B57, 0)</f>
        <v>0</v>
      </c>
      <c r="C127" s="112"/>
      <c r="D127" s="113" t="n">
        <f aca="false">B91</f>
        <v>1113.75075807223</v>
      </c>
      <c r="E127" s="15"/>
      <c r="F127" s="2"/>
      <c r="G127" s="111" t="n">
        <f aca="false">H90</f>
        <v>956.260982530309</v>
      </c>
      <c r="H127" s="112" t="n">
        <f aca="false">IF(G105="YES", H89*H57, 0)</f>
        <v>0</v>
      </c>
      <c r="I127" s="112"/>
      <c r="J127" s="113" t="n">
        <f aca="false">H91</f>
        <v>956.260982530309</v>
      </c>
      <c r="K127" s="15"/>
      <c r="L127" s="2"/>
      <c r="M127" s="111" t="n">
        <f aca="false">N90</f>
        <v>789.546184236686</v>
      </c>
      <c r="N127" s="112" t="n">
        <f aca="false">IF(M105="YES", N89*N57, 0)</f>
        <v>0</v>
      </c>
      <c r="O127" s="112"/>
      <c r="P127" s="112" t="n">
        <f aca="false">N91</f>
        <v>789.546184236686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139</v>
      </c>
      <c r="B132" s="14" t="s">
        <v>140</v>
      </c>
      <c r="C132" s="14"/>
      <c r="D132" s="14" t="s">
        <v>141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10023.7568226501</v>
      </c>
      <c r="B133" s="48" t="n">
        <f aca="false">IF(A105="YES", B89*B57, 0)</f>
        <v>0</v>
      </c>
      <c r="C133" s="49"/>
      <c r="D133" s="50" t="n">
        <f aca="false">B91*B57</f>
        <v>10023.7568226501</v>
      </c>
      <c r="E133" s="15"/>
      <c r="F133" s="2"/>
      <c r="G133" s="47" t="n">
        <f aca="false">H90*H57</f>
        <v>5737.56589518185</v>
      </c>
      <c r="H133" s="48" t="n">
        <f aca="false">IF(G105="YES", H89*H57, 0)</f>
        <v>0</v>
      </c>
      <c r="I133" s="49"/>
      <c r="J133" s="50" t="n">
        <f aca="false">H91*H57</f>
        <v>5737.56589518185</v>
      </c>
      <c r="K133" s="15"/>
      <c r="L133" s="2"/>
      <c r="M133" s="47" t="n">
        <f aca="false">N90*N57</f>
        <v>4737.27710542012</v>
      </c>
      <c r="N133" s="48" t="n">
        <f aca="false">IF(M105="YES", N89*N57, 0)</f>
        <v>0</v>
      </c>
      <c r="O133" s="49"/>
      <c r="P133" s="50" t="n">
        <f aca="false">N91*N57</f>
        <v>4737.27710542012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145</v>
      </c>
      <c r="B135" s="14" t="s">
        <v>146</v>
      </c>
      <c r="C135" s="14"/>
      <c r="D135" s="14" t="s">
        <v>147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0.2994675</v>
      </c>
      <c r="B136" s="48" t="n">
        <f aca="false">IF(A105="YES", E15*0.000002, 0)</f>
        <v>0</v>
      </c>
      <c r="C136" s="48"/>
      <c r="D136" s="48" t="n">
        <f aca="false">A136+B136</f>
        <v>0.2994675</v>
      </c>
      <c r="E136" s="114"/>
      <c r="F136" s="2"/>
      <c r="G136" s="51" t="n">
        <f aca="false">E15*0.000006</f>
        <v>0.2994675</v>
      </c>
      <c r="H136" s="48" t="n">
        <f aca="false">IF(G105="YES", E15*0.000002, 0)</f>
        <v>0.0998225</v>
      </c>
      <c r="I136" s="48"/>
      <c r="J136" s="48" t="n">
        <f aca="false">G136+H136</f>
        <v>0.39929</v>
      </c>
      <c r="K136" s="114"/>
      <c r="L136" s="2"/>
      <c r="M136" s="51" t="n">
        <f aca="false">E15*0.000006</f>
        <v>0.2994675</v>
      </c>
      <c r="N136" s="48" t="n">
        <f aca="false">IF(M105="YES", E15*0.000002, 0)</f>
        <v>0.0998225</v>
      </c>
      <c r="O136" s="48"/>
      <c r="P136" s="48" t="n">
        <f aca="false">M136+N136</f>
        <v>0.39929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151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1064.74</v>
      </c>
      <c r="E142" s="114"/>
      <c r="F142" s="2"/>
      <c r="G142" s="51" t="e">
        <f aca="false">IF(G105="YES", ((B36*H105)*0.1)*(G130), 0)</f>
        <v>#VALUE!</v>
      </c>
      <c r="H142" s="48" t="n">
        <f aca="false">G102-100</f>
        <v>99.99</v>
      </c>
      <c r="I142" s="48"/>
      <c r="J142" s="48" t="e">
        <f aca="false">(H139+J139+G142+H142)-H145</f>
        <v>#VALUE!</v>
      </c>
      <c r="K142" s="114"/>
      <c r="L142" s="2"/>
      <c r="M142" s="51" t="e">
        <f aca="false">IF(M105="YES", ((B36*N105)*0.1)*(M130), 0)</f>
        <v>#VALUE!</v>
      </c>
      <c r="N142" s="48" t="n">
        <f aca="false">M102-100</f>
        <v>99.99</v>
      </c>
      <c r="O142" s="48"/>
      <c r="P142" s="48" t="e">
        <f aca="false">(N139+P139+M142+N142)-N145</f>
        <v>#VALUE!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e">
        <f aca="false">(H139+J139+G142+H142)*(G145/H64)</f>
        <v>#VALUE!</v>
      </c>
      <c r="I145" s="14"/>
      <c r="J145" s="14"/>
      <c r="K145" s="15"/>
      <c r="L145" s="2"/>
      <c r="M145" s="51" t="n">
        <v>0</v>
      </c>
      <c r="N145" s="48" t="e">
        <f aca="false">(N139+P139+M142+N142)*(M145/N64)</f>
        <v>#VALUE!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1113.75075807223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956.260982530309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789.546184236686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B91" activeCellId="0" sqref="B91"/>
    </sheetView>
  </sheetViews>
  <sheetFormatPr defaultColWidth="12.003906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1.87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50000.0</v>
      </c>
      <c r="C3" s="8" t="n">
        <v>0.0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5.0</v>
      </c>
      <c r="C4" s="0" t="n">
        <v>0.0</v>
      </c>
      <c r="D4" s="0" t="n">
        <v>5.0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2.0</v>
      </c>
      <c r="C5" s="8" t="n">
        <v>0.0</v>
      </c>
      <c r="D5" s="8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7028.1255</v>
      </c>
      <c r="C6" s="12" t="n">
        <f aca="false">(C3*C4/100)+C5</f>
        <v>0</v>
      </c>
      <c r="D6" s="12" t="n">
        <f aca="false">(D3*D4/100)+D5</f>
        <v>124.9995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39826.0445</v>
      </c>
      <c r="C7" s="12" t="n">
        <f aca="false">C3-C6</f>
        <v>0</v>
      </c>
      <c r="D7" s="12" t="n">
        <f aca="false">D3-D6</f>
        <v>708.3305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-238.005763414441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40534.375</v>
      </c>
      <c r="F9" s="2"/>
      <c r="G9" s="13" t="n">
        <f aca="false">E9-G11</f>
        <v>-111515.625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550.0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8216.875</v>
      </c>
      <c r="F11" s="2"/>
      <c r="G11" s="13" t="n">
        <f aca="false">G13/1.2</f>
        <v>152050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s">
        <v>190</v>
      </c>
      <c r="F13" s="2"/>
      <c r="G13" s="13" t="n">
        <f aca="false">G15-E14-E13-E12</f>
        <v>182460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55.0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49911.25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0.0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49911.25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191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37</v>
      </c>
      <c r="C30" s="37"/>
      <c r="D30" s="14"/>
      <c r="E30" s="15"/>
      <c r="F30" s="2"/>
      <c r="G30" s="33" t="s">
        <v>38</v>
      </c>
      <c r="H30" s="36" t="n">
        <v>10000.0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20000.0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0.0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702.765245773695</v>
      </c>
      <c r="E33" s="15"/>
      <c r="F33" s="2"/>
      <c r="G33" s="34" t="s">
        <v>44</v>
      </c>
      <c r="H33" s="44" t="n">
        <f aca="false">E21-E11+((E16*20%)+(E19*20%)+(E20*20%))</f>
        <v>41694.375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702.765245773695</v>
      </c>
      <c r="B36" s="48" t="n">
        <f aca="false">IF(B26="YES", H42, "")</f>
        <v>0</v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41694.375</v>
      </c>
      <c r="I39" s="53" t="n">
        <f aca="false">(I48*H46)+H44</f>
        <v>64443.3941780653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20000.0</v>
      </c>
      <c r="B40" s="54" t="str">
        <f aca="false">IF(B26="YES",H42,"0")</f>
        <v>0</v>
      </c>
      <c r="C40" s="54"/>
      <c r="D40" s="50" t="n">
        <f aca="false">I32</f>
        <v>0</v>
      </c>
      <c r="E40" s="15"/>
      <c r="F40" s="2"/>
      <c r="G40" s="2" t="s">
        <v>55</v>
      </c>
      <c r="H40" s="53" t="n">
        <f aca="false">(A40)/1.2</f>
        <v>22916.6666666667</v>
      </c>
      <c r="I40" s="53" t="n">
        <f aca="false">H39-I39</f>
        <v>-22749.0191780653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18764.9097705681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62</v>
      </c>
      <c r="B45" s="14"/>
      <c r="C45" s="62" t="s">
        <v>62</v>
      </c>
      <c r="D45" s="62"/>
      <c r="E45" s="15"/>
      <c r="F45" s="2"/>
      <c r="G45" s="2" t="s">
        <v>63</v>
      </c>
      <c r="H45" s="53" t="n">
        <f aca="false">(H39-H44)</f>
        <v>22929.4652294319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702.765245773695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702.765245773695</v>
      </c>
      <c r="I48" s="53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702.765245773695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4"/>
      <c r="D61" s="14"/>
      <c r="E61" s="15"/>
      <c r="F61" s="2"/>
      <c r="G61" s="6" t="s">
        <v>21</v>
      </c>
      <c r="H61" s="12" t="n">
        <f aca="false">G18</f>
        <v>57885</v>
      </c>
      <c r="I61" s="14"/>
      <c r="J61" s="14"/>
      <c r="K61" s="15"/>
      <c r="L61" s="2"/>
      <c r="M61" s="6" t="s">
        <v>21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B62+(B62*0.25*((H29/12)-1))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6077.925</v>
      </c>
      <c r="C64" s="119"/>
      <c r="D64" s="12" t="n">
        <f aca="false">B64</f>
        <v>6077.925</v>
      </c>
      <c r="E64" s="118" t="n">
        <f aca="false">D64/(B58+B57)</f>
        <v>168.83125</v>
      </c>
      <c r="F64" s="2"/>
      <c r="G64" s="63" t="s">
        <v>72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72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2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20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</f>
        <v>1157.7</v>
      </c>
      <c r="C67" s="121"/>
      <c r="D67" s="122"/>
      <c r="E67" s="15"/>
      <c r="F67" s="2"/>
      <c r="G67" s="63" t="s">
        <v>75</v>
      </c>
      <c r="H67" s="79" t="n">
        <f aca="false">(H61*H66)/1.2</f>
        <v>964.75</v>
      </c>
      <c r="I67" s="14"/>
      <c r="J67" s="12"/>
      <c r="K67" s="15"/>
      <c r="L67" s="2"/>
      <c r="M67" s="63" t="s">
        <v>75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23"/>
      <c r="D68" s="12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200.0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5.0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165.0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v>355.0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1020.83333333333</v>
      </c>
      <c r="C76" s="14"/>
      <c r="D76" s="12" t="n">
        <f aca="false">B76</f>
        <v>1020.83333333333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83" t="n">
        <v>0.0</v>
      </c>
      <c r="C77" s="124"/>
      <c r="D77" s="12" t="n">
        <f aca="false">B77</f>
        <v>0</v>
      </c>
      <c r="E77" s="118" t="n">
        <f aca="false">D77/(B58+B57)</f>
        <v>0</v>
      </c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f aca="false">D102/(1-0.1)</f>
        <v>0</v>
      </c>
      <c r="C78" s="124"/>
      <c r="D78" s="12" t="n">
        <f aca="false">B78</f>
        <v>0</v>
      </c>
      <c r="E78" s="118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200.0</v>
      </c>
      <c r="C79" s="124"/>
      <c r="D79" s="12" t="n">
        <f aca="false">B79</f>
        <v>200</v>
      </c>
      <c r="E79" s="118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88</v>
      </c>
      <c r="B80" s="92" t="n">
        <v>200.0</v>
      </c>
      <c r="C80" s="124"/>
      <c r="D80" s="12" t="n">
        <f aca="false">B80</f>
        <v>200</v>
      </c>
      <c r="E80" s="118" t="n">
        <f aca="false">(D73+D76+D79+D80)/(B58+B57)</f>
        <v>50.0231481481482</v>
      </c>
      <c r="F80" s="2"/>
      <c r="G80" s="91" t="s">
        <v>88</v>
      </c>
      <c r="H80" s="92" t="n">
        <v>200</v>
      </c>
      <c r="I80" s="14"/>
      <c r="J80" s="12" t="n">
        <f aca="false">H80</f>
        <v>200</v>
      </c>
      <c r="K80" s="15"/>
      <c r="L80" s="2"/>
      <c r="M80" s="91" t="s">
        <v>88</v>
      </c>
      <c r="N80" s="92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89</v>
      </c>
      <c r="B81" s="94" t="n">
        <f aca="false">SUM(D64:D80)</f>
        <v>7878.75833333333</v>
      </c>
      <c r="C81" s="124"/>
      <c r="D81" s="125"/>
      <c r="E81" s="118"/>
      <c r="F81" s="2"/>
      <c r="G81" s="93" t="s">
        <v>89</v>
      </c>
      <c r="H81" s="94" t="n">
        <f aca="false">SUM(J64:J80)</f>
        <v>7143.675</v>
      </c>
      <c r="I81" s="14"/>
      <c r="J81" s="14"/>
      <c r="K81" s="15"/>
      <c r="L81" s="2"/>
      <c r="M81" s="93" t="s">
        <v>89</v>
      </c>
      <c r="N81" s="94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218.854398148148</v>
      </c>
      <c r="C82" s="124"/>
      <c r="D82" s="14"/>
      <c r="E82" s="118"/>
      <c r="F82" s="2"/>
      <c r="G82" s="6" t="s">
        <v>90</v>
      </c>
      <c r="H82" s="11" t="n">
        <f aca="false">H81/H29</f>
        <v>198.435416666667</v>
      </c>
      <c r="I82" s="14"/>
      <c r="J82" s="14"/>
      <c r="K82" s="15"/>
      <c r="L82" s="2"/>
      <c r="M82" s="6" t="s">
        <v>90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91</v>
      </c>
      <c r="B83" s="96" t="n">
        <f aca="false">H47</f>
        <v>702.765245773695</v>
      </c>
      <c r="C83" s="124"/>
      <c r="D83" s="14"/>
      <c r="E83" s="118" t="n">
        <f aca="false">B83+E80+E77+E64</f>
        <v>921.619643921843</v>
      </c>
      <c r="F83" s="2"/>
      <c r="G83" s="95" t="s">
        <v>91</v>
      </c>
      <c r="H83" s="96" t="n">
        <f aca="false">H47</f>
        <v>702.765245773695</v>
      </c>
      <c r="I83" s="14"/>
      <c r="J83" s="14"/>
      <c r="K83" s="15"/>
      <c r="L83" s="2"/>
      <c r="M83" s="95" t="s">
        <v>91</v>
      </c>
      <c r="N83" s="96" t="n">
        <f aca="false">H47</f>
        <v>702.765245773695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24"/>
      <c r="D84" s="124"/>
      <c r="E84" s="118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7" t="n">
        <f aca="false">((B83*H29)+B81)</f>
        <v>33178.3071811863</v>
      </c>
      <c r="C85" s="124"/>
      <c r="D85" s="124"/>
      <c r="E85" s="118" t="n">
        <f aca="false">B85/(B58+B57)</f>
        <v>921.619643921843</v>
      </c>
      <c r="F85" s="2"/>
      <c r="G85" s="56" t="s">
        <v>92</v>
      </c>
      <c r="H85" s="97" t="n">
        <f aca="false">((H83*H29)+H81)*1.2</f>
        <v>38931.8686174236</v>
      </c>
      <c r="I85" s="14"/>
      <c r="J85" s="14"/>
      <c r="K85" s="15"/>
      <c r="L85" s="2"/>
      <c r="M85" s="56" t="s">
        <v>92</v>
      </c>
      <c r="N85" s="97" t="n">
        <f aca="false">((N83*H29)+N81)</f>
        <v>32099.473847853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(((B83*H29)+B81)/(1-B70))*B70</f>
        <v>281.058673176649</v>
      </c>
      <c r="C86" s="124"/>
      <c r="D86" s="14"/>
      <c r="E86" s="118" t="n">
        <f aca="false">B86/(B58+B57)</f>
        <v>7.80718536601803</v>
      </c>
      <c r="F86" s="2"/>
      <c r="G86" s="6" t="s">
        <v>93</v>
      </c>
      <c r="H86" s="11" t="n">
        <f aca="false">((((H83*H29)+H81))/(1-H70))*H70</f>
        <v>274.831666319045</v>
      </c>
      <c r="I86" s="14"/>
      <c r="J86" s="14"/>
      <c r="K86" s="15"/>
      <c r="L86" s="2"/>
      <c r="M86" s="6" t="s">
        <v>93</v>
      </c>
      <c r="N86" s="11" t="n">
        <f aca="false">(N85/(1-N70))*N70</f>
        <v>271.919705851115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IF(B110="YES",((B85+B86)-E114),((B85+B86)))</f>
        <v>33459.365854363</v>
      </c>
      <c r="C87" s="124"/>
      <c r="D87" s="126"/>
      <c r="E87" s="118" t="n">
        <f aca="false">E86+E85</f>
        <v>929.426829287861</v>
      </c>
      <c r="F87" s="2"/>
      <c r="G87" s="63" t="s">
        <v>94</v>
      </c>
      <c r="H87" s="79" t="n">
        <f aca="false">IF(H110="YES",((H85+H86)-K114),(H85+H86))</f>
        <v>39206.7002837426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32371.3935537041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24"/>
      <c r="D88" s="14"/>
      <c r="E88" s="118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95</v>
      </c>
      <c r="B89" s="94" t="n">
        <f aca="false">IF(B99=Y98, (I32+(I32*B105))/(B58), (I32+(I32*B105))/(B57+B58))</f>
        <v>0</v>
      </c>
      <c r="C89" s="124"/>
      <c r="D89" s="14"/>
      <c r="E89" s="15"/>
      <c r="F89" s="2"/>
      <c r="G89" s="93" t="s">
        <v>95</v>
      </c>
      <c r="H89" s="94" t="n">
        <f aca="false">IF(H99=Y98, (D40+(D40*H105))/(H58), (D40+(D40*H105))/(H57+H58))*1.2</f>
        <v>0</v>
      </c>
      <c r="I89" s="14"/>
      <c r="J89" s="14"/>
      <c r="K89" s="15"/>
      <c r="L89" s="2"/>
      <c r="M89" s="93" t="s">
        <v>95</v>
      </c>
      <c r="N89" s="94" t="n">
        <f aca="false">IF(N99=Y98, (D40+(D40*N105))/(N58), (D40+(D40*N105))/(N57+N58))</f>
        <v>0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929.426829287861</v>
      </c>
      <c r="C90" s="124"/>
      <c r="D90" s="14"/>
      <c r="E90" s="127"/>
      <c r="F90" s="2"/>
      <c r="G90" s="98" t="s">
        <v>96</v>
      </c>
      <c r="H90" s="99" t="n">
        <f aca="false">IF(H99=Y98, (H87-J105)/(H58), H87/(H57+H58))</f>
        <v>956.260982530309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789.546184236686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929.426829287861</v>
      </c>
      <c r="C91" s="124"/>
      <c r="D91" s="128"/>
      <c r="E91" s="129"/>
      <c r="F91" s="2"/>
      <c r="G91" s="100" t="s">
        <v>97</v>
      </c>
      <c r="H91" s="101" t="n">
        <f aca="false">IF(G105="YES", H90+H89, H90)</f>
        <v>956.260982530309</v>
      </c>
      <c r="I91" s="14"/>
      <c r="J91" s="14"/>
      <c r="K91" s="15"/>
      <c r="L91" s="2"/>
      <c r="M91" s="100" t="s">
        <v>97</v>
      </c>
      <c r="N91" s="101" t="n">
        <f aca="false">IF(M105="YES", N90+N89, N90)</f>
        <v>789.546184236686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130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160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 t="s">
        <v>161</v>
      </c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1"/>
      <c r="C97" s="131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101</v>
      </c>
      <c r="C99" s="103"/>
      <c r="D99" s="54" t="n">
        <v>1000.0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162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0.0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191</v>
      </c>
      <c r="B105" s="105" t="n">
        <v>0.0</v>
      </c>
      <c r="C105" s="105"/>
      <c r="D105" s="54" t="n">
        <v>200.0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191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0</v>
      </c>
      <c r="E112" s="54" t="n">
        <v>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7" t="n">
        <v>1000</v>
      </c>
      <c r="F117" s="2"/>
      <c r="G117" s="56" t="s">
        <v>127</v>
      </c>
      <c r="H117" s="57"/>
      <c r="I117" s="57"/>
      <c r="J117" s="57"/>
      <c r="K117" s="97" t="n">
        <f aca="false">J99</f>
        <v>0</v>
      </c>
      <c r="L117" s="2"/>
      <c r="M117" s="56" t="s">
        <v>127</v>
      </c>
      <c r="N117" s="57"/>
      <c r="O117" s="57"/>
      <c r="P117" s="57"/>
      <c r="Q117" s="97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IF(B110="YES",((E118*1.2)+E117)-E114,((E118*1.2)+E117))</f>
        <v>1239.988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132" t="n">
        <v>0.0</v>
      </c>
      <c r="C124" s="132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131</v>
      </c>
      <c r="B126" s="110" t="s">
        <v>132</v>
      </c>
      <c r="C126" s="110"/>
      <c r="D126" s="110" t="s">
        <v>97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929.426829287861</v>
      </c>
      <c r="B127" s="112" t="n">
        <f aca="false">IF(A105="YES", B89*B57, 0)</f>
        <v>0</v>
      </c>
      <c r="C127" s="112"/>
      <c r="D127" s="112" t="n">
        <f aca="false">B91</f>
        <v>929.426829287861</v>
      </c>
      <c r="E127" s="15"/>
      <c r="F127" s="2"/>
      <c r="G127" s="111" t="n">
        <f aca="false">H90</f>
        <v>956.260982530309</v>
      </c>
      <c r="H127" s="112" t="n">
        <f aca="false">IF(G105="YES", H89*H57, 0)</f>
        <v>0</v>
      </c>
      <c r="I127" s="112"/>
      <c r="J127" s="113" t="n">
        <f aca="false">H91</f>
        <v>956.260982530309</v>
      </c>
      <c r="K127" s="15"/>
      <c r="L127" s="2"/>
      <c r="M127" s="111" t="n">
        <f aca="false">N90</f>
        <v>789.546184236686</v>
      </c>
      <c r="N127" s="112" t="n">
        <f aca="false">IF(M105="YES", N89*N57, 0)</f>
        <v>0</v>
      </c>
      <c r="O127" s="112"/>
      <c r="P127" s="112" t="n">
        <f aca="false">N91</f>
        <v>789.546184236686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8364.84146359075</v>
      </c>
      <c r="B133" s="48" t="n">
        <f aca="false">IF(A105="YES", B89*B57, 0)</f>
        <v>0</v>
      </c>
      <c r="C133" s="49"/>
      <c r="D133" s="50" t="n">
        <f aca="false">B91*B57</f>
        <v>8364.84146359075</v>
      </c>
      <c r="E133" s="15"/>
      <c r="F133" s="2"/>
      <c r="G133" s="47" t="n">
        <f aca="false">H90*H57</f>
        <v>5737.56589518185</v>
      </c>
      <c r="H133" s="48" t="n">
        <f aca="false">IF(G105="YES", H89*H57, 0)</f>
        <v>0</v>
      </c>
      <c r="I133" s="49"/>
      <c r="J133" s="50" t="n">
        <f aca="false">H91*H57</f>
        <v>5737.56589518185</v>
      </c>
      <c r="K133" s="15"/>
      <c r="L133" s="2"/>
      <c r="M133" s="47" t="n">
        <f aca="false">N90*N57</f>
        <v>4737.27710542012</v>
      </c>
      <c r="N133" s="48" t="n">
        <f aca="false">IF(M105="YES", N89*N57, 0)</f>
        <v>0</v>
      </c>
      <c r="O133" s="49"/>
      <c r="P133" s="50" t="n">
        <f aca="false">N91*N57</f>
        <v>4737.27710542012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3" t="n">
        <f aca="false">E15*0.000006</f>
        <v>0.2994675</v>
      </c>
      <c r="B136" s="134" t="n">
        <f aca="false">IF(A105="YES", E15*0.000002, 0)</f>
        <v>0.0998225</v>
      </c>
      <c r="C136" s="48"/>
      <c r="D136" s="134" t="n">
        <f aca="false">A136+B136</f>
        <v>0.39929</v>
      </c>
      <c r="E136" s="114"/>
      <c r="F136" s="2"/>
      <c r="G136" s="51" t="n">
        <f aca="false">E15*0.000006</f>
        <v>0.2994675</v>
      </c>
      <c r="H136" s="48" t="n">
        <f aca="false">IF(G105="YES", E15*0.000002, 0)</f>
        <v>0.0998225</v>
      </c>
      <c r="I136" s="48"/>
      <c r="J136" s="48" t="n">
        <f aca="false">G136+H136</f>
        <v>0.39929</v>
      </c>
      <c r="K136" s="114"/>
      <c r="L136" s="2"/>
      <c r="M136" s="51" t="n">
        <f aca="false">E15*0.000006</f>
        <v>0.2994675</v>
      </c>
      <c r="N136" s="48" t="n">
        <f aca="false">IF(M105="YES", E15*0.000002, 0)</f>
        <v>0.0998225</v>
      </c>
      <c r="O136" s="48"/>
      <c r="P136" s="48" t="n">
        <f aca="false">M136+N136</f>
        <v>0.39929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1157.7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1257.69</v>
      </c>
      <c r="E142" s="114"/>
      <c r="F142" s="2"/>
      <c r="G142" s="51" t="n">
        <f aca="false">IF(G105="YES", ((B36*H105)*0.1)*(G130), 0)</f>
        <v>0</v>
      </c>
      <c r="H142" s="48" t="n">
        <f aca="false">G102-100</f>
        <v>99.99</v>
      </c>
      <c r="I142" s="48"/>
      <c r="J142" s="48" t="n">
        <f aca="false">(H139+J139+G142+H142)-H145</f>
        <v>1064.74</v>
      </c>
      <c r="K142" s="114"/>
      <c r="L142" s="2"/>
      <c r="M142" s="51" t="n">
        <f aca="false">IF(M105="YES", ((B36*N105)*0.1)*(M130), 0)</f>
        <v>0</v>
      </c>
      <c r="N142" s="48" t="n">
        <f aca="false">M102-100</f>
        <v>99.99</v>
      </c>
      <c r="O142" s="48"/>
      <c r="P142" s="48" t="n">
        <f aca="false">(N139+P139+M142+N142)-N145</f>
        <v>1064.74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n">
        <f aca="false">(H139+J139+G142+H142)*(G145/H64)</f>
        <v>0</v>
      </c>
      <c r="I145" s="14"/>
      <c r="J145" s="14"/>
      <c r="K145" s="15"/>
      <c r="L145" s="2"/>
      <c r="M145" s="51" t="n">
        <v>0</v>
      </c>
      <c r="N145" s="48" t="n">
        <f aca="false">(N139+P139+M142+N142)*(M145/N64)</f>
        <v>0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929.426829287861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956.260982530309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789.546184236686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0" activeCellId="0" sqref="G20"/>
    </sheetView>
  </sheetViews>
  <sheetFormatPr defaultColWidth="12.00390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1.87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138500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5" t="n">
        <v>0</v>
      </c>
      <c r="C4" s="135" t="n">
        <v>0</v>
      </c>
      <c r="D4" s="135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138500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6" t="n">
        <f aca="false">B7+C7+D7+E3</f>
        <v>138500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27700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2245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137" t="n">
        <f aca="false">(E9+E10+E13+E14+E11)-E12</f>
        <v>168500</v>
      </c>
      <c r="F15" s="2"/>
      <c r="G15" s="21" t="n">
        <f aca="false">E15</f>
        <v>168500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166200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168500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true" outlineLevel="0" collapsed="false">
      <c r="A24" s="30" t="s">
        <v>163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164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54</v>
      </c>
      <c r="H27" s="34" t="n">
        <f aca="false">IF(A32=Y103,1,IF(A32=Y104,1,IF(A32=Y105,3,IF(A32=Y106,6,IF(A32=Y107,9,IF(A32=Y108,12,IF(A32=Y109,3,IF(A32=Y110,6,IF(A32=Y111,9,0)))))))))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165</v>
      </c>
      <c r="B28" s="49" t="s">
        <v>166</v>
      </c>
      <c r="C28" s="14"/>
      <c r="D28" s="49" t="s">
        <v>167</v>
      </c>
      <c r="E28" s="15"/>
      <c r="F28" s="2"/>
      <c r="G28" s="34" t="s">
        <v>69</v>
      </c>
      <c r="H28" s="34" t="n">
        <f aca="false">IF(A32=Y103,H29-H37,IF(A32=Y104,H29-H37,IF(A32=Y105,H29-1,IF(A32=Y106,H29-1,IF(A32=Y107,H29-1,IF(A32=Y108,H29-1,IF(A32=Y109,H29-H37,IF(A32=Y110,H29-H37,IF(A32=Y111,H29-H37,0)))))))))</f>
        <v>33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168</v>
      </c>
      <c r="B29" s="138" t="n">
        <v>12345</v>
      </c>
      <c r="C29" s="138"/>
      <c r="D29" s="139" t="n">
        <f aca="true">TODAY()+1</f>
        <v>44869</v>
      </c>
      <c r="E29" s="139"/>
      <c r="F29" s="2"/>
      <c r="G29" s="33" t="s">
        <v>35</v>
      </c>
      <c r="H29" s="33" t="n">
        <f aca="false">B35</f>
        <v>33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0"/>
      <c r="C30" s="140"/>
      <c r="D30" s="14"/>
      <c r="E30" s="15"/>
      <c r="F30" s="2"/>
      <c r="G30" s="33" t="s">
        <v>38</v>
      </c>
      <c r="H30" s="33" t="n">
        <f aca="false">D35</f>
        <v>11000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30</v>
      </c>
      <c r="B31" s="49" t="s">
        <v>169</v>
      </c>
      <c r="C31" s="14"/>
      <c r="D31" s="49" t="s">
        <v>137</v>
      </c>
      <c r="E31" s="15"/>
      <c r="F31" s="2"/>
      <c r="G31" s="33" t="s">
        <v>170</v>
      </c>
      <c r="H31" s="141" t="n">
        <f aca="false">D38</f>
        <v>50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101</v>
      </c>
      <c r="B32" s="142" t="n">
        <v>0</v>
      </c>
      <c r="C32" s="142"/>
      <c r="D32" s="142" t="n">
        <v>0</v>
      </c>
      <c r="E32" s="142"/>
      <c r="F32" s="2"/>
      <c r="G32" s="143" t="s">
        <v>171</v>
      </c>
      <c r="H32" s="141" t="n">
        <f aca="false">A41</f>
        <v>22.73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4"/>
      <c r="E33" s="15"/>
      <c r="F33" s="2"/>
      <c r="G33" s="143" t="s">
        <v>172</v>
      </c>
      <c r="H33" s="141" t="n">
        <f aca="false">D41</f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138</v>
      </c>
      <c r="B34" s="145" t="s">
        <v>173</v>
      </c>
      <c r="C34" s="42"/>
      <c r="D34" s="146" t="s">
        <v>174</v>
      </c>
      <c r="E34" s="15"/>
      <c r="F34" s="2"/>
      <c r="G34" s="143" t="s">
        <v>175</v>
      </c>
      <c r="H34" s="141" t="n">
        <f aca="false">A44</f>
        <v>50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2" t="n">
        <f aca="false">B32+D32</f>
        <v>0</v>
      </c>
      <c r="B35" s="138" t="n">
        <v>33</v>
      </c>
      <c r="C35" s="138"/>
      <c r="D35" s="138" t="n">
        <v>11000</v>
      </c>
      <c r="E35" s="138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176</v>
      </c>
      <c r="B37" s="49" t="s">
        <v>177</v>
      </c>
      <c r="C37" s="14"/>
      <c r="D37" s="49" t="s">
        <v>178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7" t="n">
        <f aca="false">(B35/12)*D35</f>
        <v>30250</v>
      </c>
      <c r="B38" s="138" t="s">
        <v>25</v>
      </c>
      <c r="C38" s="138"/>
      <c r="D38" s="148" t="n">
        <v>50</v>
      </c>
      <c r="E38" s="148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49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0" t="s">
        <v>132</v>
      </c>
      <c r="B40" s="151" t="s">
        <v>97</v>
      </c>
      <c r="C40" s="42"/>
      <c r="D40" s="50" t="s">
        <v>179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8" t="n">
        <v>22.73</v>
      </c>
      <c r="B41" s="152" t="n">
        <f aca="false">IF(B38="YES", D38+A41, D38)</f>
        <v>72.73</v>
      </c>
      <c r="C41" s="152"/>
      <c r="D41" s="148" t="n">
        <v>0</v>
      </c>
      <c r="E41" s="148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49"/>
      <c r="B42" s="42"/>
      <c r="C42" s="42"/>
      <c r="D42" s="42"/>
      <c r="E42" s="153"/>
      <c r="F42" s="2"/>
      <c r="G42" s="52" t="s">
        <v>50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0" t="s">
        <v>148</v>
      </c>
      <c r="B43" s="151" t="s">
        <v>142</v>
      </c>
      <c r="C43" s="42"/>
      <c r="D43" s="151" t="s">
        <v>143</v>
      </c>
      <c r="E43" s="153"/>
      <c r="F43" s="2"/>
      <c r="G43" s="2" t="s">
        <v>180</v>
      </c>
      <c r="H43" s="53" t="n">
        <f aca="false">((((D38*(B35-1))+B32)/B35) + (A44/B35))+A44/H29</f>
        <v>51.5151515151515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8" t="n">
        <v>50</v>
      </c>
      <c r="B44" s="148" t="n">
        <v>50</v>
      </c>
      <c r="C44" s="148"/>
      <c r="D44" s="148" t="n">
        <v>0</v>
      </c>
      <c r="E44" s="148"/>
      <c r="F44" s="2"/>
      <c r="G44" s="2" t="s">
        <v>181</v>
      </c>
      <c r="H44" s="53" t="n">
        <f aca="false">H32</f>
        <v>22.73</v>
      </c>
      <c r="I44" s="154" t="n">
        <f aca="false">((A41*(B35-1))+D32)/B35</f>
        <v>22.0412121212121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49"/>
      <c r="B45" s="42"/>
      <c r="C45" s="42"/>
      <c r="D45" s="42"/>
      <c r="E45" s="153"/>
      <c r="F45" s="2"/>
      <c r="G45" s="2" t="s">
        <v>182</v>
      </c>
      <c r="H45" s="155" t="n">
        <f aca="false">H43+H44</f>
        <v>74.2451515151515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0" t="s">
        <v>144</v>
      </c>
      <c r="B46" s="151" t="s">
        <v>183</v>
      </c>
      <c r="C46" s="42"/>
      <c r="D46" s="151" t="s">
        <v>184</v>
      </c>
      <c r="E46" s="153"/>
      <c r="F46" s="2"/>
      <c r="G46" s="2" t="s">
        <v>185</v>
      </c>
      <c r="H46" s="53" t="n">
        <f aca="false">H43</f>
        <v>51.5151515151515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56" t="n">
        <v>0</v>
      </c>
      <c r="B47" s="157" t="n">
        <v>0.99</v>
      </c>
      <c r="C47" s="157"/>
      <c r="D47" s="148" t="n">
        <v>0</v>
      </c>
      <c r="E47" s="148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149"/>
      <c r="B48" s="42"/>
      <c r="C48" s="42"/>
      <c r="D48" s="42"/>
      <c r="E48" s="153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149" t="s">
        <v>186</v>
      </c>
      <c r="B49" s="42"/>
      <c r="C49" s="42"/>
      <c r="D49" s="42"/>
      <c r="E49" s="153"/>
      <c r="F49" s="2"/>
      <c r="G49" s="2"/>
      <c r="H49" s="53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32" t="s">
        <v>26</v>
      </c>
      <c r="B50" s="42"/>
      <c r="C50" s="42"/>
      <c r="D50" s="42"/>
      <c r="E50" s="153"/>
      <c r="F50" s="2"/>
      <c r="G50" s="2"/>
      <c r="H50" s="53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149"/>
      <c r="B51" s="42"/>
      <c r="C51" s="42"/>
      <c r="D51" s="42"/>
      <c r="E51" s="153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158" t="s">
        <v>187</v>
      </c>
      <c r="B52" s="42"/>
      <c r="C52" s="42"/>
      <c r="D52" s="42"/>
      <c r="E52" s="153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149"/>
      <c r="B53" s="42"/>
      <c r="C53" s="42"/>
      <c r="D53" s="42"/>
      <c r="E53" s="153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66</v>
      </c>
      <c r="B54" s="14"/>
      <c r="C54" s="14"/>
      <c r="D54" s="67"/>
      <c r="E54" s="68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0"/>
      <c r="C55" s="70"/>
      <c r="D55" s="14"/>
      <c r="E55" s="15"/>
      <c r="F55" s="2"/>
      <c r="G55" s="2"/>
      <c r="H55" s="71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2" t="s">
        <v>40</v>
      </c>
      <c r="B56" s="73" t="s">
        <v>41</v>
      </c>
      <c r="C56" s="73"/>
      <c r="D56" s="14"/>
      <c r="E56" s="15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2"/>
      <c r="B57" s="74" t="n">
        <f aca="false">H30</f>
        <v>11000</v>
      </c>
      <c r="C57" s="74"/>
      <c r="D57" s="14"/>
      <c r="E57" s="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5" t="n">
        <f aca="false">H29</f>
        <v>33</v>
      </c>
      <c r="B58" s="76" t="n">
        <f aca="false">H45</f>
        <v>74.2451515151515</v>
      </c>
      <c r="C58" s="76"/>
      <c r="D58" s="14"/>
      <c r="E58" s="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3"/>
      <c r="B60" s="64"/>
      <c r="C60" s="64"/>
      <c r="D60" s="64"/>
      <c r="E60" s="6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4"/>
      <c r="B61" s="14"/>
      <c r="C61" s="14"/>
      <c r="D61" s="14"/>
      <c r="E61" s="14"/>
      <c r="F61" s="2"/>
      <c r="G61" s="14"/>
      <c r="H61" s="14"/>
      <c r="I61" s="14"/>
      <c r="J61" s="14"/>
      <c r="K61" s="14"/>
      <c r="L61" s="2"/>
      <c r="M61" s="14"/>
      <c r="N61" s="14"/>
      <c r="O61" s="14"/>
      <c r="P61" s="14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56"/>
      <c r="B62" s="57"/>
      <c r="C62" s="57"/>
      <c r="D62" s="57"/>
      <c r="E62" s="58"/>
      <c r="F62" s="2"/>
      <c r="G62" s="56"/>
      <c r="H62" s="57"/>
      <c r="I62" s="57"/>
      <c r="J62" s="57"/>
      <c r="K62" s="58"/>
      <c r="L62" s="2"/>
      <c r="M62" s="56"/>
      <c r="N62" s="57"/>
      <c r="O62" s="57"/>
      <c r="P62" s="57"/>
      <c r="Q62" s="58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54</v>
      </c>
      <c r="B63" s="14" t="n">
        <f aca="false">IF(B105=Y103,1,IF(B105=Y104,1,IF(B105=Y105,3,IF(B105=Y106,6,IF(B105=Y107,9,IF(B105=Y108,12,IF(B105=Y109,3,IF(B105=Y110,6,IF(B105=Y111,9,0)))))))))</f>
        <v>1</v>
      </c>
      <c r="C63" s="14"/>
      <c r="D63" s="14"/>
      <c r="E63" s="15"/>
      <c r="F63" s="2"/>
      <c r="G63" s="6" t="s">
        <v>54</v>
      </c>
      <c r="H63" s="14" t="n">
        <f aca="false">IF(H105=Y103,1,IF(H105=Y104,1,IF(H105=Y105,3,IF(H105=Y106,6,IF(H105=Y107,9,IF(H105=Y108,12,IF(H105=Y109,3,IF(H105=Y110,6,IF(H105=Y111,9,0)))))))))</f>
        <v>3</v>
      </c>
      <c r="I63" s="14"/>
      <c r="J63" s="14"/>
      <c r="K63" s="15"/>
      <c r="L63" s="2"/>
      <c r="M63" s="6" t="s">
        <v>54</v>
      </c>
      <c r="N63" s="14" t="n">
        <f aca="false">IF(N105=Y103,1,IF(N105=Y104,1,IF(N105=Y105,3,IF(N105=Y106,6,IF(N105=Y107,9,IF(N105=Y108,12,IF(N105=Y109,3,IF(N105=Y110,6,IF(N105=Y111,9,0)))))))))</f>
        <v>12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69</v>
      </c>
      <c r="B64" s="14" t="n">
        <f aca="false">IF(B105=Y103,H29-B63,IF(B105=Y104,H29-B63,IF(B105=Y105,H29-1,IF(B105=Y106,H29-1,IF(B105=Y107,H29-1,IF(B105=Y108,H29-1,IF(B105=Y109,H29-B63,IF(B105=Y110,H29-B63,IF(B105=Y111,H29-B63,0)))))))))</f>
        <v>32</v>
      </c>
      <c r="C64" s="14"/>
      <c r="D64" s="14"/>
      <c r="E64" s="15"/>
      <c r="F64" s="2"/>
      <c r="G64" s="6" t="s">
        <v>69</v>
      </c>
      <c r="H64" s="14" t="n">
        <f aca="false">IF(H105=Y103,H29-H63,IF(H105=Y104,H29-H63,IF(H105=Y105,H29-1,IF(H105=Y106,H29-1,IF(H105=Y107,H29-1,IF(H105=Y108,H29-1,IF(H105=Y109,H29-H63,IF(H105=Y110,H29-H63,IF(H105=Y111,H29-H63,0)))))))))</f>
        <v>30</v>
      </c>
      <c r="I64" s="14"/>
      <c r="J64" s="14"/>
      <c r="K64" s="15"/>
      <c r="L64" s="2"/>
      <c r="M64" s="6" t="s">
        <v>69</v>
      </c>
      <c r="N64" s="14" t="n">
        <f aca="false">IF(N105=Y103,H29-N63,IF(N105=Y104,H29-N63,IF(N105=Y105,H29-1,IF(N105=Y106,H29-1,IF(N105=Y107,H29-1,IF(N105=Y108,H29-1,IF(N105=Y109,H29-N63,IF(N105=Y110,H29-N63,IF(N105=Y111,H29-N63,0)))))))))</f>
        <v>32</v>
      </c>
      <c r="O64" s="14"/>
      <c r="P64" s="14"/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4"/>
      <c r="C65" s="14"/>
      <c r="D65" s="14"/>
      <c r="E65" s="15"/>
      <c r="F65" s="2"/>
      <c r="G65" s="6"/>
      <c r="H65" s="14"/>
      <c r="I65" s="14"/>
      <c r="J65" s="14"/>
      <c r="K65" s="15"/>
      <c r="L65" s="2"/>
      <c r="M65" s="6"/>
      <c r="N65" s="14"/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4"/>
      <c r="C66" s="14"/>
      <c r="D66" s="14"/>
      <c r="E66" s="15"/>
      <c r="F66" s="2"/>
      <c r="G66" s="6"/>
      <c r="H66" s="14"/>
      <c r="I66" s="14"/>
      <c r="J66" s="14"/>
      <c r="K66" s="15"/>
      <c r="L66" s="2"/>
      <c r="M66" s="6"/>
      <c r="N66" s="14"/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166200</v>
      </c>
      <c r="C67" s="14"/>
      <c r="D67" s="14"/>
      <c r="E67" s="15"/>
      <c r="F67" s="2"/>
      <c r="G67" s="6" t="s">
        <v>21</v>
      </c>
      <c r="H67" s="12" t="n">
        <f aca="false">G18</f>
        <v>166200</v>
      </c>
      <c r="I67" s="14"/>
      <c r="J67" s="14"/>
      <c r="K67" s="15"/>
      <c r="L67" s="2"/>
      <c r="M67" s="6" t="s">
        <v>21</v>
      </c>
      <c r="N67" s="12" t="n">
        <f aca="false">G18</f>
        <v>166200</v>
      </c>
      <c r="O67" s="14"/>
      <c r="P67" s="14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70</v>
      </c>
      <c r="B68" s="78" t="n">
        <v>0.07</v>
      </c>
      <c r="C68" s="14"/>
      <c r="D68" s="14"/>
      <c r="E68" s="15"/>
      <c r="F68" s="2"/>
      <c r="G68" s="77" t="s">
        <v>70</v>
      </c>
      <c r="H68" s="78" t="n">
        <v>0.07</v>
      </c>
      <c r="I68" s="14"/>
      <c r="J68" s="14"/>
      <c r="K68" s="15"/>
      <c r="L68" s="2"/>
      <c r="M68" s="77" t="s">
        <v>70</v>
      </c>
      <c r="N68" s="78" t="n">
        <v>0.07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71</v>
      </c>
      <c r="B69" s="10" t="n">
        <f aca="false">B68+(B68*0.25*(H29/12-1))</f>
        <v>0.100625</v>
      </c>
      <c r="C69" s="14"/>
      <c r="D69" s="14"/>
      <c r="E69" s="15"/>
      <c r="F69" s="2"/>
      <c r="G69" s="6" t="s">
        <v>71</v>
      </c>
      <c r="H69" s="10" t="n">
        <f aca="false">H68+(H68*0.25*(H29/12-1))</f>
        <v>0.100625</v>
      </c>
      <c r="I69" s="14"/>
      <c r="J69" s="14"/>
      <c r="K69" s="15"/>
      <c r="L69" s="2"/>
      <c r="M69" s="6" t="s">
        <v>71</v>
      </c>
      <c r="N69" s="10" t="n">
        <f aca="false">N68+(N68*0.25*(H29/12-1))</f>
        <v>0.100625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72</v>
      </c>
      <c r="B70" s="79" t="n">
        <f aca="false">B67*B69</f>
        <v>16723.875</v>
      </c>
      <c r="C70" s="14"/>
      <c r="D70" s="12" t="n">
        <f aca="false">B70-A151</f>
        <v>16723.875</v>
      </c>
      <c r="E70" s="15" t="n">
        <f aca="false">D70/12</f>
        <v>1393.65625</v>
      </c>
      <c r="F70" s="2"/>
      <c r="G70" s="63" t="s">
        <v>72</v>
      </c>
      <c r="H70" s="79" t="n">
        <f aca="false">H67*H69</f>
        <v>16723.875</v>
      </c>
      <c r="I70" s="14"/>
      <c r="J70" s="12" t="n">
        <f aca="false">H70-G151</f>
        <v>16723.875</v>
      </c>
      <c r="K70" s="15"/>
      <c r="L70" s="2"/>
      <c r="M70" s="63" t="s">
        <v>72</v>
      </c>
      <c r="N70" s="79" t="n">
        <f aca="false">N67*N69</f>
        <v>16723.875</v>
      </c>
      <c r="O70" s="14"/>
      <c r="P70" s="12" t="n">
        <f aca="false">N70-M151</f>
        <v>16723.875</v>
      </c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73</v>
      </c>
      <c r="B71" s="78" t="n">
        <v>0.01</v>
      </c>
      <c r="C71" s="14"/>
      <c r="D71" s="14"/>
      <c r="E71" s="15"/>
      <c r="F71" s="2"/>
      <c r="G71" s="77" t="s">
        <v>73</v>
      </c>
      <c r="H71" s="78" t="n">
        <v>0.005</v>
      </c>
      <c r="I71" s="14"/>
      <c r="J71" s="14"/>
      <c r="K71" s="15"/>
      <c r="L71" s="2"/>
      <c r="M71" s="77" t="s">
        <v>73</v>
      </c>
      <c r="N71" s="78" t="n">
        <v>0.005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74</v>
      </c>
      <c r="B72" s="10" t="n">
        <f aca="false">B71+(B71*0.5*(H29/12-1))</f>
        <v>0.01875</v>
      </c>
      <c r="C72" s="14"/>
      <c r="D72" s="14"/>
      <c r="E72" s="15"/>
      <c r="F72" s="2"/>
      <c r="G72" s="6" t="s">
        <v>74</v>
      </c>
      <c r="H72" s="10" t="n">
        <f aca="false">H71+(H71*0.5*(H29/12-1))</f>
        <v>0.009375</v>
      </c>
      <c r="I72" s="14"/>
      <c r="J72" s="14"/>
      <c r="K72" s="15"/>
      <c r="L72" s="2"/>
      <c r="M72" s="6" t="s">
        <v>74</v>
      </c>
      <c r="N72" s="10" t="n">
        <f aca="false">N71+(N71*0.5*(H29/12-1))</f>
        <v>0.009375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75</v>
      </c>
      <c r="B73" s="79" t="n">
        <f aca="false">B67*B72</f>
        <v>3116.25</v>
      </c>
      <c r="C73" s="14"/>
      <c r="D73" s="12"/>
      <c r="E73" s="15"/>
      <c r="F73" s="2"/>
      <c r="G73" s="63" t="s">
        <v>75</v>
      </c>
      <c r="H73" s="79" t="n">
        <f aca="false">H67*H72</f>
        <v>1558.125</v>
      </c>
      <c r="I73" s="14"/>
      <c r="J73" s="12"/>
      <c r="K73" s="15"/>
      <c r="L73" s="2"/>
      <c r="M73" s="63" t="s">
        <v>75</v>
      </c>
      <c r="N73" s="79" t="n">
        <f aca="false">N67*N72</f>
        <v>1558.125</v>
      </c>
      <c r="O73" s="14"/>
      <c r="P73" s="12"/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76</v>
      </c>
      <c r="B74" s="78" t="n">
        <v>0.0075</v>
      </c>
      <c r="C74" s="14"/>
      <c r="D74" s="14"/>
      <c r="E74" s="15"/>
      <c r="F74" s="2"/>
      <c r="G74" s="77" t="s">
        <v>76</v>
      </c>
      <c r="H74" s="78" t="n">
        <v>0.0075</v>
      </c>
      <c r="I74" s="14"/>
      <c r="J74" s="14"/>
      <c r="K74" s="15"/>
      <c r="L74" s="2"/>
      <c r="M74" s="77" t="s">
        <v>76</v>
      </c>
      <c r="N74" s="78" t="n">
        <v>0.0075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77</v>
      </c>
      <c r="B75" s="80" t="n">
        <v>0.12</v>
      </c>
      <c r="C75" s="14"/>
      <c r="D75" s="14"/>
      <c r="E75" s="15"/>
      <c r="F75" s="2"/>
      <c r="G75" s="3" t="s">
        <v>77</v>
      </c>
      <c r="H75" s="80" t="n">
        <v>0.12</v>
      </c>
      <c r="I75" s="14"/>
      <c r="J75" s="14"/>
      <c r="K75" s="15"/>
      <c r="L75" s="2"/>
      <c r="M75" s="3" t="s">
        <v>77</v>
      </c>
      <c r="N75" s="80" t="n">
        <v>0.12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78</v>
      </c>
      <c r="B76" s="82" t="n">
        <f aca="false">B74*(1+B75)</f>
        <v>0.0084</v>
      </c>
      <c r="C76" s="14"/>
      <c r="D76" s="14"/>
      <c r="E76" s="15"/>
      <c r="F76" s="2"/>
      <c r="G76" s="63" t="s">
        <v>78</v>
      </c>
      <c r="H76" s="82" t="n">
        <f aca="false">H74*(1+H75)</f>
        <v>0.0084</v>
      </c>
      <c r="I76" s="14"/>
      <c r="J76" s="14"/>
      <c r="K76" s="15"/>
      <c r="L76" s="2"/>
      <c r="M76" s="63" t="s">
        <v>78</v>
      </c>
      <c r="N76" s="82" t="n">
        <f aca="false">N74*(1+N75)</f>
        <v>0.0084</v>
      </c>
      <c r="O76" s="14"/>
      <c r="P76" s="14"/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79</v>
      </c>
      <c r="B77" s="83" t="n">
        <v>160</v>
      </c>
      <c r="C77" s="14"/>
      <c r="D77" s="14"/>
      <c r="E77" s="15"/>
      <c r="F77" s="2"/>
      <c r="G77" s="77" t="s">
        <v>79</v>
      </c>
      <c r="H77" s="83" t="n">
        <v>160</v>
      </c>
      <c r="I77" s="14"/>
      <c r="J77" s="14"/>
      <c r="K77" s="15"/>
      <c r="L77" s="2"/>
      <c r="M77" s="77" t="s">
        <v>79</v>
      </c>
      <c r="N77" s="83" t="n">
        <v>160</v>
      </c>
      <c r="O77" s="14"/>
      <c r="P77" s="14"/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80</v>
      </c>
      <c r="B78" s="84" t="n">
        <v>4.5</v>
      </c>
      <c r="C78" s="14"/>
      <c r="D78" s="14"/>
      <c r="E78" s="15"/>
      <c r="F78" s="2"/>
      <c r="G78" s="3" t="s">
        <v>80</v>
      </c>
      <c r="H78" s="84" t="n">
        <v>4.5</v>
      </c>
      <c r="I78" s="14"/>
      <c r="J78" s="14"/>
      <c r="K78" s="15"/>
      <c r="L78" s="2"/>
      <c r="M78" s="3" t="s">
        <v>80</v>
      </c>
      <c r="N78" s="84" t="n">
        <v>4.5</v>
      </c>
      <c r="O78" s="14"/>
      <c r="P78" s="14"/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63" t="s">
        <v>81</v>
      </c>
      <c r="B79" s="79" t="n">
        <f aca="false">B78*H29</f>
        <v>148.5</v>
      </c>
      <c r="C79" s="14"/>
      <c r="D79" s="12" t="n">
        <f aca="false">B79+B77</f>
        <v>308.5</v>
      </c>
      <c r="E79" s="129" t="n">
        <f aca="false">D79+D85+D86</f>
        <v>508.5</v>
      </c>
      <c r="F79" s="2"/>
      <c r="G79" s="63" t="s">
        <v>81</v>
      </c>
      <c r="H79" s="79" t="n">
        <f aca="false">H78*H29</f>
        <v>148.5</v>
      </c>
      <c r="I79" s="14"/>
      <c r="J79" s="12" t="n">
        <f aca="false">H79+H77</f>
        <v>308.5</v>
      </c>
      <c r="K79" s="15"/>
      <c r="L79" s="2"/>
      <c r="M79" s="63" t="s">
        <v>81</v>
      </c>
      <c r="N79" s="79" t="n">
        <f aca="false">N78*H29</f>
        <v>148.5</v>
      </c>
      <c r="O79" s="14"/>
      <c r="P79" s="12" t="n">
        <f aca="false">N79+N77</f>
        <v>308.5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77" t="s">
        <v>82</v>
      </c>
      <c r="B80" s="83" t="n">
        <v>155</v>
      </c>
      <c r="C80" s="14"/>
      <c r="D80" s="14"/>
      <c r="E80" s="129" t="n">
        <f aca="false">E79+D82</f>
        <v>1406.83333333333</v>
      </c>
      <c r="F80" s="2"/>
      <c r="G80" s="77" t="s">
        <v>82</v>
      </c>
      <c r="H80" s="83" t="n">
        <v>150</v>
      </c>
      <c r="I80" s="14"/>
      <c r="J80" s="14"/>
      <c r="K80" s="15"/>
      <c r="L80" s="2"/>
      <c r="M80" s="85" t="s">
        <v>82</v>
      </c>
      <c r="N80" s="86" t="n">
        <v>0</v>
      </c>
      <c r="O80" s="14"/>
      <c r="P80" s="14"/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83</v>
      </c>
      <c r="B81" s="84" t="n">
        <v>335</v>
      </c>
      <c r="C81" s="14"/>
      <c r="D81" s="14"/>
      <c r="E81" s="15" t="n">
        <f aca="false">E80/12</f>
        <v>117.236111111111</v>
      </c>
      <c r="F81" s="2"/>
      <c r="G81" s="3" t="s">
        <v>83</v>
      </c>
      <c r="H81" s="84" t="n">
        <f aca="false">IF(G18&gt;40000, 325, 0)</f>
        <v>325</v>
      </c>
      <c r="I81" s="14"/>
      <c r="J81" s="14"/>
      <c r="K81" s="15"/>
      <c r="L81" s="2"/>
      <c r="M81" s="87" t="s">
        <v>83</v>
      </c>
      <c r="N81" s="88" t="n">
        <v>0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3" t="s">
        <v>84</v>
      </c>
      <c r="B82" s="79" t="n">
        <f aca="false">((B80+B81)/12)*(H29-11)</f>
        <v>898.333333333333</v>
      </c>
      <c r="C82" s="14"/>
      <c r="D82" s="12" t="n">
        <f aca="false">IF(A50="YES", 0, B82)</f>
        <v>898.333333333333</v>
      </c>
      <c r="E82" s="15"/>
      <c r="F82" s="2"/>
      <c r="G82" s="63" t="s">
        <v>84</v>
      </c>
      <c r="H82" s="79" t="n">
        <f aca="false">((H80+H81)/12)*(H29-11)</f>
        <v>870.833333333333</v>
      </c>
      <c r="I82" s="14"/>
      <c r="J82" s="12" t="n">
        <f aca="false">IF(A50="YES", 0, H82)</f>
        <v>870.833333333333</v>
      </c>
      <c r="K82" s="15"/>
      <c r="L82" s="2"/>
      <c r="M82" s="89" t="s">
        <v>84</v>
      </c>
      <c r="N82" s="90" t="n">
        <f aca="false">((N80+N81)/12)*(H29-11)</f>
        <v>0</v>
      </c>
      <c r="O82" s="14"/>
      <c r="P82" s="12" t="n">
        <f aca="false">IF(A50="YES", 0, N82)</f>
        <v>0</v>
      </c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77" t="s">
        <v>85</v>
      </c>
      <c r="B83" s="83" t="n">
        <v>0</v>
      </c>
      <c r="C83" s="14"/>
      <c r="D83" s="12" t="n">
        <f aca="false">B83</f>
        <v>0</v>
      </c>
      <c r="E83" s="15" t="n">
        <f aca="false">D83/12</f>
        <v>0</v>
      </c>
      <c r="F83" s="2"/>
      <c r="G83" s="77" t="s">
        <v>85</v>
      </c>
      <c r="H83" s="83" t="n">
        <f aca="false">H108</f>
        <v>1200</v>
      </c>
      <c r="I83" s="14"/>
      <c r="J83" s="12" t="n">
        <f aca="false">H83</f>
        <v>1200</v>
      </c>
      <c r="K83" s="15"/>
      <c r="L83" s="2"/>
      <c r="M83" s="77" t="s">
        <v>85</v>
      </c>
      <c r="N83" s="83" t="n">
        <f aca="false">N108</f>
        <v>1200</v>
      </c>
      <c r="O83" s="14"/>
      <c r="P83" s="12" t="n">
        <f aca="false">N83</f>
        <v>1200</v>
      </c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188</v>
      </c>
      <c r="B84" s="11" t="n">
        <v>0</v>
      </c>
      <c r="C84" s="14"/>
      <c r="D84" s="12" t="n">
        <f aca="false">B84</f>
        <v>0</v>
      </c>
      <c r="E84" s="15"/>
      <c r="F84" s="2"/>
      <c r="G84" s="6" t="s">
        <v>86</v>
      </c>
      <c r="H84" s="11" t="n">
        <f aca="false">J108</f>
        <v>1500</v>
      </c>
      <c r="I84" s="14"/>
      <c r="J84" s="12" t="n">
        <f aca="false">H84</f>
        <v>1500</v>
      </c>
      <c r="K84" s="15"/>
      <c r="L84" s="2"/>
      <c r="M84" s="6" t="s">
        <v>86</v>
      </c>
      <c r="N84" s="11" t="n">
        <f aca="false">P108</f>
        <v>1500</v>
      </c>
      <c r="O84" s="14"/>
      <c r="P84" s="12" t="n">
        <f aca="false">N84</f>
        <v>1500</v>
      </c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87</v>
      </c>
      <c r="B85" s="84" t="n">
        <v>100</v>
      </c>
      <c r="C85" s="14"/>
      <c r="D85" s="12" t="n">
        <f aca="false">B85</f>
        <v>100</v>
      </c>
      <c r="E85" s="15"/>
      <c r="F85" s="2"/>
      <c r="G85" s="3" t="s">
        <v>87</v>
      </c>
      <c r="H85" s="84" t="n">
        <v>100</v>
      </c>
      <c r="I85" s="14"/>
      <c r="J85" s="12" t="n">
        <f aca="false">H85</f>
        <v>100</v>
      </c>
      <c r="K85" s="15"/>
      <c r="L85" s="2"/>
      <c r="M85" s="3" t="s">
        <v>87</v>
      </c>
      <c r="N85" s="84" t="n">
        <v>100</v>
      </c>
      <c r="O85" s="14"/>
      <c r="P85" s="12" t="n">
        <f aca="false">N85</f>
        <v>100</v>
      </c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1" t="s">
        <v>88</v>
      </c>
      <c r="B86" s="92" t="n">
        <v>100</v>
      </c>
      <c r="C86" s="14"/>
      <c r="D86" s="12" t="n">
        <f aca="false">B86</f>
        <v>100</v>
      </c>
      <c r="E86" s="15"/>
      <c r="F86" s="2"/>
      <c r="G86" s="91" t="s">
        <v>88</v>
      </c>
      <c r="H86" s="92" t="n">
        <v>100</v>
      </c>
      <c r="I86" s="14"/>
      <c r="J86" s="12" t="n">
        <f aca="false">H86</f>
        <v>100</v>
      </c>
      <c r="K86" s="15"/>
      <c r="L86" s="2"/>
      <c r="M86" s="91" t="s">
        <v>88</v>
      </c>
      <c r="N86" s="92" t="n">
        <v>100</v>
      </c>
      <c r="O86" s="14"/>
      <c r="P86" s="12" t="n">
        <f aca="false">N86</f>
        <v>100</v>
      </c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3" t="s">
        <v>89</v>
      </c>
      <c r="B87" s="94" t="n">
        <f aca="false">SUM(D70:D86)</f>
        <v>18130.7083333333</v>
      </c>
      <c r="C87" s="14"/>
      <c r="D87" s="14"/>
      <c r="E87" s="15"/>
      <c r="F87" s="2"/>
      <c r="G87" s="93" t="s">
        <v>89</v>
      </c>
      <c r="H87" s="94" t="n">
        <f aca="false">SUM(J70:J86)</f>
        <v>20803.2083333333</v>
      </c>
      <c r="I87" s="14"/>
      <c r="J87" s="14"/>
      <c r="K87" s="15"/>
      <c r="L87" s="2"/>
      <c r="M87" s="93" t="s">
        <v>89</v>
      </c>
      <c r="N87" s="94" t="n">
        <f aca="false">SUM(P70:P86)</f>
        <v>19932.375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90</v>
      </c>
      <c r="B88" s="11" t="n">
        <f aca="false">B87/H29</f>
        <v>549.415404040404</v>
      </c>
      <c r="C88" s="14"/>
      <c r="D88" s="14"/>
      <c r="E88" s="15"/>
      <c r="F88" s="2"/>
      <c r="G88" s="6" t="s">
        <v>90</v>
      </c>
      <c r="H88" s="11" t="n">
        <f aca="false">H87/H29</f>
        <v>630.400252525253</v>
      </c>
      <c r="I88" s="14"/>
      <c r="J88" s="14"/>
      <c r="K88" s="15"/>
      <c r="L88" s="2"/>
      <c r="M88" s="6" t="s">
        <v>90</v>
      </c>
      <c r="N88" s="11" t="n">
        <f aca="false">N87/H29</f>
        <v>604.011363636364</v>
      </c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5" t="s">
        <v>91</v>
      </c>
      <c r="B89" s="96" t="n">
        <f aca="false">H46</f>
        <v>51.5151515151515</v>
      </c>
      <c r="C89" s="14"/>
      <c r="D89" s="14"/>
      <c r="E89" s="15"/>
      <c r="F89" s="2"/>
      <c r="G89" s="95" t="s">
        <v>91</v>
      </c>
      <c r="H89" s="96" t="n">
        <f aca="false">H46</f>
        <v>51.5151515151515</v>
      </c>
      <c r="I89" s="14"/>
      <c r="J89" s="14"/>
      <c r="K89" s="15"/>
      <c r="L89" s="2"/>
      <c r="M89" s="95" t="s">
        <v>91</v>
      </c>
      <c r="N89" s="96" t="n">
        <f aca="false">H46</f>
        <v>51.5151515151515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4"/>
      <c r="D90" s="14"/>
      <c r="E90" s="15"/>
      <c r="F90" s="2"/>
      <c r="G90" s="6"/>
      <c r="H90" s="12"/>
      <c r="I90" s="14"/>
      <c r="J90" s="14"/>
      <c r="K90" s="15"/>
      <c r="L90" s="2"/>
      <c r="M90" s="6"/>
      <c r="N90" s="12"/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56" t="s">
        <v>92</v>
      </c>
      <c r="B91" s="97" t="n">
        <f aca="false">((B89*H29)+B87)</f>
        <v>19830.7083333333</v>
      </c>
      <c r="C91" s="14"/>
      <c r="D91" s="14"/>
      <c r="E91" s="15"/>
      <c r="F91" s="2"/>
      <c r="G91" s="56" t="s">
        <v>92</v>
      </c>
      <c r="H91" s="97" t="n">
        <f aca="false">((H89*H29)+H87)*1.2</f>
        <v>27003.85</v>
      </c>
      <c r="I91" s="14"/>
      <c r="J91" s="14"/>
      <c r="K91" s="15"/>
      <c r="L91" s="2"/>
      <c r="M91" s="56" t="s">
        <v>92</v>
      </c>
      <c r="N91" s="97" t="n">
        <f aca="false">((N89*H29)+N87)</f>
        <v>21632.375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93</v>
      </c>
      <c r="B92" s="11" t="n">
        <f aca="false">(((B89*H29)+B87)/(1-B76))*B76</f>
        <v>167.989058087939</v>
      </c>
      <c r="C92" s="14"/>
      <c r="D92" s="14"/>
      <c r="E92" s="159"/>
      <c r="F92" s="2"/>
      <c r="G92" s="6" t="s">
        <v>93</v>
      </c>
      <c r="H92" s="11" t="n">
        <f aca="false">(((H89*H29)+H87)/(1-H76))*H76</f>
        <v>190.628227107705</v>
      </c>
      <c r="I92" s="14"/>
      <c r="J92" s="14"/>
      <c r="K92" s="15"/>
      <c r="L92" s="2"/>
      <c r="M92" s="6" t="s">
        <v>93</v>
      </c>
      <c r="N92" s="11" t="n">
        <f aca="false">(N91/(1-N76))*N76</f>
        <v>183.251260588947</v>
      </c>
      <c r="O92" s="14"/>
      <c r="P92" s="14"/>
      <c r="Q92" s="1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63" t="s">
        <v>94</v>
      </c>
      <c r="B93" s="79" t="n">
        <f aca="false">IF(B116="YES",((B91+B92)-E120),(B91+B92))</f>
        <v>19998.6973914213</v>
      </c>
      <c r="C93" s="14"/>
      <c r="D93" s="14"/>
      <c r="E93" s="15"/>
      <c r="F93" s="2"/>
      <c r="G93" s="63" t="s">
        <v>94</v>
      </c>
      <c r="H93" s="79" t="n">
        <f aca="false">IF(H116="YES",((H91+H92)-K120),(H91+H92))</f>
        <v>29194.4782271077</v>
      </c>
      <c r="I93" s="14"/>
      <c r="J93" s="14"/>
      <c r="K93" s="15"/>
      <c r="L93" s="2"/>
      <c r="M93" s="63" t="s">
        <v>94</v>
      </c>
      <c r="N93" s="79" t="n">
        <f aca="false">IF(N116="YES",((N91+N92)-K120),(N91+N92))</f>
        <v>23815.6262605889</v>
      </c>
      <c r="O93" s="14"/>
      <c r="P93" s="14"/>
      <c r="Q93" s="15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4"/>
      <c r="D94" s="14"/>
      <c r="E94" s="15"/>
      <c r="F94" s="2"/>
      <c r="G94" s="6"/>
      <c r="H94" s="12"/>
      <c r="I94" s="14"/>
      <c r="J94" s="14"/>
      <c r="K94" s="15"/>
      <c r="L94" s="2"/>
      <c r="M94" s="6"/>
      <c r="N94" s="12"/>
      <c r="O94" s="14"/>
      <c r="P94" s="14"/>
      <c r="Q94" s="15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3" t="s">
        <v>95</v>
      </c>
      <c r="B95" s="94" t="n">
        <f aca="false">((H44*B35)+((H44*B35)*B111))/(B63+B64)</f>
        <v>27.276</v>
      </c>
      <c r="C95" s="14"/>
      <c r="D95" s="14"/>
      <c r="E95" s="15"/>
      <c r="F95" s="2"/>
      <c r="G95" s="93" t="s">
        <v>95</v>
      </c>
      <c r="H95" s="94" t="n">
        <f aca="false">(((H44*B35)+((H44*B35)*H111))/(H63+H64))*1.2</f>
        <v>32.7312</v>
      </c>
      <c r="I95" s="14"/>
      <c r="J95" s="14"/>
      <c r="K95" s="15"/>
      <c r="L95" s="2"/>
      <c r="M95" s="93" t="s">
        <v>95</v>
      </c>
      <c r="N95" s="94" t="n">
        <f aca="false">((H44*B35)+((H44*B35)*N111))/(N63+N64)</f>
        <v>20.457</v>
      </c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98" t="s">
        <v>96</v>
      </c>
      <c r="B96" s="99" t="n">
        <f aca="false">IF(B105=Y104, (B93-D111)/(B64), B93/(B63+B64))</f>
        <v>606.021133073372</v>
      </c>
      <c r="C96" s="14"/>
      <c r="D96" s="14"/>
      <c r="E96" s="15"/>
      <c r="F96" s="2"/>
      <c r="G96" s="98" t="s">
        <v>96</v>
      </c>
      <c r="H96" s="99" t="n">
        <f aca="false">IF(H105=Y104, (H93-J111)/(H64), H93/(H63+H64))</f>
        <v>884.681158397203</v>
      </c>
      <c r="I96" s="14"/>
      <c r="J96" s="14"/>
      <c r="K96" s="15"/>
      <c r="L96" s="2"/>
      <c r="M96" s="98" t="s">
        <v>96</v>
      </c>
      <c r="N96" s="99" t="n">
        <f aca="false">IF(N105=Y104, (N93-P111)/(N64), N93/(N63+N64))</f>
        <v>541.264233195203</v>
      </c>
      <c r="O96" s="14"/>
      <c r="P96" s="14"/>
      <c r="Q96" s="1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0" t="s">
        <v>97</v>
      </c>
      <c r="B97" s="101" t="n">
        <f aca="false">IF(A111="YES", B96+B95, B96)</f>
        <v>633.297133073372</v>
      </c>
      <c r="C97" s="14"/>
      <c r="D97" s="160"/>
      <c r="E97" s="15"/>
      <c r="F97" s="2"/>
      <c r="G97" s="100" t="s">
        <v>97</v>
      </c>
      <c r="H97" s="101" t="n">
        <f aca="false">IF(G111="YES", H96+H95, H96)</f>
        <v>917.412358397203</v>
      </c>
      <c r="I97" s="14"/>
      <c r="J97" s="14"/>
      <c r="K97" s="15"/>
      <c r="L97" s="2"/>
      <c r="M97" s="100" t="s">
        <v>97</v>
      </c>
      <c r="N97" s="101" t="n">
        <f aca="false">IF(M111="YES", N96+N95, N96)</f>
        <v>561.721233195203</v>
      </c>
      <c r="O97" s="14"/>
      <c r="P97" s="14"/>
      <c r="Q97" s="15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3"/>
      <c r="B98" s="64"/>
      <c r="C98" s="64"/>
      <c r="D98" s="64"/>
      <c r="E98" s="65"/>
      <c r="F98" s="2"/>
      <c r="G98" s="63"/>
      <c r="H98" s="64"/>
      <c r="I98" s="64"/>
      <c r="J98" s="64"/>
      <c r="K98" s="65"/>
      <c r="L98" s="2"/>
      <c r="M98" s="63"/>
      <c r="N98" s="64"/>
      <c r="O98" s="64"/>
      <c r="P98" s="64"/>
      <c r="Q98" s="65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4"/>
      <c r="B99" s="14"/>
      <c r="C99" s="14"/>
      <c r="D99" s="14"/>
      <c r="E99" s="14"/>
      <c r="F99" s="2"/>
      <c r="G99" s="14"/>
      <c r="H99" s="14"/>
      <c r="I99" s="14"/>
      <c r="J99" s="14"/>
      <c r="K99" s="14"/>
      <c r="L99" s="2"/>
      <c r="M99" s="14"/>
      <c r="N99" s="14"/>
      <c r="O99" s="14"/>
      <c r="P99" s="14"/>
      <c r="Q99" s="14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160</v>
      </c>
      <c r="B100" s="30"/>
      <c r="C100" s="30"/>
      <c r="D100" s="30"/>
      <c r="E100" s="30"/>
      <c r="F100" s="2"/>
      <c r="G100" s="30" t="s">
        <v>99</v>
      </c>
      <c r="H100" s="30"/>
      <c r="I100" s="30"/>
      <c r="J100" s="30"/>
      <c r="K100" s="30"/>
      <c r="L100" s="2"/>
      <c r="M100" s="30" t="s">
        <v>98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4"/>
      <c r="C101" s="14"/>
      <c r="D101" s="14"/>
      <c r="E101" s="15"/>
      <c r="F101" s="2"/>
      <c r="G101" s="6"/>
      <c r="H101" s="14"/>
      <c r="I101" s="14"/>
      <c r="J101" s="14"/>
      <c r="K101" s="15"/>
      <c r="L101" s="2"/>
      <c r="M101" s="6"/>
      <c r="N101" s="14"/>
      <c r="O101" s="14"/>
      <c r="P101" s="14"/>
      <c r="Q101" s="15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5" t="s">
        <v>100</v>
      </c>
      <c r="B102" s="35"/>
      <c r="C102" s="35"/>
      <c r="D102" s="35"/>
      <c r="E102" s="35"/>
      <c r="F102" s="2"/>
      <c r="G102" s="35" t="s">
        <v>100</v>
      </c>
      <c r="H102" s="35"/>
      <c r="I102" s="35"/>
      <c r="J102" s="35"/>
      <c r="K102" s="35"/>
      <c r="L102" s="2"/>
      <c r="M102" s="35" t="s">
        <v>100</v>
      </c>
      <c r="N102" s="35"/>
      <c r="O102" s="35"/>
      <c r="P102" s="35"/>
      <c r="Q102" s="35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101</v>
      </c>
      <c r="Z103" s="2"/>
    </row>
    <row r="104" customFormat="false" ht="18.75" hidden="false" customHeight="true" outlineLevel="0" collapsed="false">
      <c r="A104" s="6" t="s">
        <v>102</v>
      </c>
      <c r="B104" s="14" t="s">
        <v>30</v>
      </c>
      <c r="C104" s="14"/>
      <c r="D104" s="14" t="s">
        <v>103</v>
      </c>
      <c r="E104" s="15"/>
      <c r="F104" s="2"/>
      <c r="G104" s="6" t="s">
        <v>102</v>
      </c>
      <c r="H104" s="14" t="s">
        <v>30</v>
      </c>
      <c r="I104" s="14"/>
      <c r="J104" s="14" t="s">
        <v>103</v>
      </c>
      <c r="K104" s="15"/>
      <c r="L104" s="2"/>
      <c r="M104" s="6" t="s">
        <v>102</v>
      </c>
      <c r="N104" s="14" t="s">
        <v>30</v>
      </c>
      <c r="O104" s="14"/>
      <c r="P104" s="14" t="s">
        <v>103</v>
      </c>
      <c r="Q104" s="15"/>
      <c r="R104" s="2"/>
      <c r="S104" s="2"/>
      <c r="T104" s="2"/>
      <c r="U104" s="2"/>
      <c r="V104" s="2"/>
      <c r="W104" s="2"/>
      <c r="X104" s="2"/>
      <c r="Y104" s="2" t="s">
        <v>104</v>
      </c>
      <c r="Z104" s="2"/>
    </row>
    <row r="105" customFormat="false" ht="18.75" hidden="false" customHeight="true" outlineLevel="0" collapsed="false">
      <c r="A105" s="31" t="s">
        <v>105</v>
      </c>
      <c r="B105" s="103" t="s">
        <v>101</v>
      </c>
      <c r="C105" s="103"/>
      <c r="D105" s="161" t="n">
        <v>0</v>
      </c>
      <c r="E105" s="161"/>
      <c r="F105" s="2"/>
      <c r="G105" s="31" t="s">
        <v>105</v>
      </c>
      <c r="H105" s="103" t="s">
        <v>114</v>
      </c>
      <c r="I105" s="103"/>
      <c r="J105" s="161" t="n">
        <v>5000</v>
      </c>
      <c r="K105" s="161"/>
      <c r="L105" s="2"/>
      <c r="M105" s="31" t="s">
        <v>105</v>
      </c>
      <c r="N105" s="103" t="s">
        <v>113</v>
      </c>
      <c r="O105" s="103"/>
      <c r="P105" s="161" t="n">
        <v>0</v>
      </c>
      <c r="Q105" s="161"/>
      <c r="R105" s="2"/>
      <c r="S105" s="2"/>
      <c r="T105" s="2"/>
      <c r="U105" s="2"/>
      <c r="V105" s="2"/>
      <c r="W105" s="2"/>
      <c r="X105" s="2"/>
      <c r="Y105" s="2" t="s">
        <v>108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 t="s">
        <v>107</v>
      </c>
      <c r="Z106" s="2"/>
    </row>
    <row r="107" customFormat="false" ht="18.75" hidden="false" customHeight="true" outlineLevel="0" collapsed="false">
      <c r="A107" s="6" t="s">
        <v>109</v>
      </c>
      <c r="B107" s="14" t="s">
        <v>110</v>
      </c>
      <c r="C107" s="14"/>
      <c r="D107" s="14" t="s">
        <v>111</v>
      </c>
      <c r="E107" s="15"/>
      <c r="F107" s="2"/>
      <c r="G107" s="6" t="s">
        <v>109</v>
      </c>
      <c r="H107" s="14" t="s">
        <v>110</v>
      </c>
      <c r="I107" s="14"/>
      <c r="J107" s="14" t="s">
        <v>111</v>
      </c>
      <c r="K107" s="15"/>
      <c r="L107" s="2"/>
      <c r="M107" s="6" t="s">
        <v>109</v>
      </c>
      <c r="N107" s="14" t="s">
        <v>110</v>
      </c>
      <c r="O107" s="14"/>
      <c r="P107" s="14" t="s">
        <v>111</v>
      </c>
      <c r="Q107" s="15"/>
      <c r="R107" s="2"/>
      <c r="S107" s="2"/>
      <c r="T107" s="2"/>
      <c r="U107" s="2"/>
      <c r="V107" s="2"/>
      <c r="W107" s="2"/>
      <c r="X107" s="2"/>
      <c r="Y107" s="2" t="s">
        <v>112</v>
      </c>
      <c r="Z107" s="2"/>
    </row>
    <row r="108" customFormat="false" ht="18.75" hidden="false" customHeight="true" outlineLevel="0" collapsed="false">
      <c r="A108" s="104" t="n">
        <v>199.99</v>
      </c>
      <c r="B108" s="54" t="n">
        <v>0</v>
      </c>
      <c r="C108" s="54"/>
      <c r="D108" s="54" t="n">
        <v>0</v>
      </c>
      <c r="E108" s="54"/>
      <c r="F108" s="2"/>
      <c r="G108" s="104" t="n">
        <f aca="false">199.99*1.2</f>
        <v>239.988</v>
      </c>
      <c r="H108" s="54" t="n">
        <v>1200</v>
      </c>
      <c r="I108" s="54"/>
      <c r="J108" s="54" t="n">
        <v>1500</v>
      </c>
      <c r="K108" s="54"/>
      <c r="L108" s="2"/>
      <c r="M108" s="104" t="n">
        <v>199.99</v>
      </c>
      <c r="N108" s="54" t="n">
        <v>1200</v>
      </c>
      <c r="O108" s="54"/>
      <c r="P108" s="54" t="n">
        <v>1500</v>
      </c>
      <c r="Q108" s="54"/>
      <c r="R108" s="2"/>
      <c r="S108" s="2"/>
      <c r="T108" s="2"/>
      <c r="U108" s="2"/>
      <c r="V108" s="2"/>
      <c r="W108" s="2"/>
      <c r="X108" s="2"/>
      <c r="Y108" s="2" t="s">
        <v>113</v>
      </c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 t="s">
        <v>114</v>
      </c>
      <c r="Z109" s="2"/>
    </row>
    <row r="110" customFormat="false" ht="18.75" hidden="false" customHeight="true" outlineLevel="0" collapsed="false">
      <c r="A110" s="31" t="s">
        <v>29</v>
      </c>
      <c r="B110" s="2" t="s">
        <v>115</v>
      </c>
      <c r="C110" s="14"/>
      <c r="D110" s="14" t="s">
        <v>116</v>
      </c>
      <c r="E110" s="15"/>
      <c r="F110" s="2"/>
      <c r="G110" s="31" t="s">
        <v>29</v>
      </c>
      <c r="H110" s="2" t="s">
        <v>115</v>
      </c>
      <c r="I110" s="14"/>
      <c r="J110" s="14" t="s">
        <v>116</v>
      </c>
      <c r="K110" s="15"/>
      <c r="L110" s="2"/>
      <c r="M110" s="31" t="s">
        <v>29</v>
      </c>
      <c r="N110" s="2" t="s">
        <v>115</v>
      </c>
      <c r="O110" s="14"/>
      <c r="P110" s="14" t="s">
        <v>116</v>
      </c>
      <c r="Q110" s="15"/>
      <c r="R110" s="2"/>
      <c r="S110" s="2"/>
      <c r="T110" s="2"/>
      <c r="U110" s="2"/>
      <c r="V110" s="2"/>
      <c r="W110" s="2"/>
      <c r="X110" s="2"/>
      <c r="Y110" s="2" t="s">
        <v>117</v>
      </c>
      <c r="Z110" s="2"/>
    </row>
    <row r="111" customFormat="false" ht="18.75" hidden="false" customHeight="true" outlineLevel="0" collapsed="false">
      <c r="A111" s="32" t="s">
        <v>25</v>
      </c>
      <c r="B111" s="105" t="n">
        <v>0.2</v>
      </c>
      <c r="C111" s="105"/>
      <c r="D111" s="54" t="n">
        <v>5000</v>
      </c>
      <c r="E111" s="54"/>
      <c r="F111" s="2"/>
      <c r="G111" s="32" t="s">
        <v>25</v>
      </c>
      <c r="H111" s="105" t="n">
        <v>0.2</v>
      </c>
      <c r="I111" s="105"/>
      <c r="J111" s="54" t="n">
        <v>5000</v>
      </c>
      <c r="K111" s="54"/>
      <c r="L111" s="2"/>
      <c r="M111" s="32" t="s">
        <v>25</v>
      </c>
      <c r="N111" s="105" t="n">
        <v>0.2</v>
      </c>
      <c r="O111" s="105"/>
      <c r="P111" s="54" t="n">
        <v>5000</v>
      </c>
      <c r="Q111" s="54"/>
      <c r="R111" s="2"/>
      <c r="S111" s="2"/>
      <c r="T111" s="2"/>
      <c r="U111" s="2"/>
      <c r="V111" s="2"/>
      <c r="W111" s="2"/>
      <c r="X111" s="2"/>
      <c r="Y111" s="2" t="s">
        <v>119</v>
      </c>
      <c r="Z111" s="2"/>
    </row>
    <row r="112" customFormat="false" ht="18.75" hidden="false" customHeight="true" outlineLevel="0" collapsed="false">
      <c r="A112" s="6"/>
      <c r="B112" s="14"/>
      <c r="C112" s="14"/>
      <c r="D112" s="14"/>
      <c r="E112" s="15"/>
      <c r="F112" s="2"/>
      <c r="G112" s="6"/>
      <c r="H112" s="14"/>
      <c r="I112" s="14"/>
      <c r="J112" s="14"/>
      <c r="K112" s="15"/>
      <c r="L112" s="2"/>
      <c r="M112" s="6"/>
      <c r="N112" s="14"/>
      <c r="O112" s="14"/>
      <c r="P112" s="14"/>
      <c r="Q112" s="15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4"/>
      <c r="C113" s="14"/>
      <c r="D113" s="14"/>
      <c r="E113" s="15"/>
      <c r="F113" s="2"/>
      <c r="G113" s="6"/>
      <c r="H113" s="14"/>
      <c r="I113" s="14"/>
      <c r="J113" s="14"/>
      <c r="K113" s="15"/>
      <c r="L113" s="2"/>
      <c r="M113" s="6"/>
      <c r="N113" s="14" t="s">
        <v>120</v>
      </c>
      <c r="O113" s="32" t="s">
        <v>25</v>
      </c>
      <c r="P113" s="14"/>
      <c r="Q113" s="15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5" t="s">
        <v>121</v>
      </c>
      <c r="B114" s="35"/>
      <c r="C114" s="35"/>
      <c r="D114" s="35"/>
      <c r="E114" s="35"/>
      <c r="F114" s="2"/>
      <c r="G114" s="35" t="s">
        <v>121</v>
      </c>
      <c r="H114" s="35"/>
      <c r="I114" s="35"/>
      <c r="J114" s="35"/>
      <c r="K114" s="35"/>
      <c r="L114" s="2"/>
      <c r="M114" s="35" t="s">
        <v>121</v>
      </c>
      <c r="N114" s="35"/>
      <c r="O114" s="35"/>
      <c r="P114" s="35"/>
      <c r="Q114" s="35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4"/>
      <c r="C115" s="14"/>
      <c r="D115" s="14"/>
      <c r="E115" s="15"/>
      <c r="F115" s="2"/>
      <c r="G115" s="6"/>
      <c r="H115" s="14"/>
      <c r="I115" s="14"/>
      <c r="J115" s="14"/>
      <c r="K115" s="15"/>
      <c r="L115" s="2"/>
      <c r="M115" s="6"/>
      <c r="N115" s="14"/>
      <c r="O115" s="14"/>
      <c r="P115" s="14"/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122</v>
      </c>
      <c r="B116" s="32" t="s">
        <v>26</v>
      </c>
      <c r="C116" s="14"/>
      <c r="D116" s="14"/>
      <c r="E116" s="15"/>
      <c r="F116" s="2"/>
      <c r="G116" s="6" t="s">
        <v>122</v>
      </c>
      <c r="H116" s="32" t="s">
        <v>25</v>
      </c>
      <c r="I116" s="14"/>
      <c r="J116" s="14"/>
      <c r="K116" s="15"/>
      <c r="L116" s="2"/>
      <c r="M116" s="6" t="s">
        <v>122</v>
      </c>
      <c r="N116" s="32" t="s">
        <v>25</v>
      </c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4"/>
      <c r="C117" s="14"/>
      <c r="D117" s="14"/>
      <c r="E117" s="15"/>
      <c r="F117" s="2"/>
      <c r="G117" s="6"/>
      <c r="H117" s="14"/>
      <c r="I117" s="14"/>
      <c r="J117" s="14"/>
      <c r="K117" s="15"/>
      <c r="L117" s="2"/>
      <c r="M117" s="6"/>
      <c r="N117" s="14"/>
      <c r="O117" s="14"/>
      <c r="P117" s="14"/>
      <c r="Q117" s="15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123</v>
      </c>
      <c r="B118" s="14"/>
      <c r="C118" s="14"/>
      <c r="D118" s="104" t="n">
        <v>0</v>
      </c>
      <c r="E118" s="54" t="n">
        <v>0</v>
      </c>
      <c r="F118" s="2"/>
      <c r="G118" s="6" t="s">
        <v>123</v>
      </c>
      <c r="H118" s="14"/>
      <c r="I118" s="14"/>
      <c r="J118" s="104" t="n">
        <v>10000</v>
      </c>
      <c r="K118" s="54" t="n">
        <v>5000</v>
      </c>
      <c r="L118" s="2"/>
      <c r="M118" s="6" t="s">
        <v>123</v>
      </c>
      <c r="N118" s="14"/>
      <c r="O118" s="14"/>
      <c r="P118" s="104" t="n">
        <v>10000</v>
      </c>
      <c r="Q118" s="54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124</v>
      </c>
      <c r="B119" s="14"/>
      <c r="C119" s="14"/>
      <c r="D119" s="106" t="n">
        <f aca="false">E119</f>
        <v>0</v>
      </c>
      <c r="E119" s="54" t="n">
        <v>0</v>
      </c>
      <c r="F119" s="2"/>
      <c r="G119" s="6" t="s">
        <v>124</v>
      </c>
      <c r="H119" s="14"/>
      <c r="I119" s="14"/>
      <c r="J119" s="106" t="n">
        <f aca="false">K119</f>
        <v>7000</v>
      </c>
      <c r="K119" s="54" t="n">
        <v>7000</v>
      </c>
      <c r="L119" s="2"/>
      <c r="M119" s="6" t="s">
        <v>124</v>
      </c>
      <c r="N119" s="14"/>
      <c r="O119" s="14"/>
      <c r="P119" s="106" t="n">
        <f aca="false">Q119</f>
        <v>7000</v>
      </c>
      <c r="Q119" s="54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125</v>
      </c>
      <c r="B120" s="14"/>
      <c r="C120" s="14"/>
      <c r="D120" s="106" t="n">
        <f aca="false">D118-D119</f>
        <v>0</v>
      </c>
      <c r="E120" s="107" t="n">
        <f aca="false">E118-E119</f>
        <v>0</v>
      </c>
      <c r="F120" s="2"/>
      <c r="G120" s="6" t="s">
        <v>125</v>
      </c>
      <c r="H120" s="14"/>
      <c r="I120" s="14"/>
      <c r="J120" s="106" t="n">
        <f aca="false">J118-J119</f>
        <v>3000</v>
      </c>
      <c r="K120" s="107" t="n">
        <f aca="false">K118-K119</f>
        <v>-2000</v>
      </c>
      <c r="L120" s="2"/>
      <c r="M120" s="6" t="s">
        <v>125</v>
      </c>
      <c r="N120" s="14"/>
      <c r="O120" s="14"/>
      <c r="P120" s="106" t="n">
        <f aca="false">P118-P119</f>
        <v>3000</v>
      </c>
      <c r="Q120" s="107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126</v>
      </c>
      <c r="B121" s="14"/>
      <c r="C121" s="14"/>
      <c r="D121" s="106" t="n">
        <f aca="false">D120-E120</f>
        <v>0</v>
      </c>
      <c r="E121" s="15"/>
      <c r="F121" s="2"/>
      <c r="G121" s="6" t="s">
        <v>126</v>
      </c>
      <c r="H121" s="14"/>
      <c r="I121" s="14"/>
      <c r="J121" s="106" t="n">
        <f aca="false">J120-K120</f>
        <v>5000</v>
      </c>
      <c r="K121" s="15"/>
      <c r="L121" s="2"/>
      <c r="M121" s="6" t="s">
        <v>126</v>
      </c>
      <c r="N121" s="14"/>
      <c r="O121" s="14"/>
      <c r="P121" s="106" t="n">
        <f aca="false">P120-Q120</f>
        <v>5000</v>
      </c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4"/>
      <c r="C122" s="14"/>
      <c r="D122" s="14"/>
      <c r="E122" s="15"/>
      <c r="F122" s="2"/>
      <c r="G122" s="6"/>
      <c r="H122" s="14"/>
      <c r="I122" s="14"/>
      <c r="J122" s="14"/>
      <c r="K122" s="15"/>
      <c r="L122" s="2"/>
      <c r="M122" s="6"/>
      <c r="N122" s="14"/>
      <c r="O122" s="14"/>
      <c r="P122" s="14"/>
      <c r="Q122" s="1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56" t="s">
        <v>127</v>
      </c>
      <c r="B123" s="57"/>
      <c r="C123" s="57"/>
      <c r="D123" s="57"/>
      <c r="E123" s="97" t="n">
        <f aca="false">D105</f>
        <v>0</v>
      </c>
      <c r="F123" s="2"/>
      <c r="G123" s="56" t="s">
        <v>127</v>
      </c>
      <c r="H123" s="57"/>
      <c r="I123" s="57"/>
      <c r="J123" s="57"/>
      <c r="K123" s="97" t="n">
        <f aca="false">J105</f>
        <v>5000</v>
      </c>
      <c r="L123" s="2"/>
      <c r="M123" s="56" t="s">
        <v>127</v>
      </c>
      <c r="N123" s="57"/>
      <c r="O123" s="57"/>
      <c r="P123" s="57"/>
      <c r="Q123" s="97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128</v>
      </c>
      <c r="B124" s="14"/>
      <c r="C124" s="14"/>
      <c r="D124" s="14"/>
      <c r="E124" s="11" t="n">
        <f aca="false">A108</f>
        <v>199.99</v>
      </c>
      <c r="F124" s="2"/>
      <c r="G124" s="6" t="s">
        <v>128</v>
      </c>
      <c r="H124" s="14"/>
      <c r="I124" s="14"/>
      <c r="J124" s="14"/>
      <c r="K124" s="11" t="n">
        <f aca="false">G108</f>
        <v>239.988</v>
      </c>
      <c r="L124" s="2"/>
      <c r="M124" s="6" t="s">
        <v>128</v>
      </c>
      <c r="N124" s="14"/>
      <c r="O124" s="14"/>
      <c r="P124" s="14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08" t="s">
        <v>129</v>
      </c>
      <c r="B125" s="64"/>
      <c r="C125" s="64"/>
      <c r="D125" s="64"/>
      <c r="E125" s="79" t="n">
        <f aca="false">(E124+E123)-E120</f>
        <v>199.99</v>
      </c>
      <c r="F125" s="2"/>
      <c r="G125" s="108" t="s">
        <v>129</v>
      </c>
      <c r="H125" s="64"/>
      <c r="I125" s="64"/>
      <c r="J125" s="64"/>
      <c r="K125" s="79" t="n">
        <f aca="false">(K124+K123)-K120</f>
        <v>7239.988</v>
      </c>
      <c r="L125" s="2"/>
      <c r="M125" s="108" t="s">
        <v>129</v>
      </c>
      <c r="N125" s="64"/>
      <c r="O125" s="64"/>
      <c r="P125" s="64"/>
      <c r="Q125" s="79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4"/>
      <c r="C126" s="14"/>
      <c r="D126" s="14"/>
      <c r="E126" s="15"/>
      <c r="F126" s="2"/>
      <c r="G126" s="6"/>
      <c r="H126" s="14"/>
      <c r="I126" s="14"/>
      <c r="J126" s="14"/>
      <c r="K126" s="15"/>
      <c r="L126" s="2"/>
      <c r="M126" s="6"/>
      <c r="N126" s="14"/>
      <c r="O126" s="14"/>
      <c r="P126" s="14"/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4"/>
      <c r="C127" s="14"/>
      <c r="D127" s="14"/>
      <c r="E127" s="15"/>
      <c r="F127" s="2"/>
      <c r="G127" s="6"/>
      <c r="H127" s="14"/>
      <c r="I127" s="14"/>
      <c r="J127" s="14"/>
      <c r="K127" s="15"/>
      <c r="L127" s="2"/>
      <c r="M127" s="6"/>
      <c r="N127" s="14"/>
      <c r="O127" s="14"/>
      <c r="P127" s="14"/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5" t="s">
        <v>130</v>
      </c>
      <c r="B128" s="35"/>
      <c r="C128" s="35"/>
      <c r="D128" s="35"/>
      <c r="E128" s="35"/>
      <c r="F128" s="2"/>
      <c r="G128" s="35" t="s">
        <v>130</v>
      </c>
      <c r="H128" s="35"/>
      <c r="I128" s="35"/>
      <c r="J128" s="35"/>
      <c r="K128" s="35"/>
      <c r="L128" s="2"/>
      <c r="M128" s="35" t="s">
        <v>130</v>
      </c>
      <c r="N128" s="35"/>
      <c r="O128" s="35"/>
      <c r="P128" s="35"/>
      <c r="Q128" s="3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4"/>
      <c r="C129" s="14"/>
      <c r="D129" s="14"/>
      <c r="E129" s="15"/>
      <c r="F129" s="2"/>
      <c r="G129" s="6"/>
      <c r="H129" s="14"/>
      <c r="I129" s="14"/>
      <c r="J129" s="14"/>
      <c r="K129" s="15"/>
      <c r="L129" s="2"/>
      <c r="M129" s="6"/>
      <c r="N129" s="14"/>
      <c r="O129" s="14"/>
      <c r="P129" s="14"/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36</v>
      </c>
      <c r="B130" s="37" t="n">
        <v>1200</v>
      </c>
      <c r="C130" s="37"/>
      <c r="D130" s="14"/>
      <c r="E130" s="15"/>
      <c r="F130" s="2"/>
      <c r="G130" s="6" t="s">
        <v>36</v>
      </c>
      <c r="H130" s="37" t="n">
        <v>0</v>
      </c>
      <c r="I130" s="37"/>
      <c r="J130" s="14"/>
      <c r="K130" s="15"/>
      <c r="L130" s="2"/>
      <c r="M130" s="6" t="s">
        <v>36</v>
      </c>
      <c r="N130" s="37" t="n">
        <v>0</v>
      </c>
      <c r="O130" s="37"/>
      <c r="P130" s="14"/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40</v>
      </c>
      <c r="B132" s="14" t="s">
        <v>41</v>
      </c>
      <c r="C132" s="14"/>
      <c r="D132" s="14" t="s">
        <v>69</v>
      </c>
      <c r="E132" s="15"/>
      <c r="F132" s="2"/>
      <c r="G132" s="6" t="s">
        <v>40</v>
      </c>
      <c r="H132" s="14" t="s">
        <v>41</v>
      </c>
      <c r="I132" s="14"/>
      <c r="J132" s="14" t="s">
        <v>69</v>
      </c>
      <c r="K132" s="15"/>
      <c r="L132" s="2"/>
      <c r="M132" s="6" t="s">
        <v>40</v>
      </c>
      <c r="N132" s="14" t="s">
        <v>41</v>
      </c>
      <c r="O132" s="14"/>
      <c r="P132" s="14" t="s">
        <v>69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n">
        <f aca="false">A158</f>
        <v>33</v>
      </c>
      <c r="B133" s="41" t="n">
        <f aca="false">B157</f>
        <v>11000</v>
      </c>
      <c r="C133" s="42"/>
      <c r="D133" s="41" t="n">
        <f aca="false">B64</f>
        <v>32</v>
      </c>
      <c r="E133" s="15"/>
      <c r="F133" s="2"/>
      <c r="G133" s="40" t="n">
        <f aca="false">G158</f>
        <v>33</v>
      </c>
      <c r="H133" s="41" t="n">
        <f aca="false">B157</f>
        <v>11000</v>
      </c>
      <c r="I133" s="42"/>
      <c r="J133" s="41" t="n">
        <f aca="false">B64</f>
        <v>32</v>
      </c>
      <c r="K133" s="15"/>
      <c r="L133" s="2"/>
      <c r="M133" s="40" t="n">
        <f aca="false">M161</f>
        <v>33</v>
      </c>
      <c r="N133" s="41" t="n">
        <f aca="false">B157</f>
        <v>11000</v>
      </c>
      <c r="O133" s="42"/>
      <c r="P133" s="41" t="n">
        <f aca="false">B64</f>
        <v>32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09" t="s">
        <v>131</v>
      </c>
      <c r="B135" s="110" t="s">
        <v>132</v>
      </c>
      <c r="C135" s="110"/>
      <c r="D135" s="110" t="s">
        <v>97</v>
      </c>
      <c r="E135" s="15"/>
      <c r="F135" s="2"/>
      <c r="G135" s="109" t="s">
        <v>133</v>
      </c>
      <c r="H135" s="110" t="s">
        <v>134</v>
      </c>
      <c r="I135" s="110"/>
      <c r="J135" s="110" t="s">
        <v>135</v>
      </c>
      <c r="K135" s="15"/>
      <c r="L135" s="2"/>
      <c r="M135" s="109" t="s">
        <v>131</v>
      </c>
      <c r="N135" s="110" t="s">
        <v>132</v>
      </c>
      <c r="O135" s="110"/>
      <c r="P135" s="110" t="s">
        <v>97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1" t="n">
        <f aca="false">B96</f>
        <v>606.021133073372</v>
      </c>
      <c r="B136" s="112" t="n">
        <f aca="false">IF(A111="YES", B95*B63, 0)</f>
        <v>27.276</v>
      </c>
      <c r="C136" s="112"/>
      <c r="D136" s="112" t="n">
        <f aca="false">B97</f>
        <v>633.297133073372</v>
      </c>
      <c r="E136" s="15"/>
      <c r="F136" s="2"/>
      <c r="G136" s="111" t="n">
        <f aca="false">H96</f>
        <v>884.681158397203</v>
      </c>
      <c r="H136" s="112" t="n">
        <f aca="false">IF(G111="YES", H95*H63, 0)</f>
        <v>98.1936</v>
      </c>
      <c r="I136" s="112"/>
      <c r="J136" s="113" t="n">
        <f aca="false">H97</f>
        <v>917.412358397203</v>
      </c>
      <c r="K136" s="15"/>
      <c r="L136" s="2"/>
      <c r="M136" s="111" t="n">
        <f aca="false">N96</f>
        <v>541.264233195203</v>
      </c>
      <c r="N136" s="112" t="n">
        <f aca="false">IF(M111="YES", N95*N63, 0)</f>
        <v>245.484</v>
      </c>
      <c r="O136" s="112"/>
      <c r="P136" s="112" t="n">
        <f aca="false">N97</f>
        <v>561.721233195203</v>
      </c>
      <c r="Q136" s="15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136</v>
      </c>
      <c r="B138" s="14" t="s">
        <v>137</v>
      </c>
      <c r="C138" s="14"/>
      <c r="D138" s="14" t="s">
        <v>138</v>
      </c>
      <c r="E138" s="15"/>
      <c r="F138" s="2"/>
      <c r="G138" s="6" t="s">
        <v>139</v>
      </c>
      <c r="H138" s="14" t="s">
        <v>140</v>
      </c>
      <c r="I138" s="14"/>
      <c r="J138" s="14" t="s">
        <v>141</v>
      </c>
      <c r="K138" s="15"/>
      <c r="L138" s="2"/>
      <c r="M138" s="6" t="s">
        <v>136</v>
      </c>
      <c r="N138" s="14" t="s">
        <v>137</v>
      </c>
      <c r="O138" s="14"/>
      <c r="P138" s="14" t="s">
        <v>138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47" t="n">
        <f aca="false">B96*B63</f>
        <v>606.021133073372</v>
      </c>
      <c r="B139" s="48" t="n">
        <f aca="false">IF(A111="YES", B95*B63, 0)</f>
        <v>27.276</v>
      </c>
      <c r="C139" s="49"/>
      <c r="D139" s="50" t="n">
        <f aca="false">B97*B63</f>
        <v>633.297133073372</v>
      </c>
      <c r="E139" s="15"/>
      <c r="F139" s="2"/>
      <c r="G139" s="47" t="n">
        <f aca="false">H96*H63</f>
        <v>2654.04347519161</v>
      </c>
      <c r="H139" s="48" t="n">
        <f aca="false">IF(G111="YES", H95*H63, 0)</f>
        <v>98.1936</v>
      </c>
      <c r="I139" s="49"/>
      <c r="J139" s="48" t="n">
        <f aca="false">H97*H63</f>
        <v>2752.23707519161</v>
      </c>
      <c r="K139" s="15"/>
      <c r="L139" s="2"/>
      <c r="M139" s="47" t="n">
        <f aca="false">N96*N63</f>
        <v>6495.17079834244</v>
      </c>
      <c r="N139" s="48" t="n">
        <f aca="false">IF(M111="YES", N95*N63, 0)</f>
        <v>245.484</v>
      </c>
      <c r="O139" s="49"/>
      <c r="P139" s="50" t="n">
        <f aca="false">N97*N63</f>
        <v>6740.65479834244</v>
      </c>
      <c r="Q139" s="15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142</v>
      </c>
      <c r="B141" s="14" t="s">
        <v>143</v>
      </c>
      <c r="C141" s="14"/>
      <c r="D141" s="14" t="s">
        <v>144</v>
      </c>
      <c r="E141" s="15"/>
      <c r="F141" s="2"/>
      <c r="G141" s="6" t="s">
        <v>145</v>
      </c>
      <c r="H141" s="14" t="s">
        <v>146</v>
      </c>
      <c r="I141" s="14"/>
      <c r="J141" s="14" t="s">
        <v>147</v>
      </c>
      <c r="K141" s="15"/>
      <c r="L141" s="2"/>
      <c r="M141" s="6" t="s">
        <v>142</v>
      </c>
      <c r="N141" s="14" t="s">
        <v>143</v>
      </c>
      <c r="O141" s="14"/>
      <c r="P141" s="14" t="s">
        <v>144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E15*0.000006</f>
        <v>1.011</v>
      </c>
      <c r="B142" s="48" t="n">
        <f aca="false">IF(A111="YES", E15*0.000002, 0)</f>
        <v>0.337</v>
      </c>
      <c r="C142" s="48"/>
      <c r="D142" s="48" t="n">
        <f aca="false">A142+B142</f>
        <v>1.348</v>
      </c>
      <c r="E142" s="114"/>
      <c r="F142" s="2"/>
      <c r="G142" s="51" t="n">
        <f aca="false">E15*0.000006</f>
        <v>1.011</v>
      </c>
      <c r="H142" s="48" t="n">
        <f aca="false">IF(G111="YES", E15*0.000002, 0)</f>
        <v>0.337</v>
      </c>
      <c r="I142" s="48"/>
      <c r="J142" s="48" t="n">
        <f aca="false">G142+H142</f>
        <v>1.348</v>
      </c>
      <c r="K142" s="114"/>
      <c r="L142" s="2"/>
      <c r="M142" s="51" t="n">
        <f aca="false">E15*0.000006</f>
        <v>1.011</v>
      </c>
      <c r="N142" s="48" t="n">
        <f aca="false">IF(M111="YES", E15*0.000002, 0)</f>
        <v>0.337</v>
      </c>
      <c r="O142" s="48"/>
      <c r="P142" s="48" t="n">
        <f aca="false">M142+N142</f>
        <v>1.348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148</v>
      </c>
      <c r="B144" s="14" t="s">
        <v>149</v>
      </c>
      <c r="C144" s="14"/>
      <c r="D144" s="14" t="s">
        <v>150</v>
      </c>
      <c r="E144" s="15"/>
      <c r="F144" s="2"/>
      <c r="G144" s="6" t="s">
        <v>151</v>
      </c>
      <c r="H144" s="14" t="s">
        <v>149</v>
      </c>
      <c r="I144" s="14"/>
      <c r="J144" s="14" t="s">
        <v>150</v>
      </c>
      <c r="K144" s="15"/>
      <c r="L144" s="2"/>
      <c r="M144" s="6" t="s">
        <v>148</v>
      </c>
      <c r="N144" s="14" t="s">
        <v>149</v>
      </c>
      <c r="O144" s="14"/>
      <c r="P144" s="14" t="s">
        <v>150</v>
      </c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A108</f>
        <v>199.99</v>
      </c>
      <c r="B145" s="48" t="n">
        <f aca="false">B73/1.2</f>
        <v>2596.875</v>
      </c>
      <c r="C145" s="48"/>
      <c r="D145" s="48" t="n">
        <f aca="false">B108*0.9</f>
        <v>0</v>
      </c>
      <c r="E145" s="114"/>
      <c r="F145" s="2"/>
      <c r="G145" s="51" t="n">
        <f aca="false">G108</f>
        <v>239.988</v>
      </c>
      <c r="H145" s="48" t="n">
        <f aca="false">H73/1.2</f>
        <v>1298.4375</v>
      </c>
      <c r="I145" s="48"/>
      <c r="J145" s="48" t="n">
        <f aca="false">H108*0.9</f>
        <v>1080</v>
      </c>
      <c r="K145" s="114"/>
      <c r="L145" s="2"/>
      <c r="M145" s="51" t="n">
        <f aca="false">M108</f>
        <v>199.99</v>
      </c>
      <c r="N145" s="48" t="n">
        <f aca="false">N73/1.2</f>
        <v>1298.4375</v>
      </c>
      <c r="O145" s="48"/>
      <c r="P145" s="48" t="n">
        <f aca="false">N108*0.9</f>
        <v>1080</v>
      </c>
      <c r="Q145" s="1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6"/>
      <c r="N146" s="14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152</v>
      </c>
      <c r="B147" s="14" t="s">
        <v>153</v>
      </c>
      <c r="C147" s="14"/>
      <c r="D147" s="14" t="s">
        <v>154</v>
      </c>
      <c r="E147" s="15"/>
      <c r="F147" s="2"/>
      <c r="G147" s="6" t="s">
        <v>152</v>
      </c>
      <c r="H147" s="14" t="s">
        <v>153</v>
      </c>
      <c r="I147" s="14"/>
      <c r="J147" s="14" t="s">
        <v>154</v>
      </c>
      <c r="K147" s="15"/>
      <c r="L147" s="2"/>
      <c r="M147" s="6" t="s">
        <v>152</v>
      </c>
      <c r="N147" s="14" t="s">
        <v>153</v>
      </c>
      <c r="O147" s="14"/>
      <c r="P147" s="14" t="s">
        <v>154</v>
      </c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51" t="n">
        <f aca="false">IF(A111="YES", ((A41*B111)*0.1)*(A133), 0)</f>
        <v>15.0018</v>
      </c>
      <c r="B148" s="48" t="n">
        <f aca="false">A108-100</f>
        <v>99.99</v>
      </c>
      <c r="C148" s="48"/>
      <c r="D148" s="48" t="n">
        <f aca="false">(B145+D145+A148+B148)-B151</f>
        <v>2711.8668</v>
      </c>
      <c r="E148" s="114"/>
      <c r="F148" s="2"/>
      <c r="G148" s="51" t="n">
        <f aca="false">IF(G111="YES", ((A41*H111)*0.1)*(G133), 0)</f>
        <v>15.0018</v>
      </c>
      <c r="H148" s="48" t="n">
        <f aca="false">G108-100</f>
        <v>139.988</v>
      </c>
      <c r="I148" s="48"/>
      <c r="J148" s="48" t="n">
        <f aca="false">(H145+J145+G148+H148)-H151</f>
        <v>2533.4273</v>
      </c>
      <c r="K148" s="114"/>
      <c r="L148" s="2"/>
      <c r="M148" s="51" t="n">
        <f aca="false">IF(M111="YES", ((A41*N111)*0.1)*(M133), 0)</f>
        <v>15.0018</v>
      </c>
      <c r="N148" s="48" t="n">
        <f aca="false">M108-100</f>
        <v>99.99</v>
      </c>
      <c r="O148" s="48"/>
      <c r="P148" s="48" t="n">
        <f aca="false">(N145+P145+M148+N148)-N151</f>
        <v>2493.4293</v>
      </c>
      <c r="Q148" s="1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14"/>
      <c r="I149" s="14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155</v>
      </c>
      <c r="B150" s="14" t="s">
        <v>156</v>
      </c>
      <c r="C150" s="14"/>
      <c r="D150" s="14"/>
      <c r="E150" s="15"/>
      <c r="F150" s="2"/>
      <c r="G150" s="6" t="s">
        <v>155</v>
      </c>
      <c r="H150" s="14" t="s">
        <v>156</v>
      </c>
      <c r="I150" s="14"/>
      <c r="J150" s="14"/>
      <c r="K150" s="15"/>
      <c r="L150" s="2"/>
      <c r="M150" s="6" t="s">
        <v>155</v>
      </c>
      <c r="N150" s="14" t="s">
        <v>156</v>
      </c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51" t="n">
        <v>0</v>
      </c>
      <c r="B151" s="48" t="n">
        <f aca="false">(B145+D145+A148+B148)*(A151/B70)</f>
        <v>0</v>
      </c>
      <c r="C151" s="14"/>
      <c r="D151" s="14"/>
      <c r="E151" s="15"/>
      <c r="F151" s="2"/>
      <c r="G151" s="51" t="n">
        <f aca="false">IF((1200-H108) &lt;= 0, 0, (1200-H108))</f>
        <v>0</v>
      </c>
      <c r="H151" s="48" t="n">
        <f aca="false">(H145+J145+G148+H148)*(G151/H70)</f>
        <v>0</v>
      </c>
      <c r="I151" s="14"/>
      <c r="J151" s="14"/>
      <c r="K151" s="15"/>
      <c r="L151" s="2"/>
      <c r="M151" s="51" t="n">
        <f aca="false">IF((1200-N108) &lt;= 0, 0, (1200-N108))</f>
        <v>0</v>
      </c>
      <c r="N151" s="48" t="n">
        <f aca="false">(N145+P145+M148+N148)*(M151/N70)</f>
        <v>0</v>
      </c>
      <c r="O151" s="14"/>
      <c r="P151" s="14"/>
      <c r="Q151" s="15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4"/>
      <c r="C152" s="14"/>
      <c r="D152" s="14"/>
      <c r="E152" s="15"/>
      <c r="F152" s="2"/>
      <c r="G152" s="6"/>
      <c r="H152" s="14"/>
      <c r="I152" s="14"/>
      <c r="J152" s="14"/>
      <c r="K152" s="15"/>
      <c r="L152" s="2"/>
      <c r="M152" s="51"/>
      <c r="N152" s="48"/>
      <c r="O152" s="14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115" t="s">
        <v>157</v>
      </c>
      <c r="N153" s="106" t="s">
        <v>158</v>
      </c>
      <c r="O153" s="14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159</v>
      </c>
      <c r="B154" s="14"/>
      <c r="C154" s="14"/>
      <c r="D154" s="67"/>
      <c r="E154" s="68"/>
      <c r="F154" s="2"/>
      <c r="G154" s="66" t="s">
        <v>159</v>
      </c>
      <c r="H154" s="14"/>
      <c r="I154" s="14"/>
      <c r="J154" s="67"/>
      <c r="K154" s="68"/>
      <c r="L154" s="2"/>
      <c r="M154" s="116" t="n">
        <f aca="false">H40</f>
        <v>0</v>
      </c>
      <c r="N154" s="117" t="n">
        <v>0.99</v>
      </c>
      <c r="O154" s="117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70"/>
      <c r="C155" s="70"/>
      <c r="D155" s="14"/>
      <c r="E155" s="15"/>
      <c r="F155" s="2"/>
      <c r="G155" s="6"/>
      <c r="H155" s="70"/>
      <c r="I155" s="70"/>
      <c r="J155" s="14"/>
      <c r="K155" s="15"/>
      <c r="L155" s="2"/>
      <c r="M155" s="6"/>
      <c r="N155" s="14"/>
      <c r="O155" s="14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2" t="s">
        <v>40</v>
      </c>
      <c r="B156" s="73" t="s">
        <v>41</v>
      </c>
      <c r="C156" s="73"/>
      <c r="D156" s="14"/>
      <c r="E156" s="15"/>
      <c r="F156" s="2"/>
      <c r="G156" s="72" t="s">
        <v>40</v>
      </c>
      <c r="H156" s="73" t="s">
        <v>41</v>
      </c>
      <c r="I156" s="73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4" t="n">
        <f aca="false">B57</f>
        <v>11000</v>
      </c>
      <c r="C157" s="74"/>
      <c r="D157" s="14"/>
      <c r="E157" s="15"/>
      <c r="F157" s="2"/>
      <c r="G157" s="72"/>
      <c r="H157" s="74" t="n">
        <f aca="false">B57</f>
        <v>11000</v>
      </c>
      <c r="I157" s="74"/>
      <c r="J157" s="14"/>
      <c r="K157" s="15"/>
      <c r="L157" s="2"/>
      <c r="M157" s="66" t="s">
        <v>159</v>
      </c>
      <c r="N157" s="14"/>
      <c r="O157" s="14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5" t="n">
        <f aca="false">A58</f>
        <v>33</v>
      </c>
      <c r="B158" s="76" t="n">
        <f aca="false">B97</f>
        <v>633.297133073372</v>
      </c>
      <c r="C158" s="76"/>
      <c r="D158" s="14"/>
      <c r="E158" s="15"/>
      <c r="F158" s="2"/>
      <c r="G158" s="75" t="n">
        <f aca="false">A58</f>
        <v>33</v>
      </c>
      <c r="H158" s="76" t="n">
        <f aca="false">H97</f>
        <v>917.412358397203</v>
      </c>
      <c r="I158" s="76"/>
      <c r="J158" s="14"/>
      <c r="K158" s="15"/>
      <c r="L158" s="2"/>
      <c r="M158" s="6"/>
      <c r="N158" s="70"/>
      <c r="O158" s="70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4"/>
      <c r="C159" s="14"/>
      <c r="D159" s="14"/>
      <c r="E159" s="15"/>
      <c r="F159" s="2"/>
      <c r="G159" s="6"/>
      <c r="H159" s="14"/>
      <c r="I159" s="14"/>
      <c r="J159" s="14"/>
      <c r="K159" s="15"/>
      <c r="L159" s="2"/>
      <c r="M159" s="72" t="s">
        <v>40</v>
      </c>
      <c r="N159" s="73" t="s">
        <v>41</v>
      </c>
      <c r="O159" s="73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4"/>
      <c r="C160" s="14"/>
      <c r="D160" s="14"/>
      <c r="E160" s="15"/>
      <c r="F160" s="2"/>
      <c r="G160" s="6"/>
      <c r="H160" s="14"/>
      <c r="I160" s="14"/>
      <c r="J160" s="14"/>
      <c r="K160" s="15"/>
      <c r="L160" s="2"/>
      <c r="M160" s="72"/>
      <c r="N160" s="74" t="n">
        <f aca="false">B57</f>
        <v>11000</v>
      </c>
      <c r="O160" s="7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4"/>
      <c r="C161" s="14"/>
      <c r="D161" s="14"/>
      <c r="E161" s="15"/>
      <c r="F161" s="2"/>
      <c r="G161" s="6"/>
      <c r="H161" s="14"/>
      <c r="I161" s="14"/>
      <c r="J161" s="14"/>
      <c r="K161" s="15"/>
      <c r="L161" s="2"/>
      <c r="M161" s="75" t="n">
        <f aca="false">A58</f>
        <v>33</v>
      </c>
      <c r="N161" s="76" t="n">
        <f aca="false">N97</f>
        <v>561.721233195203</v>
      </c>
      <c r="O161" s="76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4"/>
      <c r="C162" s="14"/>
      <c r="D162" s="14"/>
      <c r="E162" s="15"/>
      <c r="F162" s="2"/>
      <c r="G162" s="6"/>
      <c r="H162" s="14"/>
      <c r="I162" s="14"/>
      <c r="J162" s="14"/>
      <c r="K162" s="15"/>
      <c r="L162" s="2"/>
      <c r="M162" s="6"/>
      <c r="N162" s="14"/>
      <c r="O162" s="14"/>
      <c r="P162" s="14"/>
      <c r="Q162" s="1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63"/>
      <c r="B163" s="64"/>
      <c r="C163" s="64"/>
      <c r="D163" s="64"/>
      <c r="E163" s="65"/>
      <c r="F163" s="2"/>
      <c r="G163" s="63"/>
      <c r="H163" s="64"/>
      <c r="I163" s="64"/>
      <c r="J163" s="64"/>
      <c r="K163" s="65"/>
      <c r="L163" s="2"/>
      <c r="M163" s="6"/>
      <c r="N163" s="14"/>
      <c r="O163" s="14"/>
      <c r="P163" s="14"/>
      <c r="Q163" s="15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4"/>
      <c r="O164" s="14"/>
      <c r="P164" s="14"/>
      <c r="Q164" s="15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4"/>
      <c r="O165" s="14"/>
      <c r="P165" s="14"/>
      <c r="Q165" s="15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4"/>
      <c r="O166" s="14"/>
      <c r="P166" s="14"/>
      <c r="Q166" s="15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4"/>
      <c r="O167" s="14"/>
      <c r="P167" s="14"/>
      <c r="Q167" s="15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63"/>
      <c r="N168" s="64"/>
      <c r="O168" s="64"/>
      <c r="P168" s="64"/>
      <c r="Q168" s="65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2.00390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1.87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135750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5" t="n">
        <v>0</v>
      </c>
      <c r="C4" s="135" t="n">
        <v>0</v>
      </c>
      <c r="D4" s="135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135750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6" t="n">
        <f aca="false">B7+C7+D7+E3</f>
        <v>135750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27150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137" t="n">
        <f aca="false">(E9+E10+E13+E14+E11)-E12</f>
        <v>163535</v>
      </c>
      <c r="F15" s="2"/>
      <c r="G15" s="21" t="n">
        <f aca="false">E15</f>
        <v>163535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(B3+C3+E10+D3+E3)*1.2</f>
        <v>162900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163535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163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164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54</v>
      </c>
      <c r="H27" s="34" t="n">
        <f aca="false">IF(A32=Y103,1,IF(A32=Y104,1,IF(A32=Y105,3,IF(A32=Y106,6,IF(A32=Y107,9,IF(A32=Y108,12,IF(A32=Y109,3,IF(A32=Y110,6,IF(A32=Y111,9,0)))))))))</f>
        <v>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165</v>
      </c>
      <c r="B28" s="49" t="s">
        <v>166</v>
      </c>
      <c r="C28" s="14"/>
      <c r="D28" s="49" t="s">
        <v>167</v>
      </c>
      <c r="E28" s="15"/>
      <c r="F28" s="2"/>
      <c r="G28" s="34" t="s">
        <v>69</v>
      </c>
      <c r="H28" s="34" t="n">
        <f aca="false">IF(A32=Y103,H29-H27,IF(A32=Y104,H29-H27,IF(A32=Y105,H29-1,IF(A32=Y106,H29-1,IF(A32=Y107,H29-1,IF(A32=Y108,H29-1,IF(A32=Y109,H29-H27,IF(A32=Y110,H29-H27,IF(A32=Y111,H29-H27,0)))))))))</f>
        <v>35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168</v>
      </c>
      <c r="B29" s="138" t="n">
        <v>12345</v>
      </c>
      <c r="C29" s="138"/>
      <c r="D29" s="139" t="n">
        <f aca="true">TODAY()+1</f>
        <v>44869</v>
      </c>
      <c r="E29" s="139"/>
      <c r="F29" s="2"/>
      <c r="G29" s="33" t="s">
        <v>35</v>
      </c>
      <c r="H29" s="33" t="n">
        <f aca="false">B35</f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0"/>
      <c r="C30" s="140"/>
      <c r="D30" s="14"/>
      <c r="E30" s="15"/>
      <c r="F30" s="2"/>
      <c r="G30" s="33" t="s">
        <v>38</v>
      </c>
      <c r="H30" s="33" t="n">
        <f aca="false">D35</f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30</v>
      </c>
      <c r="B31" s="49" t="s">
        <v>169</v>
      </c>
      <c r="C31" s="14"/>
      <c r="D31" s="49" t="s">
        <v>137</v>
      </c>
      <c r="E31" s="15"/>
      <c r="F31" s="2"/>
      <c r="G31" s="33" t="s">
        <v>170</v>
      </c>
      <c r="H31" s="141" t="n">
        <f aca="false">D38</f>
        <v>2845.38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112</v>
      </c>
      <c r="B32" s="142" t="n">
        <f aca="false">IF(A32=Y103,D38,IF(A32=Y104,D38,IF(A32=Y105,(D38*3),IF(A32=Y106,(D38*6),IF(A32=Y107,(D38*9),IF(A32=Y108,(D38*12),IF(A32=Y109,D38,IF(A32=Y110,D38,IF(A32=Y111,D38,0)))))))))</f>
        <v>25608.42</v>
      </c>
      <c r="C32" s="142"/>
      <c r="D32" s="142" t="n">
        <f aca="false">IF(A32=Y103,A41,IF(A32=Y104,A41,IF(A32=Y105,(A41*3),IF(A32=Y106,(A41*6),IF(A32=Y107,(A41*9),IF(A32=Y108,(A41*12),IF(A32=Y109,A41,IF(A32=Y110,A41,IF(A32=Y111,A41,0)))))))))</f>
        <v>1035.81</v>
      </c>
      <c r="E32" s="142"/>
      <c r="F32" s="2"/>
      <c r="G32" s="143" t="s">
        <v>171</v>
      </c>
      <c r="H32" s="141" t="n">
        <f aca="false">A41</f>
        <v>115.09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4"/>
      <c r="E33" s="15"/>
      <c r="F33" s="2"/>
      <c r="G33" s="143"/>
      <c r="H33" s="3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138</v>
      </c>
      <c r="B34" s="145" t="s">
        <v>173</v>
      </c>
      <c r="C34" s="42"/>
      <c r="D34" s="146" t="s">
        <v>174</v>
      </c>
      <c r="E34" s="15"/>
      <c r="F34" s="2"/>
      <c r="G34" s="143" t="s">
        <v>175</v>
      </c>
      <c r="H34" s="141" t="n">
        <f aca="false">D41</f>
        <v>100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2" t="n">
        <f aca="false">B32+D32</f>
        <v>26644.23</v>
      </c>
      <c r="B35" s="138" t="n">
        <v>36</v>
      </c>
      <c r="C35" s="138"/>
      <c r="D35" s="138" t="n">
        <v>10000</v>
      </c>
      <c r="E35" s="138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176</v>
      </c>
      <c r="B37" s="49" t="s">
        <v>177</v>
      </c>
      <c r="C37" s="14"/>
      <c r="D37" s="49" t="s">
        <v>178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7" t="n">
        <f aca="false">(B35/12)*D35</f>
        <v>30000</v>
      </c>
      <c r="B38" s="138" t="s">
        <v>25</v>
      </c>
      <c r="C38" s="138"/>
      <c r="D38" s="148" t="n">
        <v>2845.38</v>
      </c>
      <c r="E38" s="148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49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0" t="s">
        <v>132</v>
      </c>
      <c r="B40" s="151" t="s">
        <v>97</v>
      </c>
      <c r="C40" s="42"/>
      <c r="D40" s="50" t="s">
        <v>148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8" t="n">
        <v>115.09</v>
      </c>
      <c r="B41" s="152" t="n">
        <f aca="false">IF(B38="YES", D38+A41, D38)</f>
        <v>2960.47</v>
      </c>
      <c r="C41" s="152"/>
      <c r="D41" s="148" t="n">
        <v>100</v>
      </c>
      <c r="E41" s="148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49"/>
      <c r="B42" s="42"/>
      <c r="C42" s="42"/>
      <c r="D42" s="42"/>
      <c r="E42" s="153"/>
      <c r="F42" s="2"/>
      <c r="G42" s="52" t="s">
        <v>50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0" t="s">
        <v>142</v>
      </c>
      <c r="B43" s="151" t="s">
        <v>143</v>
      </c>
      <c r="C43" s="42"/>
      <c r="D43" s="151" t="s">
        <v>144</v>
      </c>
      <c r="E43" s="153"/>
      <c r="F43" s="2"/>
      <c r="G43" s="2" t="s">
        <v>180</v>
      </c>
      <c r="H43" s="53" t="n">
        <f aca="false">(((D38*(B35-1))+B32)/B35) + (D41/B35)</f>
        <v>3480.46444444444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8" t="n">
        <v>500</v>
      </c>
      <c r="B44" s="148" t="n">
        <v>500</v>
      </c>
      <c r="C44" s="148"/>
      <c r="D44" s="162" t="n">
        <f aca="false">A44+B44</f>
        <v>1000</v>
      </c>
      <c r="E44" s="162"/>
      <c r="F44" s="2"/>
      <c r="G44" s="2" t="s">
        <v>181</v>
      </c>
      <c r="H44" s="53" t="n">
        <f aca="false">((A41*(B35-1))+D32)/B35</f>
        <v>140.665555555556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49"/>
      <c r="B45" s="42"/>
      <c r="C45" s="42"/>
      <c r="D45" s="42"/>
      <c r="E45" s="153"/>
      <c r="F45" s="2"/>
      <c r="G45" s="2" t="s">
        <v>182</v>
      </c>
      <c r="H45" s="155" t="n">
        <f aca="false">H43+H44</f>
        <v>3621.13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8" t="s">
        <v>187</v>
      </c>
      <c r="B46" s="42"/>
      <c r="C46" s="42"/>
      <c r="D46" s="42"/>
      <c r="E46" s="153"/>
      <c r="F46" s="2"/>
      <c r="G46" s="2" t="s">
        <v>185</v>
      </c>
      <c r="H46" s="53" t="n">
        <f aca="false">H43</f>
        <v>3480.46444444444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49"/>
      <c r="B47" s="42"/>
      <c r="C47" s="42"/>
      <c r="D47" s="42"/>
      <c r="E47" s="153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/>
      <c r="H49" s="71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H45</f>
        <v>3621.13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IF(B99=Y103,1,IF(B99=Y104,1,IF(B99=Y105,3,IF(B99=Y106,6,IF(B99=Y107,9,IF(B99=Y108,12,IF(B99=Y109,3,IF(B99=Y110,6,IF(B99=Y111,9,0)))))))))</f>
        <v>1</v>
      </c>
      <c r="C57" s="14"/>
      <c r="D57" s="14"/>
      <c r="E57" s="15"/>
      <c r="F57" s="2"/>
      <c r="G57" s="6" t="s">
        <v>54</v>
      </c>
      <c r="H57" s="14" t="n">
        <f aca="false">IF(H99=Y103,1,IF(H99=Y104,1,IF(H99=Y105,3,IF(H99=Y106,6,IF(H99=Y107,9,IF(H99=Y108,12,IF(H99=Y109,3,IF(H99=Y110,6,IF(H99=Y111,9,0)))))))))</f>
        <v>1</v>
      </c>
      <c r="I57" s="14"/>
      <c r="J57" s="14"/>
      <c r="K57" s="1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IF(B99=Y103,H29-B57,IF(B99=Y104,H29-B57,IF(B99=Y105,H29-1,IF(B99=Y106,H29-1,IF(B99=Y107,H29-1,IF(B99=Y108,H29-1,IF(B99=Y109,H29-B57,IF(B99=Y110,H29-B57,IF(B99=Y111,H29-B57,0)))))))))</f>
        <v>35</v>
      </c>
      <c r="C58" s="14" t="s">
        <v>189</v>
      </c>
      <c r="D58" s="14"/>
      <c r="E58" s="15"/>
      <c r="F58" s="2"/>
      <c r="G58" s="6" t="s">
        <v>69</v>
      </c>
      <c r="H58" s="14" t="n">
        <f aca="false">IF(H99=Y103,H29-H57,IF(H99=Y104,H29-H57,IF(H99=Y105,H29-1,IF(H99=Y106,H29-1,IF(H99=Y107,H29-1,IF(H99=Y108,H29-1,IF(H99=Y109,H29-H57,IF(H99=Y110,H29-H57,IF(H99=Y111,H29-H57,0)))))))))</f>
        <v>35</v>
      </c>
      <c r="I58" s="14"/>
      <c r="J58" s="14"/>
      <c r="K58" s="1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162900</v>
      </c>
      <c r="C61" s="14"/>
      <c r="D61" s="14"/>
      <c r="E61" s="15"/>
      <c r="F61" s="2"/>
      <c r="G61" s="6" t="s">
        <v>21</v>
      </c>
      <c r="H61" s="12" t="n">
        <f aca="false">G18</f>
        <v>162900</v>
      </c>
      <c r="I61" s="14"/>
      <c r="J61" s="14"/>
      <c r="K61" s="1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17104.5</v>
      </c>
      <c r="C64" s="14"/>
      <c r="D64" s="12" t="n">
        <f aca="false">B64</f>
        <v>17104.5</v>
      </c>
      <c r="E64" s="15"/>
      <c r="F64" s="2"/>
      <c r="G64" s="63" t="s">
        <v>72</v>
      </c>
      <c r="H64" s="79" t="n">
        <f aca="false">H61*H63</f>
        <v>17104.5</v>
      </c>
      <c r="I64" s="14"/>
      <c r="J64" s="12" t="n">
        <f aca="false">H64</f>
        <v>17104.5</v>
      </c>
      <c r="K64" s="1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0.005</v>
      </c>
      <c r="C65" s="14"/>
      <c r="D65" s="14"/>
      <c r="E65" s="15"/>
      <c r="F65" s="2"/>
      <c r="G65" s="77" t="s">
        <v>73</v>
      </c>
      <c r="H65" s="78" t="n">
        <v>0.005</v>
      </c>
      <c r="I65" s="14"/>
      <c r="J65" s="14"/>
      <c r="K65" s="1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0.01</v>
      </c>
      <c r="C66" s="14"/>
      <c r="D66" s="14"/>
      <c r="E66" s="15"/>
      <c r="F66" s="2"/>
      <c r="G66" s="6" t="s">
        <v>74</v>
      </c>
      <c r="H66" s="10" t="n">
        <f aca="false">H65+(H65*0.5*(H29/12-1))</f>
        <v>0.01</v>
      </c>
      <c r="I66" s="14"/>
      <c r="J66" s="14"/>
      <c r="K66" s="1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B61*B66</f>
        <v>1629</v>
      </c>
      <c r="C67" s="14"/>
      <c r="D67" s="12"/>
      <c r="E67" s="15"/>
      <c r="F67" s="2"/>
      <c r="G67" s="63" t="s">
        <v>75</v>
      </c>
      <c r="H67" s="79" t="n">
        <f aca="false">H61*H66</f>
        <v>1629</v>
      </c>
      <c r="I67" s="14"/>
      <c r="J67" s="12"/>
      <c r="K67" s="1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160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4.5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162</v>
      </c>
      <c r="C73" s="14"/>
      <c r="D73" s="12" t="n">
        <f aca="false">B73+B71</f>
        <v>322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150</v>
      </c>
      <c r="C74" s="14"/>
      <c r="D74" s="14"/>
      <c r="E74" s="15"/>
      <c r="F74" s="2"/>
      <c r="G74" s="77" t="s">
        <v>82</v>
      </c>
      <c r="H74" s="83" t="n">
        <v>150</v>
      </c>
      <c r="I74" s="14"/>
      <c r="J74" s="14"/>
      <c r="K74" s="1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f aca="false">IF(G18&gt;40000, 325, 0)</f>
        <v>325</v>
      </c>
      <c r="C75" s="14"/>
      <c r="D75" s="14"/>
      <c r="E75" s="15"/>
      <c r="F75" s="2"/>
      <c r="G75" s="3" t="s">
        <v>83</v>
      </c>
      <c r="H75" s="84" t="n">
        <f aca="false">IF(G18&gt;40000, 325, 0)</f>
        <v>325</v>
      </c>
      <c r="I75" s="14"/>
      <c r="J75" s="14"/>
      <c r="K75" s="1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989.583333333333</v>
      </c>
      <c r="C76" s="14"/>
      <c r="D76" s="12" t="n">
        <f aca="false">B76</f>
        <v>989.583333333333</v>
      </c>
      <c r="E76" s="15"/>
      <c r="F76" s="2"/>
      <c r="G76" s="63" t="s">
        <v>84</v>
      </c>
      <c r="H76" s="79" t="n">
        <f aca="false">((H74+H75)/12)*(H29-11)</f>
        <v>989.583333333333</v>
      </c>
      <c r="I76" s="14"/>
      <c r="J76" s="12" t="n">
        <f aca="false">H76</f>
        <v>989.583333333333</v>
      </c>
      <c r="K76" s="1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83" t="n">
        <f aca="false">B102</f>
        <v>1200</v>
      </c>
      <c r="C77" s="14"/>
      <c r="D77" s="12" t="n">
        <f aca="false">B77</f>
        <v>1200</v>
      </c>
      <c r="E77" s="15"/>
      <c r="F77" s="2"/>
      <c r="G77" s="77" t="s">
        <v>85</v>
      </c>
      <c r="H77" s="83" t="n">
        <f aca="false">H102</f>
        <v>1200</v>
      </c>
      <c r="I77" s="14"/>
      <c r="J77" s="12" t="n">
        <f aca="false">H77</f>
        <v>1200</v>
      </c>
      <c r="K77" s="1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f aca="false">D102</f>
        <v>0</v>
      </c>
      <c r="C78" s="14"/>
      <c r="D78" s="12" t="n">
        <f aca="false">B78</f>
        <v>0</v>
      </c>
      <c r="E78" s="15"/>
      <c r="F78" s="2"/>
      <c r="G78" s="6" t="s">
        <v>86</v>
      </c>
      <c r="H78" s="11" t="n">
        <f aca="false">J102</f>
        <v>0</v>
      </c>
      <c r="I78" s="14"/>
      <c r="J78" s="12" t="n">
        <f aca="false">H78</f>
        <v>0</v>
      </c>
      <c r="K78" s="1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100</v>
      </c>
      <c r="C79" s="14"/>
      <c r="D79" s="12" t="n">
        <f aca="false">B79</f>
        <v>100</v>
      </c>
      <c r="E79" s="15"/>
      <c r="F79" s="2"/>
      <c r="G79" s="3" t="s">
        <v>87</v>
      </c>
      <c r="H79" s="84" t="n">
        <v>100</v>
      </c>
      <c r="I79" s="14"/>
      <c r="J79" s="12" t="n">
        <f aca="false">H79</f>
        <v>100</v>
      </c>
      <c r="K79" s="1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88</v>
      </c>
      <c r="B80" s="92" t="n">
        <v>100</v>
      </c>
      <c r="C80" s="14"/>
      <c r="D80" s="12" t="n">
        <f aca="false">B80</f>
        <v>100</v>
      </c>
      <c r="E80" s="15"/>
      <c r="F80" s="2"/>
      <c r="G80" s="91" t="s">
        <v>88</v>
      </c>
      <c r="H80" s="92" t="n">
        <v>100</v>
      </c>
      <c r="I80" s="14"/>
      <c r="J80" s="12" t="n">
        <f aca="false">H80</f>
        <v>100</v>
      </c>
      <c r="K80" s="1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89</v>
      </c>
      <c r="B81" s="94" t="n">
        <f aca="false">SUM(D64:D80)</f>
        <v>19816.0833333333</v>
      </c>
      <c r="C81" s="14"/>
      <c r="D81" s="14"/>
      <c r="E81" s="15"/>
      <c r="F81" s="2"/>
      <c r="G81" s="93" t="s">
        <v>89</v>
      </c>
      <c r="H81" s="94" t="n">
        <f aca="false">SUM(J64:J80)</f>
        <v>19816.0833333333</v>
      </c>
      <c r="I81" s="14"/>
      <c r="J81" s="14"/>
      <c r="K81" s="1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550.446759259259</v>
      </c>
      <c r="C82" s="14"/>
      <c r="D82" s="14"/>
      <c r="E82" s="15"/>
      <c r="F82" s="2"/>
      <c r="G82" s="6" t="s">
        <v>90</v>
      </c>
      <c r="H82" s="11" t="n">
        <f aca="false">H81/H29</f>
        <v>550.446759259259</v>
      </c>
      <c r="I82" s="14"/>
      <c r="J82" s="14"/>
      <c r="K82" s="1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91</v>
      </c>
      <c r="B83" s="96" t="n">
        <f aca="false">H46</f>
        <v>3480.46444444444</v>
      </c>
      <c r="C83" s="14"/>
      <c r="D83" s="14"/>
      <c r="E83" s="15"/>
      <c r="F83" s="2"/>
      <c r="G83" s="95" t="s">
        <v>91</v>
      </c>
      <c r="H83" s="96" t="n">
        <f aca="false">H46</f>
        <v>3480.46444444444</v>
      </c>
      <c r="I83" s="14"/>
      <c r="J83" s="14"/>
      <c r="K83" s="1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7" t="n">
        <f aca="false">((B83*(H27+H28)+B81))</f>
        <v>172956.518888889</v>
      </c>
      <c r="C85" s="14"/>
      <c r="D85" s="14"/>
      <c r="E85" s="15"/>
      <c r="F85" s="2"/>
      <c r="G85" s="56" t="s">
        <v>92</v>
      </c>
      <c r="H85" s="97" t="n">
        <f aca="false">((H83*(H27+H28))+H81)*1.2</f>
        <v>207547.822666667</v>
      </c>
      <c r="I85" s="14"/>
      <c r="J85" s="14"/>
      <c r="K85" s="1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(B85/(1-B70))*B70</f>
        <v>1465.14195105553</v>
      </c>
      <c r="C86" s="14"/>
      <c r="D86" s="14"/>
      <c r="E86" s="15"/>
      <c r="F86" s="2"/>
      <c r="G86" s="6" t="s">
        <v>93</v>
      </c>
      <c r="H86" s="11" t="n">
        <f aca="false">(((H83*(H27+H28))+H81)/(1-H70))*H70</f>
        <v>1465.14195105553</v>
      </c>
      <c r="I86" s="14"/>
      <c r="J86" s="14"/>
      <c r="K86" s="1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IF(B110="YES",((B85+B86)-A151-E114),((B85+B86)-A151))</f>
        <v>174421.660839944</v>
      </c>
      <c r="C87" s="14"/>
      <c r="D87" s="14"/>
      <c r="E87" s="15"/>
      <c r="F87" s="2"/>
      <c r="G87" s="63" t="s">
        <v>94</v>
      </c>
      <c r="H87" s="79" t="n">
        <f aca="false">IF(H110="YES",((H85+H86)-A151-K114),((H85+H86)-A151))</f>
        <v>209012.964617722</v>
      </c>
      <c r="I87" s="14"/>
      <c r="J87" s="14"/>
      <c r="K87" s="1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95</v>
      </c>
      <c r="B89" s="94" t="n">
        <f aca="false">(A41+(A41*B105))</f>
        <v>138.108</v>
      </c>
      <c r="C89" s="14"/>
      <c r="D89" s="14"/>
      <c r="E89" s="15"/>
      <c r="F89" s="2"/>
      <c r="G89" s="93" t="s">
        <v>95</v>
      </c>
      <c r="H89" s="94" t="n">
        <f aca="false">(A41+(A41*H105))*1.2</f>
        <v>165.7296</v>
      </c>
      <c r="I89" s="14"/>
      <c r="J89" s="14"/>
      <c r="K89" s="1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IF(B99=Z102, (B87-D105)/(B58), B87/(B57+B58))</f>
        <v>4845.0461344429</v>
      </c>
      <c r="C90" s="14"/>
      <c r="D90" s="14"/>
      <c r="E90" s="15"/>
      <c r="F90" s="2"/>
      <c r="G90" s="98" t="s">
        <v>96</v>
      </c>
      <c r="H90" s="99" t="n">
        <f aca="false">IF(H99=AE98, (H87-J105)/(H58), H87/(H57+H58))</f>
        <v>5805.91568382562</v>
      </c>
      <c r="I90" s="14"/>
      <c r="J90" s="14"/>
      <c r="K90" s="1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4983.1541344429</v>
      </c>
      <c r="C91" s="14"/>
      <c r="D91" s="14"/>
      <c r="E91" s="15"/>
      <c r="F91" s="2"/>
      <c r="G91" s="100" t="s">
        <v>97</v>
      </c>
      <c r="H91" s="101" t="n">
        <f aca="false">IF(G105="YES", H90+H89, H90)</f>
        <v>5971.64528382562</v>
      </c>
      <c r="I91" s="14"/>
      <c r="J91" s="14"/>
      <c r="K91" s="1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30" t="s">
        <v>160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105</v>
      </c>
      <c r="B99" s="103" t="s">
        <v>101</v>
      </c>
      <c r="C99" s="103"/>
      <c r="D99" s="54" t="n">
        <v>0</v>
      </c>
      <c r="E99" s="54"/>
      <c r="F99" s="2"/>
      <c r="G99" s="31" t="s">
        <v>105</v>
      </c>
      <c r="H99" s="103" t="s">
        <v>101</v>
      </c>
      <c r="I99" s="103"/>
      <c r="J99" s="54" t="n">
        <v>0</v>
      </c>
      <c r="K99" s="5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8.75" hidden="false" customHeight="true" outlineLevel="0" collapsed="false">
      <c r="A102" s="104" t="n">
        <v>199.99</v>
      </c>
      <c r="B102" s="54" t="n">
        <v>1200</v>
      </c>
      <c r="C102" s="54"/>
      <c r="D102" s="54" t="n">
        <v>0</v>
      </c>
      <c r="E102" s="54"/>
      <c r="F102" s="2"/>
      <c r="G102" s="104" t="n">
        <f aca="false">199.99*1.2</f>
        <v>239.988</v>
      </c>
      <c r="H102" s="54" t="n">
        <v>1200</v>
      </c>
      <c r="I102" s="54"/>
      <c r="J102" s="54" t="n">
        <v>0</v>
      </c>
      <c r="K102" s="5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 t="s">
        <v>101</v>
      </c>
      <c r="Z103" s="2"/>
      <c r="AA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 t="s">
        <v>104</v>
      </c>
      <c r="Z104" s="2"/>
      <c r="AA104" s="2"/>
    </row>
    <row r="105" customFormat="false" ht="18.75" hidden="false" customHeight="true" outlineLevel="0" collapsed="false">
      <c r="A105" s="32" t="s">
        <v>25</v>
      </c>
      <c r="B105" s="105" t="n">
        <v>0.2</v>
      </c>
      <c r="C105" s="105"/>
      <c r="D105" s="54" t="n">
        <v>0</v>
      </c>
      <c r="E105" s="54"/>
      <c r="F105" s="2"/>
      <c r="G105" s="32" t="s">
        <v>25</v>
      </c>
      <c r="H105" s="105" t="n">
        <v>0.2</v>
      </c>
      <c r="I105" s="105"/>
      <c r="J105" s="54" t="n">
        <v>0</v>
      </c>
      <c r="K105" s="5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 t="s">
        <v>108</v>
      </c>
      <c r="Z105" s="2"/>
      <c r="AA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 t="s">
        <v>107</v>
      </c>
      <c r="Z106" s="2"/>
      <c r="AA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 t="s">
        <v>112</v>
      </c>
      <c r="Z107" s="2"/>
      <c r="AA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 t="s">
        <v>113</v>
      </c>
      <c r="Z108" s="2"/>
      <c r="AA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 t="s">
        <v>114</v>
      </c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 t="s">
        <v>117</v>
      </c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 t="s">
        <v>119</v>
      </c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10000</v>
      </c>
      <c r="E112" s="54" t="n">
        <v>5000</v>
      </c>
      <c r="F112" s="2"/>
      <c r="G112" s="6" t="s">
        <v>123</v>
      </c>
      <c r="H112" s="14"/>
      <c r="I112" s="14"/>
      <c r="J112" s="104" t="n">
        <v>10000</v>
      </c>
      <c r="K112" s="54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7000</v>
      </c>
      <c r="E113" s="54" t="n">
        <v>7000</v>
      </c>
      <c r="F113" s="2"/>
      <c r="G113" s="6" t="s">
        <v>124</v>
      </c>
      <c r="H113" s="14"/>
      <c r="I113" s="14"/>
      <c r="J113" s="106" t="n">
        <f aca="false">K113</f>
        <v>7000</v>
      </c>
      <c r="K113" s="54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3000</v>
      </c>
      <c r="E114" s="107" t="n">
        <f aca="false">E112-E113</f>
        <v>-2000</v>
      </c>
      <c r="F114" s="2"/>
      <c r="G114" s="6" t="s">
        <v>125</v>
      </c>
      <c r="H114" s="14"/>
      <c r="I114" s="14"/>
      <c r="J114" s="106" t="n">
        <f aca="false">J112-J113</f>
        <v>3000</v>
      </c>
      <c r="K114" s="107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5000</v>
      </c>
      <c r="E115" s="15"/>
      <c r="F115" s="2"/>
      <c r="G115" s="6" t="s">
        <v>126</v>
      </c>
      <c r="H115" s="14"/>
      <c r="I115" s="14"/>
      <c r="J115" s="106" t="n">
        <f aca="false">J114-K114</f>
        <v>5000</v>
      </c>
      <c r="K115" s="1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7" t="n">
        <f aca="false">D99</f>
        <v>0</v>
      </c>
      <c r="F117" s="2"/>
      <c r="G117" s="56" t="s">
        <v>127</v>
      </c>
      <c r="H117" s="57"/>
      <c r="I117" s="57"/>
      <c r="J117" s="57"/>
      <c r="K117" s="97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(E118+E117)-D115</f>
        <v>-4800.01</v>
      </c>
      <c r="F119" s="2"/>
      <c r="G119" s="108" t="s">
        <v>129</v>
      </c>
      <c r="H119" s="64"/>
      <c r="I119" s="64"/>
      <c r="J119" s="64"/>
      <c r="K119" s="79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1300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40</v>
      </c>
      <c r="B126" s="14" t="s">
        <v>41</v>
      </c>
      <c r="C126" s="14"/>
      <c r="D126" s="14" t="s">
        <v>69</v>
      </c>
      <c r="E126" s="15"/>
      <c r="F126" s="2"/>
      <c r="G126" s="6" t="s">
        <v>40</v>
      </c>
      <c r="H126" s="14" t="s">
        <v>41</v>
      </c>
      <c r="I126" s="14"/>
      <c r="J126" s="14" t="s">
        <v>69</v>
      </c>
      <c r="K126" s="1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36</v>
      </c>
      <c r="B127" s="41" t="n">
        <f aca="false">B151</f>
        <v>10000</v>
      </c>
      <c r="C127" s="42"/>
      <c r="D127" s="41" t="n">
        <f aca="false">B58</f>
        <v>35</v>
      </c>
      <c r="E127" s="15"/>
      <c r="F127" s="2"/>
      <c r="G127" s="40" t="n">
        <f aca="false">G152</f>
        <v>36</v>
      </c>
      <c r="H127" s="41" t="n">
        <f aca="false">A152</f>
        <v>36</v>
      </c>
      <c r="I127" s="42"/>
      <c r="J127" s="41" t="n">
        <f aca="false">B151</f>
        <v>10000</v>
      </c>
      <c r="K127" s="1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09" t="s">
        <v>131</v>
      </c>
      <c r="B129" s="110" t="s">
        <v>132</v>
      </c>
      <c r="C129" s="110"/>
      <c r="D129" s="110" t="s">
        <v>97</v>
      </c>
      <c r="E129" s="15"/>
      <c r="F129" s="2"/>
      <c r="G129" s="109" t="s">
        <v>133</v>
      </c>
      <c r="H129" s="110" t="s">
        <v>134</v>
      </c>
      <c r="I129" s="110"/>
      <c r="J129" s="110" t="s">
        <v>135</v>
      </c>
      <c r="K129" s="1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63"/>
    </row>
    <row r="130" customFormat="false" ht="18.75" hidden="false" customHeight="true" outlineLevel="0" collapsed="false">
      <c r="A130" s="111" t="n">
        <f aca="false">B90</f>
        <v>4845.0461344429</v>
      </c>
      <c r="B130" s="112" t="n">
        <f aca="false">IF(A105="YES", B89*B57, 0)</f>
        <v>138.108</v>
      </c>
      <c r="C130" s="112"/>
      <c r="D130" s="112" t="n">
        <f aca="false">B91</f>
        <v>4983.1541344429</v>
      </c>
      <c r="E130" s="114"/>
      <c r="F130" s="2"/>
      <c r="G130" s="111" t="n">
        <f aca="false">H90</f>
        <v>5805.91568382562</v>
      </c>
      <c r="H130" s="112" t="n">
        <f aca="false">IF(G105="YES", H89*H57, 0)</f>
        <v>165.7296</v>
      </c>
      <c r="I130" s="112"/>
      <c r="J130" s="113" t="n">
        <f aca="false">H91</f>
        <v>5971.64528382562</v>
      </c>
      <c r="K130" s="11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63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63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4845.0461344429</v>
      </c>
      <c r="B133" s="48" t="n">
        <f aca="false">IF(A105="YES", B89*B57, 0)</f>
        <v>138.108</v>
      </c>
      <c r="C133" s="49"/>
      <c r="D133" s="50" t="n">
        <f aca="false">B91*B57</f>
        <v>4983.1541344429</v>
      </c>
      <c r="E133" s="15"/>
      <c r="F133" s="2"/>
      <c r="G133" s="47" t="n">
        <f aca="false">H90*H57</f>
        <v>5805.91568382562</v>
      </c>
      <c r="H133" s="48" t="n">
        <f aca="false">IF(G105="YES", H89*H57, 0)</f>
        <v>165.7296</v>
      </c>
      <c r="I133" s="49"/>
      <c r="J133" s="50" t="n">
        <f aca="false">H91*H57</f>
        <v>5971.64528382562</v>
      </c>
      <c r="K133" s="1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0.98121</v>
      </c>
      <c r="B136" s="48" t="n">
        <f aca="false">IF(A105="YES", E15*0.000002, 0)</f>
        <v>0.32707</v>
      </c>
      <c r="C136" s="48"/>
      <c r="D136" s="48" t="n">
        <f aca="false">A136+B136</f>
        <v>1.30828</v>
      </c>
      <c r="E136" s="114"/>
      <c r="F136" s="2"/>
      <c r="G136" s="51" t="n">
        <f aca="false">E15*0.000006</f>
        <v>0.98121</v>
      </c>
      <c r="H136" s="48" t="n">
        <f aca="false">IF(G105="YES", E15*0.000002, 0)</f>
        <v>0.32707</v>
      </c>
      <c r="I136" s="48"/>
      <c r="J136" s="48" t="n">
        <f aca="false">G136+H136</f>
        <v>1.30828</v>
      </c>
      <c r="K136" s="11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1629</v>
      </c>
      <c r="C139" s="48"/>
      <c r="D139" s="48" t="n">
        <f aca="false">B102*0.9</f>
        <v>1080</v>
      </c>
      <c r="E139" s="114"/>
      <c r="F139" s="2"/>
      <c r="G139" s="51" t="n">
        <f aca="false">G102</f>
        <v>239.988</v>
      </c>
      <c r="H139" s="48" t="n">
        <f aca="false">H67</f>
        <v>1629</v>
      </c>
      <c r="I139" s="48"/>
      <c r="J139" s="48" t="n">
        <f aca="false">H102*0.9</f>
        <v>1080</v>
      </c>
      <c r="K139" s="11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B89*0.1, 0)</f>
        <v>13.8108</v>
      </c>
      <c r="B142" s="48" t="n">
        <f aca="false">A102-100</f>
        <v>99.99</v>
      </c>
      <c r="C142" s="48"/>
      <c r="D142" s="48" t="n">
        <f aca="false">(B139+D139+A142+B142)-B145</f>
        <v>2822.8008</v>
      </c>
      <c r="E142" s="114"/>
      <c r="F142" s="2"/>
      <c r="G142" s="51" t="n">
        <f aca="false">IF(G105="YES", H89*0.1, 0)</f>
        <v>16.57296</v>
      </c>
      <c r="H142" s="48" t="n">
        <f aca="false">G102-100</f>
        <v>139.988</v>
      </c>
      <c r="I142" s="48"/>
      <c r="J142" s="48" t="n">
        <f aca="false">(H139+J139+G142+H142)-H145</f>
        <v>2865.56096</v>
      </c>
      <c r="K142" s="1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IF((1200-B102) &lt;= 0, 0, (1200-B102))</f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f aca="false">IF((1200-H102) &lt;= 0, 0, (1200-H102))</f>
        <v>0</v>
      </c>
      <c r="H145" s="48" t="n">
        <f aca="false">(H139+J139+G142+H142)*(G145/H64)</f>
        <v>0</v>
      </c>
      <c r="I145" s="14"/>
      <c r="J145" s="14"/>
      <c r="K145" s="1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4983.1541344429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5971.64528382562</v>
      </c>
      <c r="I152" s="76"/>
      <c r="J152" s="14"/>
      <c r="K152" s="1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6" colorId="64" zoomScale="75" zoomScaleNormal="75" zoomScalePageLayoutView="100" workbookViewId="0">
      <selection pane="topLeft" activeCell="E30" activeCellId="0" sqref="E30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1262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2022-11-03T16:05:29Z</dcterms:modified>
  <cp:revision>108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