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<sst xmlns="http://schemas.openxmlformats.org/spreadsheetml/2006/main" count="4833" uniqueCount="280">
  <si>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</si>
  <si>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</si>
  <si>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</si>
  <si>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</si>
  <si>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</si>
  <si>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</si>
  <si>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</si>
  <si>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</si>
  <si>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</si>
  <si>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</si>
  <si>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</si>
  <si>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</si>
  <si>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</si>
  <si>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</si>
  <si>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</si>
  <si>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</si>
  <si>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</si>
  <si>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</si>
  <si>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</si>
  <si>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</si>
  <si>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</si>
  <si>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</si>
  <si>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</si>
  <si>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</si>
  <si>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</si>
  <si>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</si>
  <si>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</si>
  <si>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</si>
  <si>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</si>
  <si>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</si>
  <si>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</si>
  <si>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</si>
  <si>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</si>
  <si>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</si>
  <si>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</si>
  <si>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</si>
  <si>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</si>
  <si>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</si>
  <si>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</si>
  <si>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</si>
  <si>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</si>
  <si>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</si>
  <si>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</si>
  <si>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</si>
  <si>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</si>
  <si>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</si>
  <si>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</si>
  <si>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</si>
  <si>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</si>
  <si>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</si>
  <si>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</si>
  <si>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</si>
  <si>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</si>
  <si>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</si>
  <si>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</si>
  <si>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</si>
  <si>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</si>
  <si>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</si>
  <si>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</si>
  <si>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</si>
  <si>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</si>
  <si>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</si>
  <si>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</si>
  <si>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</si>
  <si>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</si>
  <si>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</si>
  <si>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</si>
  <si>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</si>
  <si>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</si>
  <si>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</si>
  <si>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</si>
  <si>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</si>
  <si>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</si>
  <si>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</si>
  <si>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</si>
  <si>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</si>
  <si>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</si>
  <si>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</si>
  <si>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</si>
  <si>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</si>
  <si>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</si>
  <si>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</si>
  <si>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</si>
  <si>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</si>
  <si>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</si>
  <si>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</si>
  <si>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</si>
  <si>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</si>
  <si>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</si>
  <si>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</si>
  <si>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</si>
  <si>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</si>
  <si>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</si>
  <si>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</si>
  <si>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</si>
  <si>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</si>
  <si>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</si>
  <si>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</si>
  <si>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</si>
  <si>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</si>
  <si>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</si>
  <si>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</si>
  <si>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</si>
  <si>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</si>
  <si>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</si>
  <si>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</si>
  <si>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</si>
  <si>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</si>
  <si>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</si>
  <si>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</si>
  <si>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</si>
  <si>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</si>
  <si>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</si>
  <si>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</si>
  <si>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</si>
  <si>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</si>
  <si>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</si>
  <si>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</si>
  <si>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</si>
  <si>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</si>
  <si>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</si>
  <si>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</si>
  <si>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</si>
  <si>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</si>
  <si>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</si>
  <si>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</si>
  <si>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</si>
  <si>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</si>
  <si>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</si>
  <si>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</si>
  <si>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</si>
  <si>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</si>
  <si>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</si>
  <si>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</si>
  <si>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</si>
  <si>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</si>
  <si>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</si>
  <si>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</si>
  <si>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</si>
  <si>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</si>
  <si>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</si>
  <si>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</si>
  <si>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</si>
  <si>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</si>
  <si>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</si>
  <si>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</si>
  <si>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</si>
  <si>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</si>
  <si>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</si>
  <si>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</si>
  <si>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</si>
  <si>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</si>
  <si>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</si>
  <si>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</si>
  <si>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</si>
  <si>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</si>
  <si>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</si>
  <si>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</si>
  <si>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</si>
  <si>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</si>
  <si>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</si>
  <si>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</si>
  <si>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</si>
  <si>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Limited Credit</t>
  </si>
  <si>
    <t xml:space="preserve">-1000.00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</si>
  <si>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</si>
  <si>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</si>
  <si>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</si>
  <si>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</si>
  <si>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</si>
  <si>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</si>
  <si>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</si>
  <si>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</si>
  <si>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</si>
  <si>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</si>
  <si>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</si>
  <si>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</si>
  <si>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</si>
  <si>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</si>
  <si>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</si>
  <si>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</si>
  <si>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</si>
  <si>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</si>
  <si>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</si>
  <si>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</si>
  <si>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</si>
  <si>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</si>
  <si>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</si>
  <si>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</si>
  <si>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</si>
  <si>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</si>
  <si>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</si>
  <si>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</si>
  <si>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</si>
  <si>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</si>
  <si>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</si>
  <si>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</si>
  <si>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</si>
  <si>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</si>
  <si>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</si>
  <si>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</si>
  <si>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</si>
  <si>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</si>
  <si>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</si>
  <si>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</si>
  <si>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</si>
  <si>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</si>
  <si>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</si>
  <si>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</si>
  <si>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</si>
  <si>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</si>
  <si>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</si>
  <si>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</si>
  <si>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</si>
  <si>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</si>
  <si>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</si>
  <si>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</si>
  <si>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</si>
  <si>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</si>
  <si>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</si>
  <si>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</si>
  <si>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</si>
  <si>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</si>
  <si>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</si>
  <si>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 Terminal pause with 9 down </t>
  </si>
  <si>
    <t xml:space="preserve">200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</si>
  <si>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</si>
  <si>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</si>
  <si>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</si>
  <si>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</si>
  <si>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</si>
  <si>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</si>
  <si>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</si>
  <si>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</si>
  <si>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</si>
  <si>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</si>
  <si>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</si>
  <si>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</si>
  <si>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</si>
  <si>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</si>
  <si>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</si>
  <si>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</si>
  <si>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</si>
  <si>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</si>
  <si>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</si>
  <si>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</si>
  <si>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</si>
  <si>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</si>
  <si>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</si>
  <si>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</si>
  <si>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</si>
  <si>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</si>
  <si>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</si>
  <si>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</si>
  <si>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</si>
  <si>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</si>
  <si>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</si>
  <si>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 xml:space="preserve">199.99</t>
  </si>
  <si>
    <t xml:space="preserve">Audi </t>
  </si>
  <si>
    <t xml:space="preserve">A1</t>
  </si>
  <si>
    <t xml:space="preserve">with maintenance</t>
  </si>
  <si>
    <t xml:space="preserve">without maintenance</t>
  </si>
  <si>
    <t xml:space="preserve">HPNR</t>
  </si>
  <si>
    <t xml:space="preserve">BCH</t>
  </si>
  <si>
    <t xml:space="preserve">monthly Finance Rental and maint Rental values are not matching</t>
  </si>
  <si>
    <t xml:space="preserve">Matching</t>
  </si>
  <si>
    <t xml:space="preserve">PCH</t>
  </si>
  <si>
    <t xml:space="preserve">FL</t>
  </si>
  <si>
    <t xml:space="preserve">Maint. Rental values are not matching</t>
  </si>
  <si>
    <t xml:space="preserve">HPR</t>
  </si>
  <si>
    <t xml:space="preserve">CP</t>
  </si>
  <si>
    <t xml:space="preserve">PCP</t>
  </si>
  <si>
    <t>NO</t>
  </si>
  <si>
    <t>200</t>
  </si>
  <si>
    <t xml:space="preserve"> Terminal pause with 6 down </t>
  </si>
  <si>
    <t>YES</t>
  </si>
  <si>
    <t>0</t>
  </si>
  <si>
    <t>100</t>
  </si>
  <si>
    <t>A1 Credit</t>
  </si>
  <si>
    <t>Limited Credit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</si>
</sst>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  <font>
      <sz val="8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00A933"/>
        <bgColor rgb="FF0080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A8D08D"/>
      <rgbColor rgb="FF3366FF"/>
      <rgbColor rgb="FF33CCCC"/>
      <rgbColor rgb="FF70AD47"/>
      <rgbColor rgb="FFFFC0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9773.25069764638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58825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37748.2347422869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1228.52576633838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42998.4018218433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42998.4018218433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42.3771428571428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1228.52576633838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1270.90290919552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400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400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58825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1228.52576633838</v>
      </c>
      <c r="B167" s="150" t="n">
        <f aca="false">B94</f>
        <v>42.3771428571428</v>
      </c>
      <c r="C167" s="148"/>
      <c r="D167" s="148"/>
      <c r="E167" s="150" t="n">
        <f aca="false">B96</f>
        <v>1270.90290919552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200</v>
      </c>
      <c r="C176" s="23"/>
      <c r="D176" s="31"/>
      <c r="E176" s="23" t="n">
        <f aca="false">E111</f>
        <v>200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400</v>
      </c>
      <c r="B179" s="23" t="n">
        <f aca="false">G154</f>
        <v>500</v>
      </c>
      <c r="C179" s="23"/>
      <c r="D179" s="31"/>
      <c r="E179" s="23" t="n">
        <f aca="false">A176-A179-B179</f>
        <v>58825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11673.4018218433</v>
      </c>
      <c r="B182" s="23" t="str">
        <f aca="false">B114</f>
        <v>239.99</v>
      </c>
      <c r="C182" s="23"/>
      <c r="D182" s="31"/>
      <c r="E182" s="23" t="n">
        <f aca="false">E179+A182+B182+A185</f>
        <v>70748.3918218433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639.99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367.65625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539.99</v>
      </c>
      <c r="B191" s="23" t="n">
        <f aca="false">B188+E188+A191</f>
        <v>928.24625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1270.90290919552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25" defaultRowHeight="12.8" zeroHeight="false" outlineLevelRow="0" outlineLevelCol="0"/>
  <cols>
    <col min="3" max="3" customWidth="true" hidden="false" style="0" width="15.35" collapsed="false" outlineLevel="0"/>
  </cols>
  <sheetData>
    <row r="1" customFormat="false" ht="12.8" hidden="false" customHeight="false" outlineLevel="0" collapsed="false">
      <c r="A1" s="0" t="s">
        <v>258</v>
      </c>
      <c r="B1" s="0" t="s">
        <v>259</v>
      </c>
    </row>
    <row r="2" customFormat="false" ht="13.8" hidden="false" customHeight="false" outlineLevel="0" collapsed="false">
      <c r="C2" s="0" t="s">
        <v>260</v>
      </c>
      <c r="D2" s="0" t="s">
        <v>261</v>
      </c>
    </row>
    <row r="3" customFormat="false" ht="28.6" hidden="false" customHeight="false" outlineLevel="0" collapsed="false">
      <c r="A3" s="305" t="s">
        <v>262</v>
      </c>
      <c r="B3" s="0" t="s">
        <v>263</v>
      </c>
      <c r="C3" s="306" t="s">
        <v>264</v>
      </c>
      <c r="D3" s="307" t="s">
        <v>265</v>
      </c>
    </row>
    <row r="4" customFormat="false" ht="13.8" hidden="false" customHeight="false" outlineLevel="0" collapsed="false">
      <c r="A4" s="305"/>
      <c r="B4" s="0" t="s">
        <v>266</v>
      </c>
      <c r="C4" s="307" t="s">
        <v>265</v>
      </c>
      <c r="D4" s="307" t="s">
        <v>265</v>
      </c>
    </row>
    <row r="5" customFormat="false" ht="19.45" hidden="false" customHeight="false" outlineLevel="0" collapsed="false">
      <c r="A5" s="305"/>
      <c r="B5" s="0" t="s">
        <v>267</v>
      </c>
      <c r="C5" s="306" t="s">
        <v>268</v>
      </c>
      <c r="D5" s="307" t="s">
        <v>265</v>
      </c>
    </row>
    <row r="6" customFormat="false" ht="13.8" hidden="false" customHeight="false" outlineLevel="0" collapsed="false">
      <c r="A6" s="305"/>
      <c r="B6" s="0" t="s">
        <v>262</v>
      </c>
    </row>
    <row r="7" customFormat="false" ht="13.8" hidden="false" customHeight="false" outlineLevel="0" collapsed="false">
      <c r="A7" s="305"/>
      <c r="B7" s="0" t="s">
        <v>269</v>
      </c>
    </row>
    <row r="8" customFormat="false" ht="13.8" hidden="false" customHeight="false" outlineLevel="0" collapsed="false">
      <c r="A8" s="305"/>
      <c r="B8" s="0" t="s">
        <v>270</v>
      </c>
    </row>
    <row r="9" customFormat="false" ht="13.8" hidden="false" customHeight="false" outlineLevel="0" collapsed="false">
      <c r="A9" s="305"/>
      <c r="B9" s="0" t="s">
        <v>271</v>
      </c>
    </row>
  </sheetData>
  <mergeCells count="1">
    <mergeCell ref="A3:A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922.920864561026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str">
        <f aca="false">IF(B26="YES", K42, "0.00")</f>
        <v>0.00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str">
        <f aca="false">IF(B26="YES", K42, "0.00")</f>
        <v>0.00</v>
      </c>
      <c r="C40" s="58"/>
      <c r="D40" s="58"/>
      <c r="E40" s="59" t="n">
        <f aca="false">K32</f>
        <v>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922.920864561026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14243.0544834899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922.920864561026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922.920864561026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0.137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0.0114166666666667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18274.642159497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28.719487222345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38950.357840503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1356.23444593391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47468.2056076868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47468.2056076868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str">
        <f aca="false">IF(B26="YES",((E40/B85)*(1+A108)),"0")</f>
        <v>0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0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0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0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1356.23444593391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1356.23444593391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1477.31306457009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1408.20027188803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927.687248290581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105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0.137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-1000.00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1356.23444593391</v>
      </c>
      <c r="B167" s="150" t="str">
        <f aca="false">B94</f>
        <v>0</v>
      </c>
      <c r="C167" s="148"/>
      <c r="D167" s="148"/>
      <c r="E167" s="150" t="n">
        <f aca="false">B96</f>
        <v>1356.23444593391</v>
      </c>
      <c r="F167" s="31"/>
      <c r="G167" s="31"/>
      <c r="H167" s="12"/>
      <c r="J167" s="149" t="n">
        <f aca="false">K95</f>
        <v>1477.31306457009</v>
      </c>
      <c r="K167" s="150" t="n">
        <f aca="false">K94</f>
        <v>0</v>
      </c>
      <c r="L167" s="148"/>
      <c r="M167" s="148"/>
      <c r="N167" s="150" t="n">
        <f aca="false">K96</f>
        <v>1477.31306457009</v>
      </c>
      <c r="O167" s="31"/>
      <c r="P167" s="31"/>
      <c r="Q167" s="12"/>
      <c r="S167" s="149" t="n">
        <f aca="false">T95</f>
        <v>1408.20027188803</v>
      </c>
      <c r="T167" s="150" t="n">
        <f aca="false">T94</f>
        <v>0</v>
      </c>
      <c r="U167" s="148"/>
      <c r="V167" s="148"/>
      <c r="W167" s="150" t="n">
        <f aca="false">T96</f>
        <v>1408.20027188803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0</v>
      </c>
      <c r="AD167" s="148"/>
      <c r="AE167" s="148"/>
      <c r="AF167" s="150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17743.2056076868</v>
      </c>
      <c r="B182" s="23" t="str">
        <f aca="false">B114</f>
        <v>-1000.00</v>
      </c>
      <c r="C182" s="23"/>
      <c r="D182" s="31"/>
      <c r="E182" s="23" t="n">
        <f aca="false">E179+A182+B182+A185</f>
        <v>73978.2056076868</v>
      </c>
      <c r="F182" s="31"/>
      <c r="G182" s="31"/>
      <c r="H182" s="15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5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5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1000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357.65625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900</v>
      </c>
      <c r="B191" s="23" t="n">
        <f aca="false">B188+E188+A191</f>
        <v>1257.65625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1356.23444593391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1477.31306457009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1408.20027188803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927.687248290581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 t="n">
        <v>0</v>
      </c>
      <c r="J32" s="39" t="s">
        <v>43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277</v>
      </c>
      <c r="B45" s="14"/>
      <c r="C45" s="67" t="s">
        <v>277</v>
      </c>
      <c r="D45" s="67"/>
      <c r="E45" s="67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0.072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16061.8583918841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59384.43749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40781.5716802377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1408.20027188803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49287.009516081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49287.009516081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1408.20027188803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(B94+B95)</f>
        <v>1858.27754632746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1443.51455760232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272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279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122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0</v>
      </c>
      <c r="G122" s="117" t="n">
        <f aca="false">F122</f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0</v>
      </c>
      <c r="G123" s="114" t="n">
        <f aca="false">F123</f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0</v>
      </c>
      <c r="Y124" s="119" t="n">
        <f aca="false">(Y121*Y122/100)+Y123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Q147-P147</f>
        <v>-21870</v>
      </c>
      <c r="I148" s="1" t="n">
        <f aca="false">(H148-G81)/1.2</f>
        <v>-18225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-140.562510000003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59384.43749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41.2</v>
      </c>
      <c r="C167" s="148"/>
      <c r="D167" s="148"/>
      <c r="E167" s="150" t="n">
        <f aca="false">B96</f>
        <v>1858.27754632746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1408.20027188803</v>
      </c>
      <c r="T167" s="150" t="n">
        <f aca="false">T94</f>
        <v>35.3142857142857</v>
      </c>
      <c r="U167" s="148"/>
      <c r="V167" s="148"/>
      <c r="W167" s="150" t="n">
        <f aca="false">T96</f>
        <v>1443.51455760232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48120.364575</v>
      </c>
      <c r="T173" s="23" t="n">
        <f aca="false">Z137</f>
        <v>9624.072915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239.99</v>
      </c>
      <c r="C182" s="23"/>
      <c r="D182" s="31"/>
      <c r="E182" s="23" t="n">
        <f aca="false">E179+A182+B182+A185</f>
        <v>63847.7041214612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-10097.427973919</v>
      </c>
      <c r="T182" s="23" t="n">
        <f aca="false">T114</f>
        <v>199.99</v>
      </c>
      <c r="U182" s="23"/>
      <c r="V182" s="31"/>
      <c r="W182" s="23" t="n">
        <f aca="false">W179+S182+T182+S185</f>
        <v>49496.999516081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357.65625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2518.24625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1858.27754632746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1443.51455760232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53" colorId="64" zoomScale="75" zoomScaleNormal="75" zoomScalePageLayoutView="100" workbookViewId="0">
      <selection pane="topLeft" activeCell="B75" activeCellId="0" sqref="B75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7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62.5</v>
      </c>
      <c r="C76" s="168"/>
      <c r="D76" s="65" t="n">
        <f aca="false">B76</f>
        <v>62.5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169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169"/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6920.425</v>
      </c>
      <c r="C81" s="168"/>
      <c r="D81" s="168"/>
      <c r="E81" s="169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192.234027777778</v>
      </c>
      <c r="C82" s="168"/>
      <c r="D82" s="168"/>
      <c r="E82" s="169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169"/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40145.5761241969</v>
      </c>
      <c r="C85" s="168"/>
      <c r="D85" s="168"/>
      <c r="E85" s="169"/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340.079507304613</v>
      </c>
      <c r="C86" s="168"/>
      <c r="D86" s="168"/>
      <c r="E86" s="169"/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40485.6556315015</v>
      </c>
      <c r="C87" s="168"/>
      <c r="D87" s="168"/>
      <c r="E87" s="169"/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1124.60154531949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1124.60154531949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272</v>
      </c>
      <c r="B105" s="249" t="n">
        <v>0.0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191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500</v>
      </c>
      <c r="E112" s="58" t="n">
        <v>300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200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1124.60154531949</v>
      </c>
      <c r="B127" s="150" t="n">
        <f aca="false">IF(A105="YES", B89*B57, 0)</f>
        <v>0</v>
      </c>
      <c r="C127" s="150"/>
      <c r="D127" s="150" t="n">
        <f aca="false">B91</f>
        <v>1124.60154531949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1124.60154531949</v>
      </c>
      <c r="B133" s="23" t="n">
        <f aca="false">IF(A105="YES", B89*B57, 0)</f>
        <v>0</v>
      </c>
      <c r="C133" s="199"/>
      <c r="D133" s="200" t="n">
        <f aca="false">B91*B57</f>
        <v>1124.60154531949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221</v>
      </c>
      <c r="B147" s="26" t="s">
        <v>222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223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40</v>
      </c>
      <c r="B153" s="221" t="s">
        <v>41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1124.60154531949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4" colorId="64" zoomScale="75" zoomScaleNormal="75" zoomScalePageLayoutView="100" workbookViewId="0">
      <selection pane="topLeft" activeCell="D121" activeCellId="0" sqref="D121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0.0</v>
      </c>
      <c r="C4" s="54" t="n">
        <v>0.0</v>
      </c>
      <c r="D4" s="54" t="n">
        <v>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0.0</v>
      </c>
      <c r="C5" s="163" t="n">
        <v>0.0</v>
      </c>
      <c r="D5" s="163" t="n">
        <v>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922.920864561026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str">
        <f aca="false">IF(B26="YES", H42, "")</f>
        <v/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64443.3941780653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str">
        <f aca="false">IF(B26="YES",H42,"0")</f>
        <v>0</v>
      </c>
      <c r="C40" s="58"/>
      <c r="D40" s="200" t="n">
        <f aca="false">I32</f>
        <v>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-15565.8941780653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0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57" t="s">
        <v>277</v>
      </c>
      <c r="D45" s="257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922.920864561026</v>
      </c>
      <c r="I48" s="202" t="n">
        <f aca="false">I49-H42</f>
        <v>1400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922.920864561026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168"/>
      <c r="D64" s="65" t="n">
        <f aca="false">B64-A145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168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(B61*B66)/1.2</f>
        <v>964.75</v>
      </c>
      <c r="C67" s="168"/>
      <c r="D67" s="65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168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168"/>
      <c r="D81" s="168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168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168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((B83*H29)+B81)*1.2</f>
        <v>49399.6913490363</v>
      </c>
      <c r="C85" s="168"/>
      <c r="D85" s="168"/>
      <c r="E85" s="258" t="n">
        <f aca="false">B85/(B58+B57)</f>
        <v>1372.21364858434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((((B83*H29)+B81))/(1-B70))*B70</f>
        <v>348.727147482104</v>
      </c>
      <c r="C86" s="168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IF(B110="YES",((B85+B86)-E114),(B85+B86))</f>
        <v>49748.4184965184</v>
      </c>
      <c r="C87" s="168"/>
      <c r="D87" s="168"/>
      <c r="E87" s="258" t="n">
        <f aca="false">E86+E85</f>
        <v>1381.90051379218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(D40+(D40*B105))/(B58), (D40+(D40*B105))/(B57+B58))*1.2</f>
        <v>0</v>
      </c>
      <c r="C89" s="168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0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0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1381.90051379218</v>
      </c>
      <c r="C90" s="168"/>
      <c r="D90" s="168"/>
      <c r="E90" s="169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1381.90051379218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1189.86736688544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984.491094073066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272</v>
      </c>
      <c r="B105" s="249" t="n">
        <v>0.0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200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1381.90051379218</v>
      </c>
      <c r="B127" s="150" t="n">
        <f aca="false">IF(A105="YES", B89*B57, 0)</f>
        <v>0</v>
      </c>
      <c r="C127" s="150"/>
      <c r="D127" s="254" t="n">
        <f aca="false">B91</f>
        <v>1381.90051379218</v>
      </c>
      <c r="E127" s="169"/>
      <c r="F127" s="157"/>
      <c r="G127" s="253" t="n">
        <f aca="false">H90</f>
        <v>1189.86736688544</v>
      </c>
      <c r="H127" s="150" t="n">
        <f aca="false">IF(G105="YES", H89*H57, 0)</f>
        <v>0</v>
      </c>
      <c r="I127" s="150"/>
      <c r="J127" s="254" t="n">
        <f aca="false">H91</f>
        <v>1189.86736688544</v>
      </c>
      <c r="K127" s="169"/>
      <c r="L127" s="157"/>
      <c r="M127" s="253" t="n">
        <f aca="false">N90</f>
        <v>984.491094073066</v>
      </c>
      <c r="N127" s="150" t="n">
        <f aca="false">IF(M105="YES", N89*N57, 0)</f>
        <v>0</v>
      </c>
      <c r="O127" s="150"/>
      <c r="P127" s="150" t="n">
        <f aca="false">N91</f>
        <v>984.491094073066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204</v>
      </c>
      <c r="B132" s="168" t="s">
        <v>205</v>
      </c>
      <c r="C132" s="168"/>
      <c r="D132" s="168" t="s">
        <v>206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12437.1046241296</v>
      </c>
      <c r="B133" s="23" t="n">
        <f aca="false">IF(A105="YES", B89*B57, 0)</f>
        <v>0</v>
      </c>
      <c r="C133" s="199"/>
      <c r="D133" s="200" t="n">
        <f aca="false">B91*B57</f>
        <v>12437.1046241296</v>
      </c>
      <c r="E133" s="169"/>
      <c r="F133" s="157"/>
      <c r="G133" s="55" t="n">
        <f aca="false">H90*H57</f>
        <v>7139.20420131264</v>
      </c>
      <c r="H133" s="23" t="n">
        <f aca="false">IF(G105="YES", H89*H57, 0)</f>
        <v>0</v>
      </c>
      <c r="I133" s="199"/>
      <c r="J133" s="200" t="n">
        <f aca="false">H91*H57</f>
        <v>7139.20420131264</v>
      </c>
      <c r="K133" s="169"/>
      <c r="L133" s="157"/>
      <c r="M133" s="55" t="n">
        <f aca="false">N90*N57</f>
        <v>5906.94656443839</v>
      </c>
      <c r="N133" s="23" t="n">
        <f aca="false">IF(M105="YES", N89*N57, 0)</f>
        <v>0</v>
      </c>
      <c r="O133" s="199"/>
      <c r="P133" s="200" t="n">
        <f aca="false">N91*N57</f>
        <v>5906.94656443839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210</v>
      </c>
      <c r="B135" s="168" t="s">
        <v>211</v>
      </c>
      <c r="C135" s="168"/>
      <c r="D135" s="168" t="s">
        <v>212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215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53"/>
      <c r="F142" s="157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53"/>
      <c r="L142" s="157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e">
        <f aca="false">(H139+J139+G142+H142)*(G145/H64)</f>
        <v>#VALUE!</v>
      </c>
      <c r="I145" s="168"/>
      <c r="J145" s="168"/>
      <c r="K145" s="169"/>
      <c r="L145" s="157"/>
      <c r="M145" s="22" t="n">
        <v>0</v>
      </c>
      <c r="N145" s="23" t="e">
        <f aca="false">(N139+P139+M142+N142)*(M145/N64)</f>
        <v>#VALUE!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1381.90051379218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1189.86736688544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984.491094073066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1" colorId="64" zoomScale="75" zoomScaleNormal="75" zoomScalePageLayoutView="100" workbookViewId="0">
      <selection pane="topLeft" activeCell="E47" activeCellId="0" sqref="E47"/>
    </sheetView>
  </sheetViews>
  <sheetFormatPr defaultColWidth="11.68359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5.0</v>
      </c>
      <c r="C4" s="54" t="n">
        <v>0.0</v>
      </c>
      <c r="D4" s="54" t="n">
        <v>5.0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5.0</v>
      </c>
      <c r="C5" s="163" t="n">
        <v>0.0</v>
      </c>
      <c r="D5" s="163" t="n">
        <v>5.0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272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142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276</v>
      </c>
      <c r="C30" s="146"/>
      <c r="D30" s="168"/>
      <c r="E30" s="169"/>
      <c r="F30" s="157"/>
      <c r="G30" s="187" t="s">
        <v>38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39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40</v>
      </c>
      <c r="B32" s="168" t="s">
        <v>41</v>
      </c>
      <c r="C32" s="168"/>
      <c r="D32" s="191" t="s">
        <v>42</v>
      </c>
      <c r="E32" s="169"/>
      <c r="F32" s="157"/>
      <c r="G32" s="187" t="s">
        <v>43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44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45</v>
      </c>
      <c r="B35" s="168" t="s">
        <v>46</v>
      </c>
      <c r="C35" s="168"/>
      <c r="D35" s="168" t="s">
        <v>47</v>
      </c>
      <c r="E35" s="169"/>
      <c r="F35" s="157"/>
      <c r="G35" s="197" t="s">
        <v>48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50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51</v>
      </c>
      <c r="B39" s="168" t="s">
        <v>52</v>
      </c>
      <c r="C39" s="168"/>
      <c r="D39" s="168" t="s">
        <v>53</v>
      </c>
      <c r="E39" s="169"/>
      <c r="F39" s="157"/>
      <c r="G39" s="157" t="s">
        <v>54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55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56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57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58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59</v>
      </c>
      <c r="B44" s="168"/>
      <c r="C44" s="208" t="s">
        <v>60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277</v>
      </c>
      <c r="B45" s="168"/>
      <c r="C45" s="210" t="s">
        <v>277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65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217" t="s">
        <v>67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68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IF(B99=Y97,1,IF(B99=Y98,1,IF(B99=Y99,3,IF(B99=Y100,6,IF(B99=Y101,9,IF(B99=Y102,12,IF(B99=Y103,3,IF(B99=Y104,6,IF(B99=Y105,9,0)))))))))</f>
        <v>1</v>
      </c>
      <c r="C57" s="168"/>
      <c r="D57" s="168"/>
      <c r="E57" s="169"/>
      <c r="F57" s="157"/>
      <c r="G57" s="161" t="s">
        <v>54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54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IF(B99=Y97,H29-B57,IF(B99=Y98,H29-B57,IF(B99=Y99,H29-1,IF(B99=Y100,H29-1,IF(B99=Y101,H29-1,IF(B99=Y102,H29-1,IF(B99=Y103,H29-B57,IF(B99=Y104,H29-B57,IF(B99=Y105,H29-B57,0)))))))))</f>
        <v>35</v>
      </c>
      <c r="C58" s="168"/>
      <c r="D58" s="168"/>
      <c r="E58" s="169"/>
      <c r="F58" s="157"/>
      <c r="G58" s="161" t="s">
        <v>69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69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74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74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0.01</v>
      </c>
      <c r="C65" s="168"/>
      <c r="D65" s="65"/>
      <c r="E65" s="169"/>
      <c r="F65" s="157"/>
      <c r="G65" s="224" t="s">
        <v>75</v>
      </c>
      <c r="H65" s="225" t="n">
        <v>0.01</v>
      </c>
      <c r="I65" s="168"/>
      <c r="J65" s="168"/>
      <c r="K65" s="169"/>
      <c r="L65" s="157"/>
      <c r="M65" s="224" t="s">
        <v>75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76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76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(B61*B66)</f>
        <v>1157.7</v>
      </c>
      <c r="C67" s="261"/>
      <c r="D67" s="262"/>
      <c r="E67" s="169"/>
      <c r="F67" s="157"/>
      <c r="G67" s="211" t="s">
        <v>77</v>
      </c>
      <c r="H67" s="121" t="n">
        <f aca="false">(H61*H66)/1.2</f>
        <v>964.75</v>
      </c>
      <c r="I67" s="168"/>
      <c r="J67" s="65"/>
      <c r="K67" s="169"/>
      <c r="L67" s="157"/>
      <c r="M67" s="211" t="s">
        <v>77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263"/>
      <c r="D68" s="65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224" t="s">
        <v>78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8" t="s">
        <v>79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211" t="s">
        <v>80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200.0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224" t="s">
        <v>81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5.0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8" t="s">
        <v>82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83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84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84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85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85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86</v>
      </c>
      <c r="H81" s="240" t="n">
        <f aca="false">SUM(J64:J80)</f>
        <v>7143.675</v>
      </c>
      <c r="I81" s="168"/>
      <c r="J81" s="168"/>
      <c r="K81" s="169"/>
      <c r="L81" s="157"/>
      <c r="M81" s="239" t="s">
        <v>86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220.590509259259</v>
      </c>
      <c r="C82" s="264"/>
      <c r="D82" s="168"/>
      <c r="E82" s="258"/>
      <c r="F82" s="157"/>
      <c r="G82" s="161" t="s">
        <v>87</v>
      </c>
      <c r="H82" s="166" t="n">
        <f aca="false">H81/H29</f>
        <v>198.435416666667</v>
      </c>
      <c r="I82" s="168"/>
      <c r="J82" s="168"/>
      <c r="K82" s="169"/>
      <c r="L82" s="157"/>
      <c r="M82" s="161" t="s">
        <v>87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88</v>
      </c>
      <c r="H83" s="242" t="n">
        <f aca="false">H47</f>
        <v>922.920864561026</v>
      </c>
      <c r="I83" s="168"/>
      <c r="J83" s="168"/>
      <c r="K83" s="169"/>
      <c r="L83" s="157"/>
      <c r="M83" s="241" t="s">
        <v>88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97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97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98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98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99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99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100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100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101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101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102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102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108</v>
      </c>
      <c r="Z97" s="157"/>
      <c r="AC97" s="24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61" t="s">
        <v>106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224</v>
      </c>
      <c r="C99" s="248"/>
      <c r="D99" s="58" t="n">
        <v>1000.0</v>
      </c>
      <c r="E99" s="58"/>
      <c r="F99" s="157"/>
      <c r="G99" s="185" t="s">
        <v>180</v>
      </c>
      <c r="H99" s="248" t="s">
        <v>181</v>
      </c>
      <c r="I99" s="248"/>
      <c r="J99" s="58" t="n">
        <v>0</v>
      </c>
      <c r="K99" s="58"/>
      <c r="L99" s="157"/>
      <c r="M99" s="185" t="s">
        <v>180</v>
      </c>
      <c r="N99" s="248" t="s">
        <v>181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182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181</v>
      </c>
      <c r="Z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228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61" t="s">
        <v>183</v>
      </c>
      <c r="N101" s="168" t="s">
        <v>184</v>
      </c>
      <c r="O101" s="168"/>
      <c r="P101" s="168" t="s">
        <v>185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186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187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188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85" t="s">
        <v>29</v>
      </c>
      <c r="N104" s="157" t="s">
        <v>109</v>
      </c>
      <c r="O104" s="168"/>
      <c r="P104" s="168" t="s">
        <v>121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189</v>
      </c>
      <c r="Z104" s="157"/>
    </row>
    <row r="105" customFormat="false" ht="18.75" hidden="false" customHeight="true" outlineLevel="0" collapsed="false">
      <c r="A105" s="186" t="s">
        <v>272</v>
      </c>
      <c r="B105" s="249" t="n">
        <v>0.0</v>
      </c>
      <c r="C105" s="249"/>
      <c r="D105" s="58" t="s">
        <v>273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190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191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89" t="s">
        <v>192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193</v>
      </c>
      <c r="B110" s="186" t="s">
        <v>272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61" t="s">
        <v>193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0</v>
      </c>
      <c r="E112" s="58" t="n">
        <v>0</v>
      </c>
      <c r="F112" s="157"/>
      <c r="G112" s="161" t="s">
        <v>135</v>
      </c>
      <c r="H112" s="168"/>
      <c r="I112" s="168"/>
      <c r="J112" s="57" t="n">
        <v>0</v>
      </c>
      <c r="K112" s="58" t="n">
        <v>0</v>
      </c>
      <c r="L112" s="157"/>
      <c r="M112" s="161" t="s">
        <v>135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136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136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137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137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0</v>
      </c>
      <c r="E115" s="169"/>
      <c r="F115" s="157"/>
      <c r="G115" s="161" t="s">
        <v>138</v>
      </c>
      <c r="H115" s="168"/>
      <c r="I115" s="168"/>
      <c r="J115" s="26" t="n">
        <f aca="false">J114-K114</f>
        <v>0</v>
      </c>
      <c r="K115" s="169"/>
      <c r="L115" s="157"/>
      <c r="M115" s="161" t="s">
        <v>138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v>1000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204" t="s">
        <v>117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199.99</v>
      </c>
      <c r="L118" s="157"/>
      <c r="M118" s="161" t="s">
        <v>141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194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194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89" t="s">
        <v>195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196</v>
      </c>
      <c r="B126" s="252" t="s">
        <v>197</v>
      </c>
      <c r="C126" s="252"/>
      <c r="D126" s="252" t="s">
        <v>102</v>
      </c>
      <c r="E126" s="169"/>
      <c r="F126" s="157"/>
      <c r="G126" s="251" t="s">
        <v>198</v>
      </c>
      <c r="H126" s="252" t="s">
        <v>199</v>
      </c>
      <c r="I126" s="252"/>
      <c r="J126" s="252" t="s">
        <v>200</v>
      </c>
      <c r="K126" s="169"/>
      <c r="L126" s="157"/>
      <c r="M126" s="251" t="s">
        <v>196</v>
      </c>
      <c r="N126" s="252" t="s">
        <v>197</v>
      </c>
      <c r="O126" s="252"/>
      <c r="P126" s="252" t="s">
        <v>102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34.3333333333333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40</v>
      </c>
      <c r="B129" s="168" t="s">
        <v>41</v>
      </c>
      <c r="C129" s="168"/>
      <c r="D129" s="168" t="s">
        <v>69</v>
      </c>
      <c r="E129" s="169"/>
      <c r="F129" s="157"/>
      <c r="G129" s="161" t="s">
        <v>40</v>
      </c>
      <c r="H129" s="168" t="s">
        <v>41</v>
      </c>
      <c r="I129" s="168"/>
      <c r="J129" s="168" t="s">
        <v>69</v>
      </c>
      <c r="K129" s="169"/>
      <c r="L129" s="157"/>
      <c r="M129" s="161" t="s">
        <v>40</v>
      </c>
      <c r="N129" s="168" t="s">
        <v>41</v>
      </c>
      <c r="O129" s="168"/>
      <c r="P129" s="168" t="s">
        <v>69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35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35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35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61" t="s">
        <v>201</v>
      </c>
      <c r="N132" s="168" t="s">
        <v>202</v>
      </c>
      <c r="O132" s="168"/>
      <c r="P132" s="168" t="s">
        <v>203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1153.19823902812</v>
      </c>
      <c r="B133" s="23" t="n">
        <f aca="false">IF(A105="YES", B89*B57, 0)</f>
        <v>34.3333333333333</v>
      </c>
      <c r="C133" s="199"/>
      <c r="D133" s="200" t="n">
        <f aca="false">B91*B57</f>
        <v>1187.53157236145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61" t="s">
        <v>207</v>
      </c>
      <c r="N135" s="168" t="s">
        <v>208</v>
      </c>
      <c r="O135" s="168"/>
      <c r="P135" s="168" t="s">
        <v>209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61" t="s">
        <v>120</v>
      </c>
      <c r="N138" s="168" t="s">
        <v>213</v>
      </c>
      <c r="O138" s="168"/>
      <c r="P138" s="168" t="s">
        <v>214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61" t="s">
        <v>216</v>
      </c>
      <c r="N141" s="168" t="s">
        <v>217</v>
      </c>
      <c r="O141" s="168"/>
      <c r="P141" s="168" t="s">
        <v>218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61" t="s">
        <v>219</v>
      </c>
      <c r="N144" s="168" t="s">
        <v>220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221</v>
      </c>
      <c r="N147" s="26" t="s">
        <v>222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223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40</v>
      </c>
      <c r="N153" s="221" t="s">
        <v>41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108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120</v>
      </c>
      <c r="B43" s="287" t="s">
        <v>207</v>
      </c>
      <c r="C43" s="194"/>
      <c r="D43" s="287" t="s">
        <v>208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209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66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40</v>
      </c>
      <c r="B56" s="221" t="s">
        <v>41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54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54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54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69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69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69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74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74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74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75</v>
      </c>
      <c r="B71" s="225" t="n">
        <v>0.01</v>
      </c>
      <c r="C71" s="168"/>
      <c r="D71" s="168"/>
      <c r="E71" s="169"/>
      <c r="F71" s="157"/>
      <c r="G71" s="224" t="s">
        <v>75</v>
      </c>
      <c r="H71" s="225" t="n">
        <v>0.005</v>
      </c>
      <c r="I71" s="168"/>
      <c r="J71" s="168"/>
      <c r="K71" s="169"/>
      <c r="L71" s="157"/>
      <c r="M71" s="224" t="s">
        <v>75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76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76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76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77</v>
      </c>
      <c r="B73" s="121" t="n">
        <f aca="false">B67*B72</f>
        <v>3116.25</v>
      </c>
      <c r="C73" s="168"/>
      <c r="D73" s="65"/>
      <c r="E73" s="169"/>
      <c r="F73" s="157"/>
      <c r="G73" s="211" t="s">
        <v>77</v>
      </c>
      <c r="H73" s="121" t="n">
        <f aca="false">H67*H72</f>
        <v>1558.125</v>
      </c>
      <c r="I73" s="168"/>
      <c r="J73" s="65"/>
      <c r="K73" s="169"/>
      <c r="L73" s="157"/>
      <c r="M73" s="211" t="s">
        <v>77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78</v>
      </c>
      <c r="B74" s="225" t="n">
        <v>0.0075</v>
      </c>
      <c r="C74" s="168"/>
      <c r="D74" s="168"/>
      <c r="E74" s="169"/>
      <c r="F74" s="157"/>
      <c r="G74" s="224" t="s">
        <v>78</v>
      </c>
      <c r="H74" s="225" t="n">
        <v>0.0075</v>
      </c>
      <c r="I74" s="168"/>
      <c r="J74" s="168"/>
      <c r="K74" s="169"/>
      <c r="L74" s="157"/>
      <c r="M74" s="224" t="s">
        <v>78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79</v>
      </c>
      <c r="B75" s="226" t="n">
        <v>0.12</v>
      </c>
      <c r="C75" s="168"/>
      <c r="D75" s="168"/>
      <c r="E75" s="169"/>
      <c r="F75" s="157"/>
      <c r="G75" s="158" t="s">
        <v>79</v>
      </c>
      <c r="H75" s="226" t="n">
        <v>0.12</v>
      </c>
      <c r="I75" s="168"/>
      <c r="J75" s="168"/>
      <c r="K75" s="169"/>
      <c r="L75" s="157"/>
      <c r="M75" s="158" t="s">
        <v>79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80</v>
      </c>
      <c r="B76" s="228" t="n">
        <f aca="false">B74*(1+B75)</f>
        <v>0.0084</v>
      </c>
      <c r="C76" s="168"/>
      <c r="D76" s="168"/>
      <c r="E76" s="169"/>
      <c r="F76" s="157"/>
      <c r="G76" s="211" t="s">
        <v>80</v>
      </c>
      <c r="H76" s="228" t="n">
        <f aca="false">H74*(1+H75)</f>
        <v>0.0084</v>
      </c>
      <c r="I76" s="168"/>
      <c r="J76" s="168"/>
      <c r="K76" s="169"/>
      <c r="L76" s="157"/>
      <c r="M76" s="211" t="s">
        <v>80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81</v>
      </c>
      <c r="B77" s="229" t="n">
        <v>160</v>
      </c>
      <c r="C77" s="168"/>
      <c r="D77" s="168"/>
      <c r="E77" s="169"/>
      <c r="F77" s="157"/>
      <c r="G77" s="224" t="s">
        <v>81</v>
      </c>
      <c r="H77" s="229" t="n">
        <v>160</v>
      </c>
      <c r="I77" s="168"/>
      <c r="J77" s="168"/>
      <c r="K77" s="169"/>
      <c r="L77" s="157"/>
      <c r="M77" s="224" t="s">
        <v>81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82</v>
      </c>
      <c r="B78" s="230" t="n">
        <v>4.5</v>
      </c>
      <c r="C78" s="168"/>
      <c r="D78" s="168"/>
      <c r="E78" s="169"/>
      <c r="F78" s="157"/>
      <c r="G78" s="158" t="s">
        <v>82</v>
      </c>
      <c r="H78" s="230" t="n">
        <v>4.5</v>
      </c>
      <c r="I78" s="168"/>
      <c r="J78" s="168"/>
      <c r="K78" s="169"/>
      <c r="L78" s="157"/>
      <c r="M78" s="158" t="s">
        <v>82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83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83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83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84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84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84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85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85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85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86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86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86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87</v>
      </c>
      <c r="B88" s="166" t="n">
        <f aca="false">B87/H29</f>
        <v>549.415404040404</v>
      </c>
      <c r="C88" s="168"/>
      <c r="D88" s="168"/>
      <c r="E88" s="169"/>
      <c r="F88" s="157"/>
      <c r="G88" s="161" t="s">
        <v>87</v>
      </c>
      <c r="H88" s="166" t="n">
        <f aca="false">H87/H29</f>
        <v>630.400252525253</v>
      </c>
      <c r="I88" s="168"/>
      <c r="J88" s="168"/>
      <c r="K88" s="169"/>
      <c r="L88" s="157"/>
      <c r="M88" s="161" t="s">
        <v>87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88</v>
      </c>
      <c r="B89" s="242" t="n">
        <f aca="false">H46</f>
        <v>51.5151515151515</v>
      </c>
      <c r="C89" s="168"/>
      <c r="D89" s="168"/>
      <c r="E89" s="169"/>
      <c r="F89" s="157"/>
      <c r="G89" s="241" t="s">
        <v>88</v>
      </c>
      <c r="H89" s="242" t="n">
        <f aca="false">H46</f>
        <v>51.5151515151515</v>
      </c>
      <c r="I89" s="168"/>
      <c r="J89" s="168"/>
      <c r="K89" s="169"/>
      <c r="L89" s="157"/>
      <c r="M89" s="241" t="s">
        <v>88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97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97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97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98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98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98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99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99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99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100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100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100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101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101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101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102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102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102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</row>
    <row r="104" customFormat="false" ht="18.75" hidden="false" customHeight="true" outlineLevel="0" collapsed="false">
      <c r="A104" s="161" t="s">
        <v>106</v>
      </c>
      <c r="B104" s="168" t="s">
        <v>30</v>
      </c>
      <c r="C104" s="168"/>
      <c r="D104" s="168" t="s">
        <v>178</v>
      </c>
      <c r="E104" s="169"/>
      <c r="F104" s="157"/>
      <c r="G104" s="161" t="s">
        <v>106</v>
      </c>
      <c r="H104" s="168" t="s">
        <v>30</v>
      </c>
      <c r="I104" s="168"/>
      <c r="J104" s="168" t="s">
        <v>178</v>
      </c>
      <c r="K104" s="169"/>
      <c r="L104" s="157"/>
      <c r="M104" s="161" t="s">
        <v>106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108</v>
      </c>
      <c r="C105" s="248"/>
      <c r="D105" s="297" t="n">
        <v>0</v>
      </c>
      <c r="E105" s="297"/>
      <c r="F105" s="157"/>
      <c r="G105" s="185" t="s">
        <v>180</v>
      </c>
      <c r="H105" s="248" t="s">
        <v>188</v>
      </c>
      <c r="I105" s="248"/>
      <c r="J105" s="297" t="n">
        <v>5000</v>
      </c>
      <c r="K105" s="297"/>
      <c r="L105" s="157"/>
      <c r="M105" s="185" t="s">
        <v>180</v>
      </c>
      <c r="N105" s="248" t="s">
        <v>187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</row>
    <row r="107" customFormat="false" ht="18.75" hidden="false" customHeight="true" outlineLevel="0" collapsed="false">
      <c r="A107" s="161" t="s">
        <v>183</v>
      </c>
      <c r="B107" s="168" t="s">
        <v>184</v>
      </c>
      <c r="C107" s="168"/>
      <c r="D107" s="168" t="s">
        <v>185</v>
      </c>
      <c r="E107" s="169"/>
      <c r="F107" s="157"/>
      <c r="G107" s="161" t="s">
        <v>183</v>
      </c>
      <c r="H107" s="168" t="s">
        <v>184</v>
      </c>
      <c r="I107" s="168"/>
      <c r="J107" s="168" t="s">
        <v>185</v>
      </c>
      <c r="K107" s="169"/>
      <c r="L107" s="157"/>
      <c r="M107" s="161" t="s">
        <v>183</v>
      </c>
      <c r="N107" s="168" t="s">
        <v>184</v>
      </c>
      <c r="O107" s="168"/>
      <c r="P107" s="168" t="s">
        <v>185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109</v>
      </c>
      <c r="C110" s="168"/>
      <c r="D110" s="168" t="s">
        <v>121</v>
      </c>
      <c r="E110" s="169"/>
      <c r="F110" s="157"/>
      <c r="G110" s="185" t="s">
        <v>29</v>
      </c>
      <c r="H110" s="157" t="s">
        <v>109</v>
      </c>
      <c r="I110" s="168"/>
      <c r="J110" s="168" t="s">
        <v>121</v>
      </c>
      <c r="K110" s="169"/>
      <c r="L110" s="157"/>
      <c r="M110" s="185" t="s">
        <v>29</v>
      </c>
      <c r="N110" s="157" t="s">
        <v>109</v>
      </c>
      <c r="O110" s="168"/>
      <c r="P110" s="168" t="s">
        <v>121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191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192</v>
      </c>
      <c r="B114" s="189"/>
      <c r="C114" s="189"/>
      <c r="D114" s="189"/>
      <c r="E114" s="189"/>
      <c r="F114" s="157"/>
      <c r="G114" s="189" t="s">
        <v>192</v>
      </c>
      <c r="H114" s="189"/>
      <c r="I114" s="189"/>
      <c r="J114" s="189"/>
      <c r="K114" s="189"/>
      <c r="L114" s="157"/>
      <c r="M114" s="189" t="s">
        <v>192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193</v>
      </c>
      <c r="B116" s="186" t="s">
        <v>26</v>
      </c>
      <c r="C116" s="168"/>
      <c r="D116" s="168"/>
      <c r="E116" s="169"/>
      <c r="F116" s="157"/>
      <c r="G116" s="161" t="s">
        <v>193</v>
      </c>
      <c r="H116" s="186" t="s">
        <v>25</v>
      </c>
      <c r="I116" s="168"/>
      <c r="J116" s="168"/>
      <c r="K116" s="169"/>
      <c r="L116" s="157"/>
      <c r="M116" s="161" t="s">
        <v>193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135</v>
      </c>
      <c r="B118" s="168"/>
      <c r="C118" s="168"/>
      <c r="D118" s="57" t="n">
        <v>0</v>
      </c>
      <c r="E118" s="58" t="n">
        <v>0</v>
      </c>
      <c r="F118" s="157"/>
      <c r="G118" s="161" t="s">
        <v>135</v>
      </c>
      <c r="H118" s="168"/>
      <c r="I118" s="168"/>
      <c r="J118" s="57" t="n">
        <v>10000</v>
      </c>
      <c r="K118" s="58" t="n">
        <v>5000</v>
      </c>
      <c r="L118" s="157"/>
      <c r="M118" s="161" t="s">
        <v>135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136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136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136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137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137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137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138</v>
      </c>
      <c r="B121" s="168"/>
      <c r="C121" s="168"/>
      <c r="D121" s="26" t="n">
        <f aca="false">D120-E120</f>
        <v>0</v>
      </c>
      <c r="E121" s="169"/>
      <c r="F121" s="157"/>
      <c r="G121" s="161" t="s">
        <v>138</v>
      </c>
      <c r="H121" s="168"/>
      <c r="I121" s="168"/>
      <c r="J121" s="26" t="n">
        <f aca="false">J120-K120</f>
        <v>5000</v>
      </c>
      <c r="K121" s="169"/>
      <c r="L121" s="157"/>
      <c r="M121" s="161" t="s">
        <v>138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117</v>
      </c>
      <c r="B123" s="205"/>
      <c r="C123" s="205"/>
      <c r="D123" s="205"/>
      <c r="E123" s="119" t="n">
        <f aca="false">D105</f>
        <v>0</v>
      </c>
      <c r="F123" s="157"/>
      <c r="G123" s="204" t="s">
        <v>117</v>
      </c>
      <c r="H123" s="205"/>
      <c r="I123" s="205"/>
      <c r="J123" s="205"/>
      <c r="K123" s="119" t="n">
        <f aca="false">J105</f>
        <v>5000</v>
      </c>
      <c r="L123" s="157"/>
      <c r="M123" s="204" t="s">
        <v>117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141</v>
      </c>
      <c r="B124" s="168"/>
      <c r="C124" s="168"/>
      <c r="D124" s="168"/>
      <c r="E124" s="166" t="n">
        <f aca="false">A108</f>
        <v>199.99</v>
      </c>
      <c r="F124" s="157"/>
      <c r="G124" s="161" t="s">
        <v>141</v>
      </c>
      <c r="H124" s="168"/>
      <c r="I124" s="168"/>
      <c r="J124" s="168"/>
      <c r="K124" s="166" t="n">
        <f aca="false">G108</f>
        <v>239.988</v>
      </c>
      <c r="L124" s="157"/>
      <c r="M124" s="161" t="s">
        <v>141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194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194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194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195</v>
      </c>
      <c r="B128" s="189"/>
      <c r="C128" s="189"/>
      <c r="D128" s="189"/>
      <c r="E128" s="189"/>
      <c r="F128" s="157"/>
      <c r="G128" s="189" t="s">
        <v>195</v>
      </c>
      <c r="H128" s="189"/>
      <c r="I128" s="189"/>
      <c r="J128" s="189"/>
      <c r="K128" s="189"/>
      <c r="L128" s="157"/>
      <c r="M128" s="189" t="s">
        <v>195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40</v>
      </c>
      <c r="B132" s="168" t="s">
        <v>41</v>
      </c>
      <c r="C132" s="168"/>
      <c r="D132" s="168" t="s">
        <v>69</v>
      </c>
      <c r="E132" s="169"/>
      <c r="F132" s="157"/>
      <c r="G132" s="161" t="s">
        <v>40</v>
      </c>
      <c r="H132" s="168" t="s">
        <v>41</v>
      </c>
      <c r="I132" s="168"/>
      <c r="J132" s="168" t="s">
        <v>69</v>
      </c>
      <c r="K132" s="169"/>
      <c r="L132" s="157"/>
      <c r="M132" s="161" t="s">
        <v>40</v>
      </c>
      <c r="N132" s="168" t="s">
        <v>41</v>
      </c>
      <c r="O132" s="168"/>
      <c r="P132" s="168" t="s">
        <v>69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196</v>
      </c>
      <c r="B135" s="252" t="s">
        <v>197</v>
      </c>
      <c r="C135" s="252"/>
      <c r="D135" s="252" t="s">
        <v>102</v>
      </c>
      <c r="E135" s="169"/>
      <c r="F135" s="157"/>
      <c r="G135" s="251" t="s">
        <v>198</v>
      </c>
      <c r="H135" s="252" t="s">
        <v>199</v>
      </c>
      <c r="I135" s="252"/>
      <c r="J135" s="252" t="s">
        <v>200</v>
      </c>
      <c r="K135" s="169"/>
      <c r="L135" s="157"/>
      <c r="M135" s="251" t="s">
        <v>196</v>
      </c>
      <c r="N135" s="252" t="s">
        <v>197</v>
      </c>
      <c r="O135" s="252"/>
      <c r="P135" s="252" t="s">
        <v>102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201</v>
      </c>
      <c r="B138" s="168" t="s">
        <v>202</v>
      </c>
      <c r="C138" s="168"/>
      <c r="D138" s="168" t="s">
        <v>203</v>
      </c>
      <c r="E138" s="169"/>
      <c r="F138" s="157"/>
      <c r="G138" s="161" t="s">
        <v>204</v>
      </c>
      <c r="H138" s="168" t="s">
        <v>205</v>
      </c>
      <c r="I138" s="168"/>
      <c r="J138" s="168" t="s">
        <v>206</v>
      </c>
      <c r="K138" s="169"/>
      <c r="L138" s="157"/>
      <c r="M138" s="161" t="s">
        <v>201</v>
      </c>
      <c r="N138" s="168" t="s">
        <v>202</v>
      </c>
      <c r="O138" s="168"/>
      <c r="P138" s="168" t="s">
        <v>203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207</v>
      </c>
      <c r="B141" s="168" t="s">
        <v>208</v>
      </c>
      <c r="C141" s="168"/>
      <c r="D141" s="168" t="s">
        <v>209</v>
      </c>
      <c r="E141" s="169"/>
      <c r="F141" s="157"/>
      <c r="G141" s="161" t="s">
        <v>210</v>
      </c>
      <c r="H141" s="168" t="s">
        <v>211</v>
      </c>
      <c r="I141" s="168"/>
      <c r="J141" s="168" t="s">
        <v>212</v>
      </c>
      <c r="K141" s="169"/>
      <c r="L141" s="157"/>
      <c r="M141" s="161" t="s">
        <v>207</v>
      </c>
      <c r="N141" s="168" t="s">
        <v>208</v>
      </c>
      <c r="O141" s="168"/>
      <c r="P141" s="168" t="s">
        <v>209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120</v>
      </c>
      <c r="B144" s="168" t="s">
        <v>213</v>
      </c>
      <c r="C144" s="168"/>
      <c r="D144" s="168" t="s">
        <v>214</v>
      </c>
      <c r="E144" s="169"/>
      <c r="F144" s="157"/>
      <c r="G144" s="161" t="s">
        <v>215</v>
      </c>
      <c r="H144" s="168" t="s">
        <v>213</v>
      </c>
      <c r="I144" s="168"/>
      <c r="J144" s="168" t="s">
        <v>214</v>
      </c>
      <c r="K144" s="169"/>
      <c r="L144" s="157"/>
      <c r="M144" s="161" t="s">
        <v>120</v>
      </c>
      <c r="N144" s="168" t="s">
        <v>213</v>
      </c>
      <c r="O144" s="168"/>
      <c r="P144" s="168" t="s">
        <v>214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216</v>
      </c>
      <c r="B147" s="168" t="s">
        <v>217</v>
      </c>
      <c r="C147" s="168"/>
      <c r="D147" s="168" t="s">
        <v>218</v>
      </c>
      <c r="E147" s="169"/>
      <c r="F147" s="157"/>
      <c r="G147" s="161" t="s">
        <v>216</v>
      </c>
      <c r="H147" s="168" t="s">
        <v>217</v>
      </c>
      <c r="I147" s="168"/>
      <c r="J147" s="168" t="s">
        <v>218</v>
      </c>
      <c r="K147" s="169"/>
      <c r="L147" s="157"/>
      <c r="M147" s="161" t="s">
        <v>216</v>
      </c>
      <c r="N147" s="168" t="s">
        <v>217</v>
      </c>
      <c r="O147" s="168"/>
      <c r="P147" s="168" t="s">
        <v>218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219</v>
      </c>
      <c r="B150" s="168" t="s">
        <v>220</v>
      </c>
      <c r="C150" s="168"/>
      <c r="D150" s="168"/>
      <c r="E150" s="169"/>
      <c r="F150" s="157"/>
      <c r="G150" s="161" t="s">
        <v>219</v>
      </c>
      <c r="H150" s="168" t="s">
        <v>220</v>
      </c>
      <c r="I150" s="168"/>
      <c r="J150" s="168"/>
      <c r="K150" s="169"/>
      <c r="L150" s="157"/>
      <c r="M150" s="161" t="s">
        <v>219</v>
      </c>
      <c r="N150" s="168" t="s">
        <v>220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221</v>
      </c>
      <c r="N153" s="26" t="s">
        <v>222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223</v>
      </c>
      <c r="B154" s="168"/>
      <c r="C154" s="168"/>
      <c r="D154" s="215"/>
      <c r="E154" s="216"/>
      <c r="F154" s="157"/>
      <c r="G154" s="214" t="s">
        <v>223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40</v>
      </c>
      <c r="B156" s="221" t="s">
        <v>41</v>
      </c>
      <c r="C156" s="221"/>
      <c r="D156" s="168"/>
      <c r="E156" s="169"/>
      <c r="F156" s="157"/>
      <c r="G156" s="220" t="s">
        <v>40</v>
      </c>
      <c r="H156" s="221" t="s">
        <v>41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223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40</v>
      </c>
      <c r="N159" s="221" t="s">
        <v>41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68359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54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69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44898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38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202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186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203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197</v>
      </c>
      <c r="B40" s="287" t="s">
        <v>102</v>
      </c>
      <c r="C40" s="194"/>
      <c r="D40" s="200" t="s">
        <v>120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50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207</v>
      </c>
      <c r="B43" s="287" t="s">
        <v>208</v>
      </c>
      <c r="C43" s="194"/>
      <c r="D43" s="287" t="s">
        <v>209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66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40</v>
      </c>
      <c r="B50" s="221" t="s">
        <v>41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54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54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69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69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74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74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75</v>
      </c>
      <c r="B65" s="225" t="n">
        <v>0.005</v>
      </c>
      <c r="C65" s="168"/>
      <c r="D65" s="168"/>
      <c r="E65" s="169"/>
      <c r="F65" s="157"/>
      <c r="G65" s="224" t="s">
        <v>75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76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76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77</v>
      </c>
      <c r="B67" s="121" t="n">
        <f aca="false">B61*B66</f>
        <v>1629</v>
      </c>
      <c r="C67" s="168"/>
      <c r="D67" s="65"/>
      <c r="E67" s="169"/>
      <c r="F67" s="157"/>
      <c r="G67" s="211" t="s">
        <v>77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78</v>
      </c>
      <c r="B68" s="225" t="n">
        <v>0.0075</v>
      </c>
      <c r="C68" s="168"/>
      <c r="D68" s="168"/>
      <c r="E68" s="169"/>
      <c r="F68" s="157"/>
      <c r="G68" s="224" t="s">
        <v>78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79</v>
      </c>
      <c r="B69" s="226" t="n">
        <v>0.12</v>
      </c>
      <c r="C69" s="168"/>
      <c r="D69" s="168"/>
      <c r="E69" s="169"/>
      <c r="F69" s="157"/>
      <c r="G69" s="158" t="s">
        <v>79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80</v>
      </c>
      <c r="B70" s="228" t="n">
        <f aca="false">B68*(1+B69)</f>
        <v>0.0084</v>
      </c>
      <c r="C70" s="168"/>
      <c r="D70" s="168"/>
      <c r="E70" s="169"/>
      <c r="F70" s="157"/>
      <c r="G70" s="211" t="s">
        <v>80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81</v>
      </c>
      <c r="B71" s="229" t="n">
        <v>160</v>
      </c>
      <c r="C71" s="168"/>
      <c r="D71" s="168"/>
      <c r="E71" s="169"/>
      <c r="F71" s="157"/>
      <c r="G71" s="224" t="s">
        <v>81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82</v>
      </c>
      <c r="B72" s="230" t="n">
        <v>4.5</v>
      </c>
      <c r="C72" s="168"/>
      <c r="D72" s="168"/>
      <c r="E72" s="169"/>
      <c r="F72" s="157"/>
      <c r="G72" s="158" t="s">
        <v>82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83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83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84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84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85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85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86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86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87</v>
      </c>
      <c r="B82" s="166" t="n">
        <f aca="false">B81/H29</f>
        <v>550.446759259259</v>
      </c>
      <c r="C82" s="168"/>
      <c r="D82" s="168"/>
      <c r="E82" s="169"/>
      <c r="F82" s="157"/>
      <c r="G82" s="161" t="s">
        <v>87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88</v>
      </c>
      <c r="B83" s="242" t="n">
        <f aca="false">H46</f>
        <v>3480.46444444444</v>
      </c>
      <c r="C83" s="168"/>
      <c r="D83" s="168"/>
      <c r="E83" s="169"/>
      <c r="F83" s="157"/>
      <c r="G83" s="241" t="s">
        <v>88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97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97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98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98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99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99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100</v>
      </c>
      <c r="B89" s="240" t="n">
        <f aca="false">(A41+(A41*B105))</f>
        <v>138.108</v>
      </c>
      <c r="C89" s="168"/>
      <c r="D89" s="168"/>
      <c r="E89" s="169"/>
      <c r="F89" s="157"/>
      <c r="G89" s="239" t="s">
        <v>100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101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101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102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102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106</v>
      </c>
      <c r="B98" s="168" t="s">
        <v>30</v>
      </c>
      <c r="C98" s="168"/>
      <c r="D98" s="168" t="s">
        <v>178</v>
      </c>
      <c r="E98" s="169"/>
      <c r="F98" s="157"/>
      <c r="G98" s="161" t="s">
        <v>106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108</v>
      </c>
      <c r="C99" s="248"/>
      <c r="D99" s="58" t="n">
        <v>0</v>
      </c>
      <c r="E99" s="58"/>
      <c r="F99" s="157"/>
      <c r="G99" s="185" t="s">
        <v>180</v>
      </c>
      <c r="H99" s="248" t="s">
        <v>108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183</v>
      </c>
      <c r="B101" s="168" t="s">
        <v>184</v>
      </c>
      <c r="C101" s="168"/>
      <c r="D101" s="168" t="s">
        <v>185</v>
      </c>
      <c r="E101" s="169"/>
      <c r="F101" s="157"/>
      <c r="G101" s="161" t="s">
        <v>183</v>
      </c>
      <c r="H101" s="168" t="s">
        <v>184</v>
      </c>
      <c r="I101" s="168"/>
      <c r="J101" s="168" t="s">
        <v>185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108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109</v>
      </c>
      <c r="C104" s="168"/>
      <c r="D104" s="168" t="s">
        <v>121</v>
      </c>
      <c r="E104" s="169"/>
      <c r="F104" s="157"/>
      <c r="G104" s="185" t="s">
        <v>29</v>
      </c>
      <c r="H104" s="157" t="s">
        <v>109</v>
      </c>
      <c r="I104" s="168"/>
      <c r="J104" s="168" t="s">
        <v>121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182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181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186</v>
      </c>
      <c r="Z107" s="157"/>
      <c r="AA107" s="157"/>
    </row>
    <row r="108" customFormat="false" ht="18.75" hidden="false" customHeight="true" outlineLevel="0" collapsed="false">
      <c r="A108" s="189" t="s">
        <v>192</v>
      </c>
      <c r="B108" s="189"/>
      <c r="C108" s="189"/>
      <c r="D108" s="189"/>
      <c r="E108" s="189"/>
      <c r="F108" s="157"/>
      <c r="G108" s="189" t="s">
        <v>192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187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188</v>
      </c>
      <c r="Z109" s="157"/>
    </row>
    <row r="110" customFormat="false" ht="18.75" hidden="false" customHeight="true" outlineLevel="0" collapsed="false">
      <c r="A110" s="161" t="s">
        <v>193</v>
      </c>
      <c r="B110" s="186" t="s">
        <v>26</v>
      </c>
      <c r="C110" s="168"/>
      <c r="D110" s="168"/>
      <c r="E110" s="169"/>
      <c r="F110" s="157"/>
      <c r="G110" s="161" t="s">
        <v>193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189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190</v>
      </c>
      <c r="Z111" s="157"/>
    </row>
    <row r="112" customFormat="false" ht="18.75" hidden="false" customHeight="true" outlineLevel="0" collapsed="false">
      <c r="A112" s="161" t="s">
        <v>135</v>
      </c>
      <c r="B112" s="168"/>
      <c r="C112" s="168"/>
      <c r="D112" s="57" t="n">
        <v>10000</v>
      </c>
      <c r="E112" s="58" t="n">
        <v>5000</v>
      </c>
      <c r="F112" s="157"/>
      <c r="G112" s="161" t="s">
        <v>135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136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136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137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137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138</v>
      </c>
      <c r="B115" s="168"/>
      <c r="C115" s="168"/>
      <c r="D115" s="26" t="n">
        <f aca="false">D114-E114</f>
        <v>5000</v>
      </c>
      <c r="E115" s="169"/>
      <c r="F115" s="157"/>
      <c r="G115" s="161" t="s">
        <v>138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117</v>
      </c>
      <c r="B117" s="205"/>
      <c r="C117" s="205"/>
      <c r="D117" s="205"/>
      <c r="E117" s="119" t="n">
        <f aca="false">D99</f>
        <v>0</v>
      </c>
      <c r="F117" s="157"/>
      <c r="G117" s="204" t="s">
        <v>117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141</v>
      </c>
      <c r="B118" s="168"/>
      <c r="C118" s="168"/>
      <c r="D118" s="168"/>
      <c r="E118" s="166" t="n">
        <f aca="false">A102</f>
        <v>199.99</v>
      </c>
      <c r="F118" s="157"/>
      <c r="G118" s="161" t="s">
        <v>141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194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194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195</v>
      </c>
      <c r="B122" s="189"/>
      <c r="C122" s="189"/>
      <c r="D122" s="189"/>
      <c r="E122" s="189"/>
      <c r="F122" s="157"/>
      <c r="G122" s="189" t="s">
        <v>195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40</v>
      </c>
      <c r="B126" s="168" t="s">
        <v>41</v>
      </c>
      <c r="C126" s="168"/>
      <c r="D126" s="168" t="s">
        <v>69</v>
      </c>
      <c r="E126" s="169"/>
      <c r="F126" s="157"/>
      <c r="G126" s="161" t="s">
        <v>40</v>
      </c>
      <c r="H126" s="168" t="s">
        <v>41</v>
      </c>
      <c r="I126" s="168"/>
      <c r="J126" s="168" t="s">
        <v>69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196</v>
      </c>
      <c r="B129" s="252" t="s">
        <v>197</v>
      </c>
      <c r="C129" s="252"/>
      <c r="D129" s="252" t="s">
        <v>102</v>
      </c>
      <c r="E129" s="169"/>
      <c r="F129" s="157"/>
      <c r="G129" s="251" t="s">
        <v>198</v>
      </c>
      <c r="H129" s="252" t="s">
        <v>199</v>
      </c>
      <c r="I129" s="252"/>
      <c r="J129" s="252" t="s">
        <v>200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201</v>
      </c>
      <c r="B132" s="168" t="s">
        <v>202</v>
      </c>
      <c r="C132" s="168"/>
      <c r="D132" s="168" t="s">
        <v>203</v>
      </c>
      <c r="E132" s="169"/>
      <c r="F132" s="157"/>
      <c r="G132" s="161" t="s">
        <v>204</v>
      </c>
      <c r="H132" s="168" t="s">
        <v>205</v>
      </c>
      <c r="I132" s="168"/>
      <c r="J132" s="168" t="s">
        <v>206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207</v>
      </c>
      <c r="B135" s="168" t="s">
        <v>208</v>
      </c>
      <c r="C135" s="168"/>
      <c r="D135" s="168" t="s">
        <v>209</v>
      </c>
      <c r="E135" s="169"/>
      <c r="F135" s="157"/>
      <c r="G135" s="161" t="s">
        <v>210</v>
      </c>
      <c r="H135" s="168" t="s">
        <v>211</v>
      </c>
      <c r="I135" s="168"/>
      <c r="J135" s="168" t="s">
        <v>212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120</v>
      </c>
      <c r="B138" s="168" t="s">
        <v>213</v>
      </c>
      <c r="C138" s="168"/>
      <c r="D138" s="168" t="s">
        <v>214</v>
      </c>
      <c r="E138" s="169"/>
      <c r="F138" s="157"/>
      <c r="G138" s="161" t="s">
        <v>215</v>
      </c>
      <c r="H138" s="168" t="s">
        <v>213</v>
      </c>
      <c r="I138" s="168"/>
      <c r="J138" s="168" t="s">
        <v>214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216</v>
      </c>
      <c r="B141" s="168" t="s">
        <v>217</v>
      </c>
      <c r="C141" s="168"/>
      <c r="D141" s="168" t="s">
        <v>218</v>
      </c>
      <c r="E141" s="169"/>
      <c r="F141" s="157"/>
      <c r="G141" s="161" t="s">
        <v>216</v>
      </c>
      <c r="H141" s="168" t="s">
        <v>217</v>
      </c>
      <c r="I141" s="168"/>
      <c r="J141" s="168" t="s">
        <v>218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219</v>
      </c>
      <c r="B144" s="168" t="s">
        <v>220</v>
      </c>
      <c r="C144" s="168"/>
      <c r="D144" s="168"/>
      <c r="E144" s="169"/>
      <c r="F144" s="157"/>
      <c r="G144" s="161" t="s">
        <v>219</v>
      </c>
      <c r="H144" s="168" t="s">
        <v>220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223</v>
      </c>
      <c r="B148" s="168"/>
      <c r="C148" s="168"/>
      <c r="D148" s="215"/>
      <c r="E148" s="216"/>
      <c r="F148" s="157"/>
      <c r="G148" s="214" t="s">
        <v>223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40</v>
      </c>
      <c r="B150" s="221" t="s">
        <v>41</v>
      </c>
      <c r="C150" s="221"/>
      <c r="D150" s="168"/>
      <c r="E150" s="169"/>
      <c r="F150" s="157"/>
      <c r="G150" s="220" t="s">
        <v>40</v>
      </c>
      <c r="H150" s="221" t="s">
        <v>41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275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276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38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39</v>
      </c>
      <c r="K31" s="47" t="n">
        <v>27500.0</v>
      </c>
      <c r="P31" s="32"/>
    </row>
    <row r="32" customFormat="false" ht="34.8" hidden="false" customHeight="false" outlineLevel="0" collapsed="false">
      <c r="A32" s="7" t="s">
        <v>40</v>
      </c>
      <c r="B32" s="14" t="s">
        <v>41</v>
      </c>
      <c r="C32" s="14"/>
      <c r="D32" s="14"/>
      <c r="E32" s="14" t="s">
        <v>42</v>
      </c>
      <c r="F32" s="14"/>
      <c r="G32" s="14"/>
      <c r="H32" s="12"/>
      <c r="I32" s="2"/>
      <c r="J32" s="39" t="s">
        <v>43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951.531975672137</v>
      </c>
      <c r="F33" s="49"/>
      <c r="G33" s="49"/>
      <c r="H33" s="50"/>
      <c r="I33" s="2"/>
      <c r="J33" s="41" t="s">
        <v>44</v>
      </c>
      <c r="K33" s="5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45</v>
      </c>
      <c r="B35" s="14" t="s">
        <v>46</v>
      </c>
      <c r="C35" s="14"/>
      <c r="D35" s="32"/>
      <c r="E35" s="14" t="s">
        <v>47</v>
      </c>
      <c r="F35" s="52"/>
      <c r="G35" s="52"/>
      <c r="H35" s="50"/>
      <c r="I35" s="2"/>
      <c r="J35" s="53" t="s">
        <v>48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922.920864561026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49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50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51</v>
      </c>
      <c r="B39" s="14" t="s">
        <v>52</v>
      </c>
      <c r="C39" s="14"/>
      <c r="D39" s="32"/>
      <c r="E39" s="14" t="s">
        <v>53</v>
      </c>
      <c r="F39" s="52"/>
      <c r="G39" s="52"/>
      <c r="H39" s="50"/>
      <c r="J39" s="2" t="s">
        <v>54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IF(B26="YES",K42,"0")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55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56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57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58</v>
      </c>
      <c r="K43" s="2"/>
      <c r="L43" s="2"/>
      <c r="P43" s="32"/>
    </row>
    <row r="44" customFormat="false" ht="17.35" hidden="false" customHeight="false" outlineLevel="0" collapsed="false">
      <c r="A44" s="64" t="s">
        <v>59</v>
      </c>
      <c r="B44" s="14"/>
      <c r="C44" s="65" t="s">
        <v>60</v>
      </c>
      <c r="D44" s="65"/>
      <c r="E44" s="14"/>
      <c r="F44" s="14"/>
      <c r="G44" s="14"/>
      <c r="H44" s="12"/>
      <c r="J44" s="2" t="s">
        <v>61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277</v>
      </c>
      <c r="B45" s="14"/>
      <c r="C45" s="301" t="s">
        <v>277</v>
      </c>
      <c r="D45" s="301"/>
      <c r="E45" s="301"/>
      <c r="F45" s="14"/>
      <c r="G45" s="14"/>
      <c r="H45" s="12"/>
      <c r="J45" s="2" t="s">
        <v>63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64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65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69" t="s">
        <v>66</v>
      </c>
      <c r="B48" s="14"/>
      <c r="C48" s="14"/>
      <c r="D48" s="70"/>
      <c r="E48" s="70"/>
      <c r="F48" s="70"/>
      <c r="G48" s="70"/>
      <c r="H48" s="71"/>
      <c r="J48" s="72" t="s">
        <v>67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68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40</v>
      </c>
      <c r="B50" s="75" t="s">
        <v>41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951.531975672137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54</v>
      </c>
      <c r="B58" s="14" t="n">
        <v>1</v>
      </c>
      <c r="C58" s="14"/>
      <c r="D58" s="14"/>
      <c r="E58" s="80"/>
      <c r="F58" s="80"/>
      <c r="G58" s="80"/>
      <c r="H58" s="12"/>
      <c r="J58" s="7" t="s">
        <v>54</v>
      </c>
      <c r="K58" s="14" t="n">
        <v>1</v>
      </c>
      <c r="L58" s="14"/>
      <c r="M58" s="14"/>
      <c r="N58" s="80"/>
      <c r="O58" s="80"/>
      <c r="P58" s="80"/>
      <c r="Q58" s="12"/>
      <c r="S58" s="7" t="s">
        <v>54</v>
      </c>
      <c r="T58" s="14" t="n">
        <v>1</v>
      </c>
      <c r="U58" s="14"/>
      <c r="V58" s="14"/>
      <c r="W58" s="80"/>
      <c r="X58" s="80"/>
      <c r="Y58" s="80"/>
      <c r="Z58" s="12"/>
      <c r="AB58" s="7" t="s">
        <v>54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69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69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69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69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70</v>
      </c>
      <c r="B60" s="82" t="n">
        <v>10.0</v>
      </c>
      <c r="C60" s="14"/>
      <c r="D60" s="14"/>
      <c r="E60" s="80"/>
      <c r="F60" s="80"/>
      <c r="G60" s="80"/>
      <c r="H60" s="12"/>
      <c r="J60" s="81" t="s">
        <v>70</v>
      </c>
      <c r="K60" s="82" t="n">
        <v>20</v>
      </c>
      <c r="L60" s="14"/>
      <c r="M60" s="14"/>
      <c r="N60" s="80"/>
      <c r="O60" s="80"/>
      <c r="P60" s="80"/>
      <c r="Q60" s="12"/>
      <c r="S60" s="81" t="s">
        <v>70</v>
      </c>
      <c r="T60" s="82" t="n">
        <v>10</v>
      </c>
      <c r="U60" s="14"/>
      <c r="V60" s="14"/>
      <c r="W60" s="80"/>
      <c r="X60" s="80"/>
      <c r="Y60" s="80"/>
      <c r="Z60" s="12"/>
      <c r="AB60" s="81" t="s">
        <v>70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71</v>
      </c>
      <c r="B62" s="84" t="n">
        <v>0.0</v>
      </c>
      <c r="C62" s="14"/>
      <c r="D62" s="14"/>
      <c r="E62" s="80"/>
      <c r="F62" s="80"/>
      <c r="G62" s="80"/>
      <c r="H62" s="12"/>
      <c r="J62" s="83" t="s">
        <v>71</v>
      </c>
      <c r="K62" s="84" t="n">
        <v>0.06</v>
      </c>
      <c r="L62" s="14"/>
      <c r="M62" s="14"/>
      <c r="N62" s="80"/>
      <c r="O62" s="80"/>
      <c r="P62" s="80"/>
      <c r="Q62" s="12"/>
      <c r="S62" s="83" t="s">
        <v>71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71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72</v>
      </c>
      <c r="B63" s="85" t="n">
        <v>0.065</v>
      </c>
      <c r="C63" s="14"/>
      <c r="D63" s="14"/>
      <c r="E63" s="80"/>
      <c r="F63" s="80"/>
      <c r="G63" s="80"/>
      <c r="H63" s="12"/>
      <c r="J63" s="4" t="s">
        <v>72</v>
      </c>
      <c r="K63" s="85" t="n">
        <v>0.08</v>
      </c>
      <c r="L63" s="14"/>
      <c r="M63" s="14"/>
      <c r="N63" s="80"/>
      <c r="O63" s="80"/>
      <c r="P63" s="80"/>
      <c r="Q63" s="12"/>
      <c r="S63" s="4" t="s">
        <v>72</v>
      </c>
      <c r="T63" s="85" t="n">
        <v>0.059</v>
      </c>
      <c r="U63" s="14"/>
      <c r="V63" s="14"/>
      <c r="W63" s="80"/>
      <c r="X63" s="80"/>
      <c r="Y63" s="80"/>
      <c r="Z63" s="12"/>
      <c r="AB63" s="4" t="s">
        <v>72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73</v>
      </c>
      <c r="B64" s="87" t="n">
        <v>0.024</v>
      </c>
      <c r="C64" s="14"/>
      <c r="D64" s="14"/>
      <c r="E64" s="80"/>
      <c r="F64" s="80"/>
      <c r="G64" s="80"/>
      <c r="H64" s="12"/>
      <c r="J64" s="86" t="s">
        <v>73</v>
      </c>
      <c r="K64" s="87" t="n">
        <v>0.1</v>
      </c>
      <c r="L64" s="14"/>
      <c r="M64" s="14"/>
      <c r="N64" s="80"/>
      <c r="O64" s="80"/>
      <c r="P64" s="80"/>
      <c r="Q64" s="12"/>
      <c r="S64" s="86" t="s">
        <v>73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73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74</v>
      </c>
      <c r="B65" s="68" t="n">
        <f aca="false">(B89*B59)-(K47*K29)</f>
        <v>30372.5629972642</v>
      </c>
      <c r="C65" s="14"/>
      <c r="D65" s="14"/>
      <c r="E65" s="80"/>
      <c r="F65" s="80"/>
      <c r="G65" s="80"/>
      <c r="H65" s="12"/>
      <c r="J65" s="60" t="s">
        <v>74</v>
      </c>
      <c r="K65" s="68" t="n">
        <f aca="false">(K89*K59)-(K47*K29)</f>
        <v>18480.8061357562</v>
      </c>
      <c r="L65" s="14"/>
      <c r="M65" s="14"/>
      <c r="N65" s="80"/>
      <c r="O65" s="80"/>
      <c r="P65" s="80"/>
      <c r="Q65" s="12"/>
      <c r="S65" s="60" t="s">
        <v>74</v>
      </c>
      <c r="T65" s="68" t="n">
        <f aca="false">(T89*T59)-(K47*K29)</f>
        <v>-756.0974340266</v>
      </c>
      <c r="U65" s="14"/>
      <c r="V65" s="14"/>
      <c r="W65" s="80"/>
      <c r="X65" s="80"/>
      <c r="Y65" s="80"/>
      <c r="Z65" s="12"/>
      <c r="AB65" s="60" t="s">
        <v>74</v>
      </c>
      <c r="AC65" s="68" t="n">
        <f aca="false">(AC89*AC59)-(K47*K29)</f>
        <v>-756.0974340266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75</v>
      </c>
      <c r="B66" s="84" t="n">
        <v>0.01</v>
      </c>
      <c r="C66" s="14"/>
      <c r="D66" s="14"/>
      <c r="E66" s="80"/>
      <c r="F66" s="80"/>
      <c r="G66" s="80"/>
      <c r="H66" s="12"/>
      <c r="J66" s="83" t="s">
        <v>75</v>
      </c>
      <c r="K66" s="84" t="n">
        <v>0.05</v>
      </c>
      <c r="L66" s="14"/>
      <c r="M66" s="14"/>
      <c r="N66" s="80"/>
      <c r="O66" s="80"/>
      <c r="P66" s="80"/>
      <c r="Q66" s="12"/>
      <c r="S66" s="83" t="s">
        <v>75</v>
      </c>
      <c r="T66" s="84" t="n">
        <v>0.005</v>
      </c>
      <c r="U66" s="14"/>
      <c r="V66" s="14"/>
      <c r="W66" s="80"/>
      <c r="X66" s="80"/>
      <c r="Y66" s="80"/>
      <c r="Z66" s="12"/>
      <c r="AB66" s="83" t="s">
        <v>75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76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76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76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76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77</v>
      </c>
      <c r="B68" s="68" t="n">
        <f aca="false">(G158*B67)</f>
        <v>1144.5</v>
      </c>
      <c r="C68" s="14"/>
      <c r="D68" s="14"/>
      <c r="E68" s="80"/>
      <c r="F68" s="80"/>
      <c r="G68" s="80"/>
      <c r="H68" s="12"/>
      <c r="J68" s="60" t="s">
        <v>77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77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77</v>
      </c>
      <c r="AC68" s="68" t="n">
        <f aca="false">AH158*AC67</f>
        <v>454.68749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78</v>
      </c>
      <c r="B69" s="84" t="n">
        <v>0</v>
      </c>
      <c r="C69" s="14"/>
      <c r="D69" s="14"/>
      <c r="E69" s="80"/>
      <c r="F69" s="80"/>
      <c r="G69" s="80"/>
      <c r="H69" s="12"/>
      <c r="J69" s="83" t="s">
        <v>78</v>
      </c>
      <c r="K69" s="84" t="n">
        <v>0</v>
      </c>
      <c r="L69" s="14"/>
      <c r="M69" s="14"/>
      <c r="N69" s="80"/>
      <c r="O69" s="80"/>
      <c r="P69" s="80"/>
      <c r="Q69" s="12"/>
      <c r="S69" s="83" t="s">
        <v>78</v>
      </c>
      <c r="T69" s="84" t="n">
        <v>0</v>
      </c>
      <c r="U69" s="14"/>
      <c r="V69" s="14"/>
      <c r="W69" s="80"/>
      <c r="X69" s="80"/>
      <c r="Y69" s="80"/>
      <c r="Z69" s="12"/>
      <c r="AB69" s="83" t="s">
        <v>78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79</v>
      </c>
      <c r="B70" s="85" t="n">
        <v>0</v>
      </c>
      <c r="C70" s="14"/>
      <c r="D70" s="14"/>
      <c r="E70" s="80"/>
      <c r="F70" s="80"/>
      <c r="G70" s="80"/>
      <c r="H70" s="12"/>
      <c r="J70" s="4" t="s">
        <v>79</v>
      </c>
      <c r="K70" s="85" t="n">
        <v>0</v>
      </c>
      <c r="L70" s="14"/>
      <c r="M70" s="14"/>
      <c r="N70" s="80"/>
      <c r="O70" s="80"/>
      <c r="P70" s="80"/>
      <c r="Q70" s="12"/>
      <c r="S70" s="4" t="s">
        <v>79</v>
      </c>
      <c r="T70" s="85" t="n">
        <v>0</v>
      </c>
      <c r="U70" s="14"/>
      <c r="V70" s="14"/>
      <c r="W70" s="80"/>
      <c r="X70" s="80"/>
      <c r="Y70" s="80"/>
      <c r="Z70" s="12"/>
      <c r="AB70" s="4" t="s">
        <v>79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80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80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80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80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81</v>
      </c>
      <c r="B72" s="90" t="n">
        <v>0</v>
      </c>
      <c r="C72" s="14"/>
      <c r="D72" s="14"/>
      <c r="E72" s="80"/>
      <c r="F72" s="80"/>
      <c r="G72" s="80"/>
      <c r="H72" s="12"/>
      <c r="J72" s="83" t="s">
        <v>81</v>
      </c>
      <c r="K72" s="90" t="n">
        <v>0</v>
      </c>
      <c r="L72" s="14"/>
      <c r="M72" s="14"/>
      <c r="N72" s="80"/>
      <c r="O72" s="80"/>
      <c r="P72" s="80"/>
      <c r="Q72" s="12"/>
      <c r="S72" s="83" t="s">
        <v>81</v>
      </c>
      <c r="T72" s="90" t="n">
        <v>0</v>
      </c>
      <c r="U72" s="14"/>
      <c r="V72" s="14"/>
      <c r="W72" s="80"/>
      <c r="X72" s="80"/>
      <c r="Y72" s="80"/>
      <c r="Z72" s="12"/>
      <c r="AB72" s="83" t="s">
        <v>81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82</v>
      </c>
      <c r="B73" s="82" t="n">
        <v>0</v>
      </c>
      <c r="C73" s="14"/>
      <c r="D73" s="14"/>
      <c r="E73" s="80"/>
      <c r="F73" s="80"/>
      <c r="G73" s="80"/>
      <c r="H73" s="12"/>
      <c r="J73" s="4" t="s">
        <v>82</v>
      </c>
      <c r="K73" s="82" t="n">
        <v>0</v>
      </c>
      <c r="L73" s="14"/>
      <c r="M73" s="14"/>
      <c r="N73" s="80"/>
      <c r="O73" s="80"/>
      <c r="P73" s="80"/>
      <c r="Q73" s="12"/>
      <c r="S73" s="4" t="s">
        <v>82</v>
      </c>
      <c r="T73" s="82" t="n">
        <v>0</v>
      </c>
      <c r="U73" s="14"/>
      <c r="V73" s="14"/>
      <c r="W73" s="80"/>
      <c r="X73" s="80"/>
      <c r="Y73" s="80"/>
      <c r="Z73" s="12"/>
      <c r="AB73" s="4" t="s">
        <v>82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83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83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83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83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84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84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84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84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85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85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85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85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86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86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86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86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87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87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87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87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88</v>
      </c>
      <c r="B79" s="63" t="n">
        <f aca="false">K47</f>
        <v>922.920864561026</v>
      </c>
      <c r="C79" s="14"/>
      <c r="D79" s="14"/>
      <c r="E79" s="80"/>
      <c r="F79" s="80"/>
      <c r="G79" s="80"/>
      <c r="H79" s="12"/>
      <c r="J79" s="94" t="s">
        <v>88</v>
      </c>
      <c r="K79" s="63" t="n">
        <f aca="false">K47</f>
        <v>922.920864561026</v>
      </c>
      <c r="L79" s="14"/>
      <c r="M79" s="14"/>
      <c r="N79" s="80"/>
      <c r="O79" s="80"/>
      <c r="P79" s="80"/>
      <c r="Q79" s="12"/>
      <c r="S79" s="94" t="s">
        <v>88</v>
      </c>
      <c r="T79" s="63" t="n">
        <f aca="false">B52</f>
        <v>951.531975672137</v>
      </c>
      <c r="U79" s="14"/>
      <c r="V79" s="14"/>
      <c r="W79" s="80"/>
      <c r="X79" s="80"/>
      <c r="Y79" s="80"/>
      <c r="Z79" s="12"/>
      <c r="AB79" s="94" t="s">
        <v>88</v>
      </c>
      <c r="AC79" s="63" t="n">
        <f aca="false">B52</f>
        <v>951.531975672137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89</v>
      </c>
      <c r="B81" s="36" t="n">
        <f aca="false">G158</f>
        <v>57225</v>
      </c>
      <c r="C81" s="14"/>
      <c r="D81" s="14"/>
      <c r="E81" s="80"/>
      <c r="F81" s="80"/>
      <c r="G81" s="80"/>
      <c r="H81" s="12"/>
      <c r="J81" s="34" t="s">
        <v>89</v>
      </c>
      <c r="K81" s="36" t="n">
        <f aca="false">P158</f>
        <v>37655</v>
      </c>
      <c r="L81" s="14"/>
      <c r="M81" s="14"/>
      <c r="N81" s="80"/>
      <c r="O81" s="80"/>
      <c r="P81" s="80"/>
      <c r="Q81" s="12"/>
      <c r="S81" s="34" t="s">
        <v>89</v>
      </c>
      <c r="T81" s="36" t="n">
        <f aca="false">Y158</f>
        <v>45468.749</v>
      </c>
      <c r="U81" s="14"/>
      <c r="V81" s="14"/>
      <c r="W81" s="80"/>
      <c r="X81" s="80"/>
      <c r="Y81" s="80"/>
      <c r="Z81" s="12"/>
      <c r="AB81" s="34" t="s">
        <v>89</v>
      </c>
      <c r="AC81" s="36" t="n">
        <f aca="false">AH158</f>
        <v>45468.749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55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55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55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55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90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90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90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90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91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91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91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91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92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92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92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92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93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93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93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93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94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94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94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94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95</v>
      </c>
      <c r="B88" s="12" t="n">
        <f aca="false">B81-B86</f>
        <v>57225</v>
      </c>
      <c r="C88" s="14"/>
      <c r="D88" s="14"/>
      <c r="E88" s="80"/>
      <c r="F88" s="80"/>
      <c r="G88" s="80"/>
      <c r="H88" s="12"/>
      <c r="J88" s="7" t="s">
        <v>95</v>
      </c>
      <c r="K88" s="12" t="n">
        <f aca="false">K81-K86</f>
        <v>37655</v>
      </c>
      <c r="L88" s="14"/>
      <c r="M88" s="14"/>
      <c r="N88" s="80"/>
      <c r="O88" s="80"/>
      <c r="P88" s="80"/>
      <c r="Q88" s="12"/>
      <c r="S88" s="7" t="s">
        <v>95</v>
      </c>
      <c r="T88" s="12" t="n">
        <f aca="false">T81-T86</f>
        <v>26865.8831902377</v>
      </c>
      <c r="U88" s="14"/>
      <c r="V88" s="14"/>
      <c r="W88" s="80"/>
      <c r="X88" s="80"/>
      <c r="Y88" s="80"/>
      <c r="Z88" s="12"/>
      <c r="AB88" s="7" t="s">
        <v>95</v>
      </c>
      <c r="AC88" s="12" t="n">
        <f aca="false">AC81-AC86</f>
        <v>26865.8831902377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96</v>
      </c>
      <c r="B89" s="12" t="n">
        <f aca="false">(B88/B87)</f>
        <v>1817.07754632746</v>
      </c>
      <c r="C89" s="14"/>
      <c r="D89" s="14"/>
      <c r="E89" s="80"/>
      <c r="F89" s="80"/>
      <c r="G89" s="80"/>
      <c r="H89" s="12"/>
      <c r="J89" s="7" t="s">
        <v>96</v>
      </c>
      <c r="K89" s="12" t="n">
        <f aca="false">(K88/K87)</f>
        <v>1477.31306457009</v>
      </c>
      <c r="L89" s="14"/>
      <c r="M89" s="14"/>
      <c r="N89" s="80"/>
      <c r="O89" s="80"/>
      <c r="P89" s="80"/>
      <c r="Q89" s="12"/>
      <c r="S89" s="7" t="s">
        <v>96</v>
      </c>
      <c r="T89" s="12" t="n">
        <f aca="false">(T88/T87)</f>
        <v>927.687248290581</v>
      </c>
      <c r="U89" s="14"/>
      <c r="V89" s="14"/>
      <c r="W89" s="80"/>
      <c r="X89" s="80"/>
      <c r="Y89" s="80"/>
      <c r="Z89" s="12"/>
      <c r="AB89" s="7" t="s">
        <v>96</v>
      </c>
      <c r="AC89" s="12" t="n">
        <f aca="false">(AC88/AC87)</f>
        <v>927.687248290581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97</v>
      </c>
      <c r="B90" s="12" t="n">
        <f aca="false">((B89*(B85))+B77)</f>
        <v>65414.7916677886</v>
      </c>
      <c r="C90" s="14"/>
      <c r="D90" s="14"/>
      <c r="E90" s="80"/>
      <c r="F90" s="80"/>
      <c r="G90" s="80"/>
      <c r="H90" s="12"/>
      <c r="J90" s="7" t="s">
        <v>97</v>
      </c>
      <c r="K90" s="12" t="n">
        <f aca="false">((K89*(K85))+K77)</f>
        <v>53183.2703245232</v>
      </c>
      <c r="L90" s="14"/>
      <c r="M90" s="14"/>
      <c r="N90" s="80"/>
      <c r="O90" s="80"/>
      <c r="P90" s="80"/>
      <c r="Q90" s="12"/>
      <c r="S90" s="7" t="s">
        <v>97</v>
      </c>
      <c r="T90" s="12" t="n">
        <f aca="false">(T89*(T85))+T77</f>
        <v>32469.0536901703</v>
      </c>
      <c r="U90" s="14"/>
      <c r="V90" s="14"/>
      <c r="W90" s="80"/>
      <c r="X90" s="80"/>
      <c r="Y90" s="80"/>
      <c r="Z90" s="12"/>
      <c r="AB90" s="7" t="s">
        <v>97</v>
      </c>
      <c r="AC90" s="12" t="n">
        <f aca="false">(AC89*(AC59))+AC77</f>
        <v>32469.0536901703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98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98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98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98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99</v>
      </c>
      <c r="B92" s="68" t="n">
        <f aca="false">(B90+B91)</f>
        <v>65414.7916677886</v>
      </c>
      <c r="C92" s="14"/>
      <c r="D92" s="14"/>
      <c r="E92" s="80"/>
      <c r="F92" s="80"/>
      <c r="G92" s="80"/>
      <c r="H92" s="12"/>
      <c r="J92" s="60" t="s">
        <v>99</v>
      </c>
      <c r="K92" s="68" t="n">
        <f aca="false">(K90+K91)</f>
        <v>53183.2703245232</v>
      </c>
      <c r="L92" s="14"/>
      <c r="M92" s="14"/>
      <c r="N92" s="80"/>
      <c r="O92" s="80"/>
      <c r="P92" s="80"/>
      <c r="Q92" s="12"/>
      <c r="S92" s="60" t="s">
        <v>99</v>
      </c>
      <c r="T92" s="68" t="n">
        <f aca="false">(T90+T91)</f>
        <v>32469.0536901703</v>
      </c>
      <c r="U92" s="14"/>
      <c r="V92" s="14"/>
      <c r="W92" s="80"/>
      <c r="X92" s="80"/>
      <c r="Y92" s="80"/>
      <c r="Z92" s="12"/>
      <c r="AB92" s="60" t="s">
        <v>99</v>
      </c>
      <c r="AC92" s="68" t="n">
        <f aca="false">(AC90+AC91)</f>
        <v>32469.0536901703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100</v>
      </c>
      <c r="B94" s="303" t="n">
        <f aca="false">IF(B26="YES",((E40/B85)*(1+A108)),"0")</f>
        <v>34.3333333333333</v>
      </c>
      <c r="C94" s="14"/>
      <c r="D94" s="14"/>
      <c r="E94" s="80"/>
      <c r="F94" s="80"/>
      <c r="G94" s="80"/>
      <c r="H94" s="12"/>
      <c r="J94" s="92" t="s">
        <v>100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100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100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101</v>
      </c>
      <c r="B95" s="96" t="n">
        <f aca="false">B92/(B85)</f>
        <v>1817.07754632746</v>
      </c>
      <c r="C95" s="14"/>
      <c r="D95" s="14"/>
      <c r="E95" s="80"/>
      <c r="F95" s="80"/>
      <c r="G95" s="80"/>
      <c r="H95" s="12"/>
      <c r="J95" s="95" t="s">
        <v>101</v>
      </c>
      <c r="K95" s="96" t="n">
        <f aca="false">K92/(K85)</f>
        <v>1477.31306457009</v>
      </c>
      <c r="L95" s="14"/>
      <c r="M95" s="14"/>
      <c r="N95" s="80"/>
      <c r="O95" s="80"/>
      <c r="P95" s="80"/>
      <c r="Q95" s="12"/>
      <c r="S95" s="95" t="s">
        <v>101</v>
      </c>
      <c r="T95" s="96" t="n">
        <f aca="false">T92/(T85)</f>
        <v>927.687248290581</v>
      </c>
      <c r="U95" s="14"/>
      <c r="V95" s="14"/>
      <c r="W95" s="80"/>
      <c r="X95" s="80"/>
      <c r="Y95" s="80"/>
      <c r="Z95" s="12"/>
      <c r="AB95" s="95" t="s">
        <v>101</v>
      </c>
      <c r="AC95" s="96" t="n">
        <f aca="false">AC92/(AC59)</f>
        <v>927.687248290581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102</v>
      </c>
      <c r="B96" s="98" t="n">
        <f aca="false">B94+B95</f>
        <v>1851.4108796608</v>
      </c>
      <c r="C96" s="14"/>
      <c r="D96" s="14"/>
      <c r="E96" s="80"/>
      <c r="F96" s="80"/>
      <c r="G96" s="80"/>
      <c r="H96" s="12"/>
      <c r="J96" s="97" t="s">
        <v>102</v>
      </c>
      <c r="K96" s="98" t="n">
        <f aca="false">(K94+K95)</f>
        <v>1521.94639790342</v>
      </c>
      <c r="L96" s="14"/>
      <c r="M96" s="14"/>
      <c r="N96" s="80"/>
      <c r="O96" s="80"/>
      <c r="P96" s="80"/>
      <c r="Q96" s="12"/>
      <c r="S96" s="97" t="s">
        <v>102</v>
      </c>
      <c r="T96" s="98" t="n">
        <f aca="false">T94+T95</f>
        <v>963.001534004866</v>
      </c>
      <c r="U96" s="14"/>
      <c r="V96" s="14"/>
      <c r="W96" s="80"/>
      <c r="X96" s="80"/>
      <c r="Y96" s="80"/>
      <c r="Z96" s="12"/>
      <c r="AB96" s="97" t="s">
        <v>102</v>
      </c>
      <c r="AC96" s="98" t="n">
        <f aca="false">AC94+AC95</f>
        <v>970.064391147723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104</v>
      </c>
      <c r="K100" s="3"/>
      <c r="L100" s="3"/>
      <c r="M100" s="3"/>
      <c r="N100" s="3"/>
      <c r="O100" s="3"/>
      <c r="P100" s="3"/>
      <c r="Q100" s="3"/>
      <c r="S100" s="3" t="s">
        <v>105</v>
      </c>
      <c r="T100" s="3"/>
      <c r="U100" s="3"/>
      <c r="V100" s="3"/>
      <c r="W100" s="3"/>
      <c r="X100" s="3"/>
      <c r="Y100" s="3"/>
      <c r="Z100" s="3"/>
      <c r="AB100" s="3" t="s">
        <v>103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106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106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106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106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107</v>
      </c>
      <c r="B105" s="23" t="s">
        <v>108</v>
      </c>
      <c r="C105" s="23"/>
      <c r="D105" s="23"/>
      <c r="E105" s="45" t="s">
        <v>275</v>
      </c>
      <c r="F105" s="45"/>
      <c r="G105" s="45"/>
      <c r="H105" s="101"/>
      <c r="J105" s="37" t="s">
        <v>107</v>
      </c>
      <c r="K105" s="23" t="s">
        <v>108</v>
      </c>
      <c r="L105" s="23"/>
      <c r="M105" s="23"/>
      <c r="N105" s="45" t="s">
        <v>25</v>
      </c>
      <c r="O105" s="45"/>
      <c r="P105" s="45"/>
      <c r="Q105" s="101"/>
      <c r="S105" s="37" t="s">
        <v>107</v>
      </c>
      <c r="T105" s="23" t="s">
        <v>108</v>
      </c>
      <c r="U105" s="23"/>
      <c r="V105" s="23"/>
      <c r="W105" s="45" t="s">
        <v>25</v>
      </c>
      <c r="X105" s="45"/>
      <c r="Y105" s="45"/>
      <c r="Z105" s="101"/>
      <c r="AB105" s="37" t="s">
        <v>107</v>
      </c>
      <c r="AC105" s="23" t="s">
        <v>108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109</v>
      </c>
      <c r="B107" s="14" t="s">
        <v>110</v>
      </c>
      <c r="C107" s="14"/>
      <c r="D107" s="80"/>
      <c r="E107" s="14" t="s">
        <v>111</v>
      </c>
      <c r="F107" s="14"/>
      <c r="G107" s="80"/>
      <c r="H107" s="101"/>
      <c r="J107" s="7" t="s">
        <v>109</v>
      </c>
      <c r="K107" s="14" t="s">
        <v>110</v>
      </c>
      <c r="L107" s="14"/>
      <c r="M107" s="80"/>
      <c r="N107" s="14" t="s">
        <v>111</v>
      </c>
      <c r="O107" s="14"/>
      <c r="P107" s="80"/>
      <c r="Q107" s="101"/>
      <c r="S107" s="7" t="s">
        <v>109</v>
      </c>
      <c r="T107" s="14" t="s">
        <v>110</v>
      </c>
      <c r="U107" s="14"/>
      <c r="V107" s="80"/>
      <c r="W107" s="14" t="s">
        <v>111</v>
      </c>
      <c r="X107" s="14"/>
      <c r="Y107" s="80"/>
      <c r="Z107" s="101"/>
      <c r="AB107" s="7" t="s">
        <v>109</v>
      </c>
      <c r="AC107" s="14" t="s">
        <v>110</v>
      </c>
      <c r="AD107" s="14"/>
      <c r="AE107" s="80"/>
      <c r="AF107" s="14" t="s">
        <v>111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278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113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114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114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113</v>
      </c>
    </row>
    <row r="110" customFormat="false" ht="17.35" hidden="false" customHeight="false" outlineLevel="0" collapsed="false">
      <c r="A110" s="7" t="s">
        <v>116</v>
      </c>
      <c r="B110" s="14" t="s">
        <v>117</v>
      </c>
      <c r="C110" s="14"/>
      <c r="D110" s="14"/>
      <c r="E110" s="14" t="s">
        <v>118</v>
      </c>
      <c r="F110" s="14"/>
      <c r="G110" s="14"/>
      <c r="H110" s="12"/>
      <c r="J110" s="7" t="s">
        <v>116</v>
      </c>
      <c r="K110" s="14" t="s">
        <v>117</v>
      </c>
      <c r="L110" s="14"/>
      <c r="M110" s="14"/>
      <c r="N110" s="14" t="s">
        <v>118</v>
      </c>
      <c r="O110" s="14"/>
      <c r="P110" s="14"/>
      <c r="Q110" s="12"/>
      <c r="S110" s="7" t="s">
        <v>116</v>
      </c>
      <c r="T110" s="14" t="s">
        <v>117</v>
      </c>
      <c r="U110" s="14"/>
      <c r="V110" s="14"/>
      <c r="W110" s="14" t="s">
        <v>118</v>
      </c>
      <c r="X110" s="14"/>
      <c r="Y110" s="14"/>
      <c r="Z110" s="12"/>
      <c r="AB110" s="7" t="s">
        <v>116</v>
      </c>
      <c r="AC110" s="14" t="s">
        <v>117</v>
      </c>
      <c r="AD110" s="14"/>
      <c r="AE110" s="14"/>
      <c r="AF110" s="14" t="s">
        <v>118</v>
      </c>
      <c r="AG110" s="14"/>
      <c r="AH110" s="14"/>
      <c r="AI110" s="12"/>
    </row>
    <row r="111" customFormat="false" ht="17.35" hidden="false" customHeight="false" outlineLevel="0" collapsed="false">
      <c r="A111" s="38" t="s">
        <v>275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119</v>
      </c>
      <c r="B113" s="14" t="s">
        <v>120</v>
      </c>
      <c r="C113" s="14"/>
      <c r="D113" s="14"/>
      <c r="E113" s="14" t="s">
        <v>121</v>
      </c>
      <c r="F113" s="14"/>
      <c r="G113" s="80"/>
      <c r="H113" s="101"/>
      <c r="J113" s="105" t="s">
        <v>119</v>
      </c>
      <c r="K113" s="14" t="s">
        <v>120</v>
      </c>
      <c r="L113" s="14"/>
      <c r="M113" s="14"/>
      <c r="N113" s="14" t="s">
        <v>121</v>
      </c>
      <c r="O113" s="14"/>
      <c r="P113" s="80"/>
      <c r="Q113" s="101"/>
      <c r="S113" s="105" t="s">
        <v>119</v>
      </c>
      <c r="T113" s="14" t="s">
        <v>120</v>
      </c>
      <c r="U113" s="14"/>
      <c r="V113" s="14"/>
      <c r="W113" s="14" t="s">
        <v>121</v>
      </c>
      <c r="X113" s="14"/>
      <c r="Y113" s="80"/>
      <c r="Z113" s="101"/>
      <c r="AB113" s="105" t="s">
        <v>119</v>
      </c>
      <c r="AC113" s="14" t="s">
        <v>120</v>
      </c>
      <c r="AD113" s="14"/>
      <c r="AE113" s="14"/>
      <c r="AF113" s="14" t="s">
        <v>121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257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123</v>
      </c>
      <c r="B117" s="43"/>
      <c r="C117" s="43"/>
      <c r="D117" s="43"/>
      <c r="E117" s="43"/>
      <c r="F117" s="43"/>
      <c r="G117" s="43"/>
      <c r="H117" s="43"/>
      <c r="J117" s="43" t="s">
        <v>123</v>
      </c>
      <c r="K117" s="43"/>
      <c r="L117" s="43"/>
      <c r="M117" s="43"/>
      <c r="N117" s="43"/>
      <c r="O117" s="43"/>
      <c r="P117" s="43"/>
      <c r="Q117" s="43"/>
      <c r="S117" s="43" t="s">
        <v>123</v>
      </c>
      <c r="T117" s="43"/>
      <c r="U117" s="43"/>
      <c r="V117" s="43"/>
      <c r="W117" s="43"/>
      <c r="X117" s="43"/>
      <c r="Y117" s="43"/>
      <c r="Z117" s="43"/>
      <c r="AB117" s="43" t="s">
        <v>123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124</v>
      </c>
      <c r="C120" s="110" t="s">
        <v>125</v>
      </c>
      <c r="D120" s="109" t="s">
        <v>124</v>
      </c>
      <c r="E120" s="111" t="s">
        <v>125</v>
      </c>
      <c r="F120" s="109" t="s">
        <v>124</v>
      </c>
      <c r="G120" s="111" t="s">
        <v>125</v>
      </c>
      <c r="H120" s="112"/>
      <c r="J120" s="4"/>
      <c r="K120" s="109" t="s">
        <v>124</v>
      </c>
      <c r="L120" s="110" t="s">
        <v>125</v>
      </c>
      <c r="M120" s="109" t="s">
        <v>124</v>
      </c>
      <c r="N120" s="111" t="s">
        <v>125</v>
      </c>
      <c r="O120" s="109" t="s">
        <v>124</v>
      </c>
      <c r="P120" s="111" t="s">
        <v>125</v>
      </c>
      <c r="Q120" s="112"/>
      <c r="S120" s="4"/>
      <c r="T120" s="109" t="s">
        <v>124</v>
      </c>
      <c r="U120" s="110" t="s">
        <v>125</v>
      </c>
      <c r="V120" s="109" t="s">
        <v>124</v>
      </c>
      <c r="W120" s="111" t="s">
        <v>125</v>
      </c>
      <c r="X120" s="109" t="s">
        <v>124</v>
      </c>
      <c r="Y120" s="111" t="s">
        <v>125</v>
      </c>
      <c r="Z120" s="112"/>
      <c r="AB120" s="4"/>
      <c r="AC120" s="109" t="s">
        <v>124</v>
      </c>
      <c r="AD120" s="110" t="s">
        <v>125</v>
      </c>
      <c r="AE120" s="109" t="s">
        <v>124</v>
      </c>
      <c r="AF120" s="111" t="s">
        <v>125</v>
      </c>
      <c r="AG120" s="109" t="s">
        <v>124</v>
      </c>
      <c r="AH120" s="111" t="s">
        <v>125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0</v>
      </c>
      <c r="C122" s="10" t="n">
        <v>0.0</v>
      </c>
      <c r="D122" s="116" t="n">
        <f aca="false">D4</f>
        <v>0</v>
      </c>
      <c r="E122" s="10" t="n">
        <v>0.0</v>
      </c>
      <c r="F122" s="116" t="n">
        <f aca="false">F4</f>
        <v>0</v>
      </c>
      <c r="G122" s="117" t="n">
        <v>0.0</v>
      </c>
      <c r="H122" s="11"/>
      <c r="J122" s="7" t="s">
        <v>6</v>
      </c>
      <c r="K122" s="116" t="n">
        <f aca="false">B4</f>
        <v>0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0</v>
      </c>
      <c r="P122" s="117" t="n">
        <f aca="false">O122</f>
        <v>0</v>
      </c>
      <c r="Q122" s="11"/>
      <c r="S122" s="7" t="s">
        <v>6</v>
      </c>
      <c r="T122" s="116" t="n">
        <f aca="false">B4</f>
        <v>0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0</v>
      </c>
      <c r="Y122" s="117" t="n">
        <f aca="false">X122</f>
        <v>0</v>
      </c>
      <c r="Z122" s="11"/>
      <c r="AB122" s="7" t="s">
        <v>6</v>
      </c>
      <c r="AC122" s="116" t="n">
        <f aca="false">B4</f>
        <v>0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0</v>
      </c>
      <c r="AH122" s="117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0</v>
      </c>
      <c r="C123" s="114" t="n">
        <v>0.0</v>
      </c>
      <c r="D123" s="118" t="n">
        <f aca="false">D5</f>
        <v>0</v>
      </c>
      <c r="E123" s="114" t="n">
        <v>0.0</v>
      </c>
      <c r="F123" s="118" t="n">
        <f aca="false">F5</f>
        <v>0</v>
      </c>
      <c r="G123" s="114" t="n">
        <v>0.0</v>
      </c>
      <c r="H123" s="12"/>
      <c r="J123" s="7" t="s">
        <v>7</v>
      </c>
      <c r="K123" s="118" t="n">
        <f aca="false">B5</f>
        <v>0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0</v>
      </c>
      <c r="P123" s="114" t="n">
        <f aca="false">O123</f>
        <v>0</v>
      </c>
      <c r="Q123" s="12"/>
      <c r="S123" s="7" t="s">
        <v>7</v>
      </c>
      <c r="T123" s="118" t="n">
        <f aca="false">B5</f>
        <v>0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0</v>
      </c>
      <c r="Y123" s="114" t="n">
        <f aca="false">X123</f>
        <v>0</v>
      </c>
      <c r="Z123" s="12"/>
      <c r="AB123" s="7" t="s">
        <v>7</v>
      </c>
      <c r="AC123" s="118" t="n">
        <f aca="false">B5</f>
        <v>0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0</v>
      </c>
      <c r="AH123" s="114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0</v>
      </c>
      <c r="C124" s="119" t="n">
        <f aca="false">(C121*C122/100)+C123</f>
        <v>-1000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0</v>
      </c>
      <c r="G124" s="119" t="n">
        <f aca="false">(G121*G122/100)+G123</f>
        <v>0</v>
      </c>
      <c r="H124" s="12"/>
      <c r="J124" s="7" t="s">
        <v>8</v>
      </c>
      <c r="K124" s="118" t="n">
        <f aca="false">(K121*K122)+K123</f>
        <v>0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0</v>
      </c>
      <c r="P124" s="119" t="n">
        <f aca="false">(P121*P122)+P123</f>
        <v>0</v>
      </c>
      <c r="Q124" s="12"/>
      <c r="S124" s="7" t="s">
        <v>8</v>
      </c>
      <c r="T124" s="118" t="n">
        <f aca="false">(T121*T122)+T123</f>
        <v>0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0</v>
      </c>
      <c r="Y124" s="119" t="n">
        <f aca="false">(Y121*Y122)+Y123</f>
        <v>0</v>
      </c>
      <c r="Z124" s="12"/>
      <c r="AB124" s="7" t="s">
        <v>8</v>
      </c>
      <c r="AC124" s="118" t="n">
        <f aca="false">(AC121*AC122)+AC123</f>
        <v>0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0</v>
      </c>
      <c r="AH124" s="119" t="n">
        <f aca="false">(AH121*AH122)+AH123</f>
        <v>0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46854.17</v>
      </c>
      <c r="C125" s="121" t="n">
        <f aca="false">C121-C124</f>
        <v>47854.17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833.33</v>
      </c>
      <c r="G125" s="121" t="n">
        <f aca="false">G121-G124</f>
        <v>833.33</v>
      </c>
      <c r="H125" s="68"/>
      <c r="J125" s="60" t="s">
        <v>9</v>
      </c>
      <c r="K125" s="120" t="n">
        <f aca="false">K121-K124</f>
        <v>46854.17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833.33</v>
      </c>
      <c r="P125" s="121" t="n">
        <f aca="false">P121-P124</f>
        <v>833.33</v>
      </c>
      <c r="Q125" s="68"/>
      <c r="S125" s="60" t="s">
        <v>9</v>
      </c>
      <c r="T125" s="120" t="n">
        <f aca="false">T121-T124</f>
        <v>46854.17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833.33</v>
      </c>
      <c r="Y125" s="121" t="n">
        <f aca="false">Y121-Y124</f>
        <v>833.33</v>
      </c>
      <c r="Z125" s="68"/>
      <c r="AB125" s="60" t="s">
        <v>9</v>
      </c>
      <c r="AC125" s="120" t="n">
        <f aca="false">AC121-AC124</f>
        <v>46854.17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833.33</v>
      </c>
      <c r="AH125" s="121" t="n">
        <f aca="false">AH121-AH124</f>
        <v>833.33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124</v>
      </c>
      <c r="H127" s="124" t="s">
        <v>125</v>
      </c>
      <c r="J127" s="122"/>
      <c r="K127" s="123"/>
      <c r="L127" s="123"/>
      <c r="M127" s="123"/>
      <c r="N127" s="123"/>
      <c r="O127" s="123"/>
      <c r="P127" s="16" t="s">
        <v>124</v>
      </c>
      <c r="Q127" s="124" t="s">
        <v>125</v>
      </c>
      <c r="S127" s="122"/>
      <c r="T127" s="123"/>
      <c r="U127" s="123"/>
      <c r="V127" s="123"/>
      <c r="W127" s="123"/>
      <c r="X127" s="123"/>
      <c r="Y127" s="16" t="s">
        <v>124</v>
      </c>
      <c r="Z127" s="124" t="s">
        <v>125</v>
      </c>
      <c r="AB127" s="122"/>
      <c r="AC127" s="123"/>
      <c r="AD127" s="123"/>
      <c r="AE127" s="123"/>
      <c r="AF127" s="123"/>
      <c r="AG127" s="123"/>
      <c r="AH127" s="16" t="s">
        <v>124</v>
      </c>
      <c r="AI127" s="124" t="s">
        <v>125</v>
      </c>
    </row>
    <row r="128" customFormat="false" ht="17.35" hidden="false" customHeight="false" outlineLevel="0" collapsed="false">
      <c r="A128" s="125" t="s">
        <v>126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126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126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126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127</v>
      </c>
      <c r="B130" s="129" t="s">
        <v>128</v>
      </c>
      <c r="C130" s="129"/>
      <c r="D130" s="129" t="s">
        <v>129</v>
      </c>
      <c r="E130" s="129"/>
      <c r="F130" s="129" t="s">
        <v>7</v>
      </c>
      <c r="G130" s="129"/>
      <c r="H130" s="130" t="s">
        <v>125</v>
      </c>
      <c r="J130" s="131" t="s">
        <v>127</v>
      </c>
      <c r="K130" s="129" t="s">
        <v>128</v>
      </c>
      <c r="L130" s="129"/>
      <c r="M130" s="129" t="s">
        <v>129</v>
      </c>
      <c r="N130" s="129"/>
      <c r="O130" s="129" t="s">
        <v>7</v>
      </c>
      <c r="P130" s="129"/>
      <c r="Q130" s="130" t="s">
        <v>125</v>
      </c>
      <c r="S130" s="131" t="s">
        <v>127</v>
      </c>
      <c r="T130" s="129" t="s">
        <v>128</v>
      </c>
      <c r="U130" s="129"/>
      <c r="V130" s="129" t="s">
        <v>129</v>
      </c>
      <c r="W130" s="129"/>
      <c r="X130" s="129" t="s">
        <v>7</v>
      </c>
      <c r="Y130" s="129"/>
      <c r="Z130" s="130" t="s">
        <v>125</v>
      </c>
      <c r="AB130" s="131" t="s">
        <v>127</v>
      </c>
      <c r="AC130" s="129" t="s">
        <v>128</v>
      </c>
      <c r="AD130" s="129"/>
      <c r="AE130" s="129" t="s">
        <v>129</v>
      </c>
      <c r="AF130" s="129"/>
      <c r="AG130" s="129" t="s">
        <v>7</v>
      </c>
      <c r="AH130" s="129"/>
      <c r="AI130" s="130" t="s">
        <v>125</v>
      </c>
    </row>
    <row r="131" customFormat="false" ht="17.35" hidden="false" customHeight="false" outlineLevel="0" collapsed="false">
      <c r="A131" s="7" t="s">
        <v>130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130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130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130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131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131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131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131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132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132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132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132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35" t="n">
        <f aca="false">C125+E125+G125+H128</f>
        <v>48687.5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35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35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35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9847.5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58525</v>
      </c>
      <c r="H141" s="137" t="n">
        <f aca="false">(H135+H136+H139+H140+H137)-H138</f>
        <v>59725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58525</v>
      </c>
      <c r="Q141" s="137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58525</v>
      </c>
      <c r="Z141" s="137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58525</v>
      </c>
      <c r="AI141" s="137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38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38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38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38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58525</v>
      </c>
      <c r="H147" s="140" t="n">
        <f aca="false">H141-((H144*1.2)+(H145*1.2)+(H146*1.2)+(H142*1.2))</f>
        <v>59725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58525</v>
      </c>
      <c r="Q147" s="140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58525</v>
      </c>
      <c r="Z147" s="140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58525</v>
      </c>
      <c r="AI147" s="140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133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</v>
      </c>
      <c r="I148" s="1" t="n">
        <f aca="false">(H148-G81)/1.2</f>
        <v>833.333333333333</v>
      </c>
      <c r="J148" s="18" t="s">
        <v>133</v>
      </c>
      <c r="K148" s="18"/>
      <c r="L148" s="18"/>
      <c r="M148" s="18"/>
      <c r="N148" s="18"/>
      <c r="O148" s="18"/>
      <c r="P148" s="13"/>
      <c r="Q148" s="38" t="n">
        <f aca="false">Q147-P147</f>
        <v>-21870</v>
      </c>
      <c r="S148" s="18" t="s">
        <v>133</v>
      </c>
      <c r="T148" s="18"/>
      <c r="U148" s="18"/>
      <c r="V148" s="18"/>
      <c r="W148" s="18"/>
      <c r="X148" s="18"/>
      <c r="Y148" s="13"/>
      <c r="Z148" s="38" t="n">
        <f aca="false">Z147-Y147</f>
        <v>-14056.251</v>
      </c>
      <c r="AB148" s="18" t="s">
        <v>133</v>
      </c>
      <c r="AC148" s="18"/>
      <c r="AD148" s="18"/>
      <c r="AE148" s="18"/>
      <c r="AF148" s="18"/>
      <c r="AG148" s="18"/>
      <c r="AH148" s="13"/>
      <c r="AI148" s="38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134</v>
      </c>
      <c r="B150" s="43"/>
      <c r="C150" s="43"/>
      <c r="D150" s="43"/>
      <c r="E150" s="43"/>
      <c r="F150" s="43"/>
      <c r="G150" s="43"/>
      <c r="H150" s="43"/>
      <c r="J150" s="43" t="s">
        <v>134</v>
      </c>
      <c r="K150" s="43"/>
      <c r="L150" s="43"/>
      <c r="M150" s="43"/>
      <c r="N150" s="43"/>
      <c r="O150" s="43"/>
      <c r="P150" s="43"/>
      <c r="Q150" s="43"/>
      <c r="S150" s="43" t="s">
        <v>134</v>
      </c>
      <c r="T150" s="43"/>
      <c r="U150" s="43"/>
      <c r="V150" s="43"/>
      <c r="W150" s="43"/>
      <c r="X150" s="43"/>
      <c r="Y150" s="43"/>
      <c r="Z150" s="43"/>
      <c r="AB150" s="43" t="s">
        <v>134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135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135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135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135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136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136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136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136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137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137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137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137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138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138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138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138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139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139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139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139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140</v>
      </c>
      <c r="B158" s="14"/>
      <c r="C158" s="14"/>
      <c r="D158" s="80"/>
      <c r="E158" s="14"/>
      <c r="F158" s="80"/>
      <c r="G158" s="144" t="n">
        <f aca="false">H147-G154-G157</f>
        <v>57225</v>
      </c>
      <c r="H158" s="144"/>
      <c r="J158" s="143" t="s">
        <v>140</v>
      </c>
      <c r="K158" s="14"/>
      <c r="L158" s="14"/>
      <c r="M158" s="80"/>
      <c r="N158" s="14"/>
      <c r="O158" s="80"/>
      <c r="P158" s="144" t="n">
        <f aca="false">Q147-P154-P157</f>
        <v>37655</v>
      </c>
      <c r="Q158" s="144"/>
      <c r="S158" s="143" t="s">
        <v>140</v>
      </c>
      <c r="T158" s="14"/>
      <c r="U158" s="14"/>
      <c r="V158" s="80"/>
      <c r="W158" s="14"/>
      <c r="X158" s="80"/>
      <c r="Y158" s="144" t="n">
        <f aca="false">Z147-Y154-Y157</f>
        <v>45468.749</v>
      </c>
      <c r="Z158" s="144"/>
      <c r="AB158" s="143" t="s">
        <v>140</v>
      </c>
      <c r="AC158" s="14"/>
      <c r="AD158" s="14"/>
      <c r="AE158" s="80"/>
      <c r="AF158" s="14"/>
      <c r="AG158" s="80"/>
      <c r="AH158" s="144" t="n">
        <f aca="false">AI147-AH154-AH157</f>
        <v>45468.749</v>
      </c>
      <c r="AI158" s="144"/>
    </row>
    <row r="159" customFormat="false" ht="17.35" hidden="false" customHeight="false" outlineLevel="0" collapsed="false">
      <c r="A159" s="60" t="s">
        <v>141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141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141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141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142</v>
      </c>
      <c r="B162" s="43"/>
      <c r="C162" s="43"/>
      <c r="D162" s="43"/>
      <c r="E162" s="43"/>
      <c r="F162" s="43"/>
      <c r="G162" s="43"/>
      <c r="H162" s="43"/>
      <c r="J162" s="43" t="s">
        <v>142</v>
      </c>
      <c r="K162" s="43"/>
      <c r="L162" s="43"/>
      <c r="M162" s="43"/>
      <c r="N162" s="43"/>
      <c r="O162" s="43"/>
      <c r="P162" s="43"/>
      <c r="Q162" s="43"/>
      <c r="S162" s="43" t="s">
        <v>142</v>
      </c>
      <c r="T162" s="43"/>
      <c r="U162" s="43"/>
      <c r="V162" s="43"/>
      <c r="W162" s="43"/>
      <c r="X162" s="43"/>
      <c r="Y162" s="43"/>
      <c r="Z162" s="43"/>
      <c r="AB162" s="43" t="s">
        <v>142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143</v>
      </c>
      <c r="B166" s="148" t="s">
        <v>144</v>
      </c>
      <c r="C166" s="148"/>
      <c r="D166" s="148"/>
      <c r="E166" s="148" t="s">
        <v>145</v>
      </c>
      <c r="F166" s="31"/>
      <c r="G166" s="31"/>
      <c r="H166" s="12"/>
      <c r="J166" s="147" t="s">
        <v>143</v>
      </c>
      <c r="K166" s="148" t="s">
        <v>144</v>
      </c>
      <c r="L166" s="148"/>
      <c r="M166" s="148"/>
      <c r="N166" s="148" t="s">
        <v>145</v>
      </c>
      <c r="O166" s="31"/>
      <c r="P166" s="31"/>
      <c r="Q166" s="12"/>
      <c r="S166" s="147" t="s">
        <v>143</v>
      </c>
      <c r="T166" s="148" t="s">
        <v>144</v>
      </c>
      <c r="U166" s="148"/>
      <c r="V166" s="148"/>
      <c r="W166" s="148" t="s">
        <v>145</v>
      </c>
      <c r="X166" s="31"/>
      <c r="Y166" s="31"/>
      <c r="Z166" s="12"/>
      <c r="AB166" s="147" t="s">
        <v>143</v>
      </c>
      <c r="AC166" s="148" t="s">
        <v>144</v>
      </c>
      <c r="AD166" s="148"/>
      <c r="AE166" s="148"/>
      <c r="AF166" s="148" t="s">
        <v>145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1817.07754632746</v>
      </c>
      <c r="B167" s="150" t="n">
        <f aca="false">B94</f>
        <v>34.3333333333333</v>
      </c>
      <c r="C167" s="148"/>
      <c r="D167" s="148"/>
      <c r="E167" s="150" t="n">
        <f aca="false">B96</f>
        <v>1851.4108796608</v>
      </c>
      <c r="F167" s="31"/>
      <c r="G167" s="31"/>
      <c r="H167" s="12"/>
      <c r="J167" s="149" t="n">
        <f aca="false">K95</f>
        <v>1477.31306457009</v>
      </c>
      <c r="K167" s="150" t="n">
        <f aca="false">K94</f>
        <v>44.6333333333333</v>
      </c>
      <c r="L167" s="148"/>
      <c r="M167" s="148"/>
      <c r="N167" s="150" t="n">
        <f aca="false">K96</f>
        <v>1521.94639790342</v>
      </c>
      <c r="O167" s="31"/>
      <c r="P167" s="31"/>
      <c r="Q167" s="12"/>
      <c r="S167" s="149" t="n">
        <f aca="false">T95</f>
        <v>927.687248290581</v>
      </c>
      <c r="T167" s="150" t="n">
        <f aca="false">T94</f>
        <v>35.3142857142857</v>
      </c>
      <c r="U167" s="148"/>
      <c r="V167" s="148"/>
      <c r="W167" s="150" t="n">
        <f aca="false">T96</f>
        <v>963.001534004866</v>
      </c>
      <c r="X167" s="31"/>
      <c r="Y167" s="31"/>
      <c r="Z167" s="12"/>
      <c r="AB167" s="149" t="n">
        <f aca="false">AC95</f>
        <v>927.687248290581</v>
      </c>
      <c r="AC167" s="150" t="n">
        <f aca="false">AC94</f>
        <v>42.3771428571428</v>
      </c>
      <c r="AD167" s="148"/>
      <c r="AE167" s="148"/>
      <c r="AF167" s="150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40</v>
      </c>
      <c r="B169" s="14" t="s">
        <v>41</v>
      </c>
      <c r="C169" s="14"/>
      <c r="D169" s="31"/>
      <c r="E169" s="14" t="s">
        <v>146</v>
      </c>
      <c r="F169" s="31"/>
      <c r="G169" s="31"/>
      <c r="H169" s="12"/>
      <c r="J169" s="7" t="s">
        <v>40</v>
      </c>
      <c r="K169" s="14" t="s">
        <v>41</v>
      </c>
      <c r="L169" s="14"/>
      <c r="M169" s="31"/>
      <c r="N169" s="14" t="s">
        <v>146</v>
      </c>
      <c r="O169" s="31"/>
      <c r="P169" s="31"/>
      <c r="Q169" s="12"/>
      <c r="S169" s="7" t="s">
        <v>40</v>
      </c>
      <c r="T169" s="14" t="s">
        <v>41</v>
      </c>
      <c r="U169" s="14"/>
      <c r="V169" s="31"/>
      <c r="W169" s="14" t="s">
        <v>146</v>
      </c>
      <c r="X169" s="31"/>
      <c r="Y169" s="31"/>
      <c r="Z169" s="12"/>
      <c r="AB169" s="7" t="s">
        <v>40</v>
      </c>
      <c r="AC169" s="14" t="s">
        <v>41</v>
      </c>
      <c r="AD169" s="14"/>
      <c r="AE169" s="31"/>
      <c r="AF169" s="14" t="s">
        <v>146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147</v>
      </c>
      <c r="B172" s="14" t="s">
        <v>148</v>
      </c>
      <c r="C172" s="14"/>
      <c r="D172" s="31"/>
      <c r="E172" s="14" t="s">
        <v>149</v>
      </c>
      <c r="F172" s="31"/>
      <c r="G172" s="31"/>
      <c r="H172" s="12"/>
      <c r="J172" s="7" t="s">
        <v>147</v>
      </c>
      <c r="K172" s="14" t="s">
        <v>148</v>
      </c>
      <c r="L172" s="14"/>
      <c r="M172" s="31"/>
      <c r="N172" s="14" t="s">
        <v>149</v>
      </c>
      <c r="O172" s="31"/>
      <c r="P172" s="31"/>
      <c r="Q172" s="12"/>
      <c r="S172" s="7" t="s">
        <v>147</v>
      </c>
      <c r="T172" s="14" t="s">
        <v>148</v>
      </c>
      <c r="U172" s="14"/>
      <c r="V172" s="31"/>
      <c r="W172" s="14" t="s">
        <v>149</v>
      </c>
      <c r="X172" s="31"/>
      <c r="Y172" s="31"/>
      <c r="Z172" s="12"/>
      <c r="AB172" s="7" t="s">
        <v>147</v>
      </c>
      <c r="AC172" s="14" t="s">
        <v>148</v>
      </c>
      <c r="AD172" s="14"/>
      <c r="AE172" s="31"/>
      <c r="AF172" s="14" t="s">
        <v>149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49237.5</v>
      </c>
      <c r="B173" s="23" t="n">
        <f aca="false">H137</f>
        <v>9847.5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30012.5</v>
      </c>
      <c r="K173" s="23" t="n">
        <f aca="false">Q137</f>
        <v>6002.5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36523.9575</v>
      </c>
      <c r="T173" s="23" t="n">
        <f aca="false">Z137</f>
        <v>7304.7915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36523.9575</v>
      </c>
      <c r="AC173" s="23" t="n">
        <f aca="false">AI137</f>
        <v>7304.7915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150</v>
      </c>
      <c r="B175" s="14" t="s">
        <v>117</v>
      </c>
      <c r="C175" s="14"/>
      <c r="D175" s="31"/>
      <c r="E175" s="14" t="s">
        <v>118</v>
      </c>
      <c r="F175" s="31"/>
      <c r="G175" s="31"/>
      <c r="H175" s="12"/>
      <c r="J175" s="7" t="s">
        <v>150</v>
      </c>
      <c r="K175" s="14" t="s">
        <v>117</v>
      </c>
      <c r="L175" s="14"/>
      <c r="M175" s="31"/>
      <c r="N175" s="14" t="s">
        <v>118</v>
      </c>
      <c r="O175" s="31"/>
      <c r="P175" s="31"/>
      <c r="Q175" s="12"/>
      <c r="S175" s="7" t="s">
        <v>150</v>
      </c>
      <c r="T175" s="14" t="s">
        <v>117</v>
      </c>
      <c r="U175" s="14"/>
      <c r="V175" s="31"/>
      <c r="W175" s="14" t="s">
        <v>118</v>
      </c>
      <c r="X175" s="31"/>
      <c r="Y175" s="31"/>
      <c r="Z175" s="12"/>
      <c r="AB175" s="7" t="s">
        <v>150</v>
      </c>
      <c r="AC175" s="14" t="s">
        <v>117</v>
      </c>
      <c r="AD175" s="14"/>
      <c r="AE175" s="31"/>
      <c r="AF175" s="14" t="s">
        <v>118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59725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119</v>
      </c>
      <c r="B178" s="14" t="s">
        <v>135</v>
      </c>
      <c r="C178" s="14"/>
      <c r="D178" s="31"/>
      <c r="E178" s="14" t="s">
        <v>140</v>
      </c>
      <c r="F178" s="31"/>
      <c r="G178" s="31"/>
      <c r="H178" s="12"/>
      <c r="J178" s="7" t="s">
        <v>119</v>
      </c>
      <c r="K178" s="14" t="s">
        <v>135</v>
      </c>
      <c r="L178" s="14"/>
      <c r="M178" s="31"/>
      <c r="N178" s="14" t="s">
        <v>140</v>
      </c>
      <c r="O178" s="31"/>
      <c r="P178" s="31"/>
      <c r="Q178" s="12"/>
      <c r="S178" s="7" t="s">
        <v>119</v>
      </c>
      <c r="T178" s="14" t="s">
        <v>135</v>
      </c>
      <c r="U178" s="14"/>
      <c r="V178" s="31"/>
      <c r="W178" s="14" t="s">
        <v>140</v>
      </c>
      <c r="X178" s="31"/>
      <c r="Y178" s="31"/>
      <c r="Z178" s="12"/>
      <c r="AB178" s="7" t="s">
        <v>119</v>
      </c>
      <c r="AC178" s="14" t="s">
        <v>135</v>
      </c>
      <c r="AD178" s="14"/>
      <c r="AE178" s="31"/>
      <c r="AF178" s="14" t="s">
        <v>140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57225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151</v>
      </c>
      <c r="B181" s="14" t="s">
        <v>141</v>
      </c>
      <c r="C181" s="14"/>
      <c r="D181" s="31"/>
      <c r="E181" s="14" t="s">
        <v>152</v>
      </c>
      <c r="F181" s="31"/>
      <c r="G181" s="31"/>
      <c r="H181" s="12"/>
      <c r="J181" s="7" t="s">
        <v>151</v>
      </c>
      <c r="K181" s="14" t="s">
        <v>141</v>
      </c>
      <c r="L181" s="14"/>
      <c r="M181" s="31"/>
      <c r="N181" s="14" t="s">
        <v>152</v>
      </c>
      <c r="O181" s="31"/>
      <c r="P181" s="31"/>
      <c r="Q181" s="12"/>
      <c r="S181" s="7" t="s">
        <v>151</v>
      </c>
      <c r="T181" s="14" t="s">
        <v>141</v>
      </c>
      <c r="U181" s="14"/>
      <c r="V181" s="31"/>
      <c r="W181" s="14" t="s">
        <v>152</v>
      </c>
      <c r="X181" s="31"/>
      <c r="Y181" s="31"/>
      <c r="Z181" s="12"/>
      <c r="AB181" s="7" t="s">
        <v>151</v>
      </c>
      <c r="AC181" s="14" t="s">
        <v>141</v>
      </c>
      <c r="AD181" s="14"/>
      <c r="AE181" s="31"/>
      <c r="AF181" s="14" t="s">
        <v>152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6372.71412146116</v>
      </c>
      <c r="B182" s="23" t="str">
        <f aca="false">B114</f>
        <v>199.99</v>
      </c>
      <c r="C182" s="23"/>
      <c r="D182" s="31"/>
      <c r="E182" s="23" t="n">
        <f aca="false">E179+A182+B182+A185</f>
        <v>63807.7041214612</v>
      </c>
      <c r="F182" s="31"/>
      <c r="G182" s="31"/>
      <c r="H182" s="153"/>
      <c r="J182" s="22" t="n">
        <f aca="false">(J167*K59)+N185-N179-J185</f>
        <v>14050.9572599531</v>
      </c>
      <c r="K182" s="23" t="n">
        <f aca="false">K114</f>
        <v>239.99</v>
      </c>
      <c r="L182" s="23"/>
      <c r="M182" s="31"/>
      <c r="N182" s="23" t="n">
        <f aca="false">N179+J182+K182+J185</f>
        <v>51965.9472599531</v>
      </c>
      <c r="O182" s="31"/>
      <c r="P182" s="31"/>
      <c r="Q182" s="153"/>
      <c r="S182" s="22" t="n">
        <f aca="false">(S167*T59)+W185-W179-S185</f>
        <v>-12999.6953098297</v>
      </c>
      <c r="T182" s="23" t="n">
        <f aca="false">T114</f>
        <v>199.99</v>
      </c>
      <c r="U182" s="23"/>
      <c r="V182" s="31"/>
      <c r="W182" s="23" t="n">
        <f aca="false">W179+S182+T182+S185</f>
        <v>32679.0436901703</v>
      </c>
      <c r="X182" s="31"/>
      <c r="Y182" s="31"/>
      <c r="Z182" s="153"/>
      <c r="AB182" s="22" t="n">
        <f aca="false">(AB167*AC59)+AF185-AF179-AB185</f>
        <v>-12999.6953098297</v>
      </c>
      <c r="AC182" s="23" t="n">
        <f aca="false">AC114</f>
        <v>239.99</v>
      </c>
      <c r="AD182" s="23"/>
      <c r="AE182" s="31"/>
      <c r="AF182" s="23" t="n">
        <f aca="false">AF179+AB182+AC182+AB185</f>
        <v>32719.0436901703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153</v>
      </c>
      <c r="B184" s="14" t="s">
        <v>154</v>
      </c>
      <c r="C184" s="14"/>
      <c r="D184" s="31"/>
      <c r="E184" s="14" t="s">
        <v>155</v>
      </c>
      <c r="F184" s="31"/>
      <c r="G184" s="31"/>
      <c r="H184" s="12"/>
      <c r="J184" s="7" t="s">
        <v>153</v>
      </c>
      <c r="K184" s="14" t="s">
        <v>154</v>
      </c>
      <c r="L184" s="14"/>
      <c r="M184" s="31"/>
      <c r="N184" s="14" t="s">
        <v>155</v>
      </c>
      <c r="O184" s="31"/>
      <c r="P184" s="31"/>
      <c r="Q184" s="12"/>
      <c r="S184" s="7" t="s">
        <v>153</v>
      </c>
      <c r="T184" s="14" t="s">
        <v>154</v>
      </c>
      <c r="U184" s="14"/>
      <c r="V184" s="31"/>
      <c r="W184" s="14" t="s">
        <v>155</v>
      </c>
      <c r="X184" s="31"/>
      <c r="Y184" s="31"/>
      <c r="Z184" s="12"/>
      <c r="AB184" s="7" t="s">
        <v>153</v>
      </c>
      <c r="AC184" s="14" t="s">
        <v>154</v>
      </c>
      <c r="AD184" s="14"/>
      <c r="AE184" s="31"/>
      <c r="AF184" s="14" t="s">
        <v>155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156</v>
      </c>
      <c r="B187" s="14" t="s">
        <v>157</v>
      </c>
      <c r="C187" s="14"/>
      <c r="D187" s="14"/>
      <c r="E187" s="26" t="s">
        <v>158</v>
      </c>
      <c r="F187" s="31"/>
      <c r="G187" s="31"/>
      <c r="H187" s="12"/>
      <c r="J187" s="7" t="s">
        <v>156</v>
      </c>
      <c r="K187" s="14" t="s">
        <v>157</v>
      </c>
      <c r="L187" s="14"/>
      <c r="M187" s="14"/>
      <c r="N187" s="26" t="s">
        <v>158</v>
      </c>
      <c r="O187" s="31"/>
      <c r="P187" s="31"/>
      <c r="Q187" s="12"/>
      <c r="S187" s="7" t="s">
        <v>156</v>
      </c>
      <c r="T187" s="14" t="s">
        <v>157</v>
      </c>
      <c r="U187" s="14"/>
      <c r="V187" s="14"/>
      <c r="W187" s="26" t="s">
        <v>158</v>
      </c>
      <c r="X187" s="154"/>
      <c r="Y187" s="154"/>
      <c r="Z187" s="12"/>
      <c r="AB187" s="7" t="s">
        <v>156</v>
      </c>
      <c r="AC187" s="14" t="s">
        <v>157</v>
      </c>
      <c r="AD187" s="14"/>
      <c r="AE187" s="14"/>
      <c r="AF187" s="26" t="s">
        <v>158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1144.5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159</v>
      </c>
      <c r="B190" s="26" t="s">
        <v>160</v>
      </c>
      <c r="C190" s="14"/>
      <c r="D190" s="14"/>
      <c r="E190" s="26" t="s">
        <v>161</v>
      </c>
      <c r="F190" s="31"/>
      <c r="G190" s="31"/>
      <c r="H190" s="12"/>
      <c r="J190" s="64" t="s">
        <v>159</v>
      </c>
      <c r="K190" s="26" t="s">
        <v>160</v>
      </c>
      <c r="L190" s="14"/>
      <c r="M190" s="14"/>
      <c r="N190" s="26" t="s">
        <v>161</v>
      </c>
      <c r="O190" s="31"/>
      <c r="P190" s="31"/>
      <c r="Q190" s="12"/>
      <c r="S190" s="64" t="s">
        <v>159</v>
      </c>
      <c r="T190" s="26" t="s">
        <v>160</v>
      </c>
      <c r="U190" s="14"/>
      <c r="V190" s="14"/>
      <c r="W190" s="26" t="s">
        <v>161</v>
      </c>
      <c r="X190" s="154"/>
      <c r="Y190" s="154"/>
      <c r="Z190" s="12"/>
      <c r="AB190" s="64" t="s">
        <v>159</v>
      </c>
      <c r="AC190" s="26" t="s">
        <v>160</v>
      </c>
      <c r="AD190" s="14"/>
      <c r="AE190" s="14"/>
      <c r="AF190" s="26" t="s">
        <v>161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3265.09</v>
      </c>
      <c r="C191" s="14"/>
      <c r="D191" s="14"/>
      <c r="E191" s="23" t="n">
        <f aca="false">H148</f>
        <v>1000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1499.49624166667</v>
      </c>
      <c r="U191" s="14"/>
      <c r="V191" s="14"/>
      <c r="W191" s="23" t="n">
        <f aca="false">Z148</f>
        <v>-14056.251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162</v>
      </c>
      <c r="B193" s="14"/>
      <c r="C193" s="14"/>
      <c r="D193" s="70"/>
      <c r="E193" s="70"/>
      <c r="F193" s="70"/>
      <c r="G193" s="70"/>
      <c r="H193" s="71"/>
      <c r="J193" s="69" t="s">
        <v>162</v>
      </c>
      <c r="K193" s="14"/>
      <c r="L193" s="14"/>
      <c r="M193" s="70"/>
      <c r="N193" s="70"/>
      <c r="O193" s="70"/>
      <c r="P193" s="70"/>
      <c r="Q193" s="71"/>
      <c r="S193" s="69" t="s">
        <v>162</v>
      </c>
      <c r="T193" s="14"/>
      <c r="U193" s="14"/>
      <c r="V193" s="70"/>
      <c r="W193" s="70"/>
      <c r="X193" s="70"/>
      <c r="Y193" s="70"/>
      <c r="Z193" s="71"/>
      <c r="AB193" s="69" t="s">
        <v>162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40</v>
      </c>
      <c r="B195" s="75" t="s">
        <v>41</v>
      </c>
      <c r="C195" s="75"/>
      <c r="D195" s="75"/>
      <c r="E195" s="31"/>
      <c r="F195" s="31"/>
      <c r="G195" s="31"/>
      <c r="H195" s="12"/>
      <c r="J195" s="74" t="s">
        <v>40</v>
      </c>
      <c r="K195" s="75" t="s">
        <v>41</v>
      </c>
      <c r="L195" s="75"/>
      <c r="M195" s="75"/>
      <c r="N195" s="31"/>
      <c r="O195" s="31"/>
      <c r="P195" s="31"/>
      <c r="Q195" s="12"/>
      <c r="S195" s="74" t="s">
        <v>40</v>
      </c>
      <c r="T195" s="75" t="s">
        <v>41</v>
      </c>
      <c r="U195" s="75"/>
      <c r="V195" s="75"/>
      <c r="W195" s="31"/>
      <c r="X195" s="31"/>
      <c r="Y195" s="31"/>
      <c r="Z195" s="12"/>
      <c r="AB195" s="74" t="s">
        <v>40</v>
      </c>
      <c r="AC195" s="75" t="s">
        <v>41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1851.4108796608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1521.94639790342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963.001534004866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970.064391147723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2022-12-02T18:47:12Z</dcterms:modified>
  <cp:revision>166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